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2B183CD-3B63-4ED5-A3E4-9B2B8B7D9171}" xr6:coauthVersionLast="44" xr6:coauthVersionMax="44" xr10:uidLastSave="{00000000-0000-0000-0000-000000000000}"/>
  <bookViews>
    <workbookView xWindow="-120" yWindow="-120" windowWidth="15600" windowHeight="11040" tabRatio="601" firstSheet="2" activeTab="4" xr2:uid="{00000000-000D-0000-FFFF-FFFF00000000}"/>
  </bookViews>
  <sheets>
    <sheet name="HORIZONTAL CURVE " sheetId="1" r:id="rId1"/>
    <sheet name="SUPER ELEVATION" sheetId="2" r:id="rId2"/>
    <sheet name="EARTH WORK CALCULATION" sheetId="3" r:id="rId3"/>
    <sheet name="SINGLY REINFORCED BEAM" sheetId="4" r:id="rId4"/>
    <sheet name="DRB" sheetId="5" r:id="rId5"/>
    <sheet name="OWS" sheetId="6" r:id="rId6"/>
    <sheet name="TWS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5" l="1"/>
  <c r="C23" i="4"/>
  <c r="D25" i="5"/>
  <c r="C69" i="4"/>
  <c r="C68" i="4"/>
  <c r="F68" i="4"/>
  <c r="C67" i="4"/>
  <c r="C64" i="4"/>
  <c r="C63" i="4"/>
  <c r="D41" i="5" l="1"/>
  <c r="D39" i="5"/>
  <c r="D38" i="5"/>
  <c r="D23" i="5"/>
  <c r="C51" i="4"/>
  <c r="C54" i="4" l="1"/>
  <c r="C52" i="4"/>
  <c r="C50" i="4"/>
  <c r="C42" i="4"/>
  <c r="C41" i="4"/>
  <c r="C40" i="4"/>
  <c r="C39" i="4"/>
  <c r="C31" i="4"/>
  <c r="E10" i="4"/>
  <c r="E23" i="4" l="1"/>
  <c r="C22" i="4"/>
  <c r="E22" i="4" l="1"/>
  <c r="E9" i="4"/>
  <c r="C42" i="6"/>
  <c r="C41" i="6"/>
  <c r="C43" i="7"/>
  <c r="C26" i="7"/>
  <c r="C78" i="7"/>
  <c r="C51" i="7"/>
  <c r="E9" i="6"/>
  <c r="C31" i="6" s="1"/>
  <c r="H17" i="3"/>
  <c r="I17" i="3" s="1"/>
  <c r="F17" i="3"/>
  <c r="E18" i="3"/>
  <c r="F18" i="3" s="1"/>
  <c r="C14" i="2"/>
  <c r="C16" i="2"/>
  <c r="C15" i="2"/>
  <c r="B22" i="2" s="1"/>
  <c r="B21" i="2"/>
  <c r="C20" i="1"/>
  <c r="B21" i="1"/>
  <c r="B22" i="1" s="1"/>
  <c r="B23" i="1" s="1"/>
  <c r="B24" i="1" s="1"/>
  <c r="B25" i="1" s="1"/>
  <c r="B26" i="1" s="1"/>
  <c r="B27" i="1" s="1"/>
  <c r="B28" i="1" s="1"/>
  <c r="C28" i="1" s="1"/>
  <c r="N16" i="1"/>
  <c r="N17" i="1" s="1"/>
  <c r="N18" i="1" s="1"/>
  <c r="N19" i="1" s="1"/>
  <c r="N20" i="1" s="1"/>
  <c r="N21" i="1" s="1"/>
  <c r="N22" i="1" s="1"/>
  <c r="N23" i="1" s="1"/>
  <c r="N24" i="1" s="1"/>
  <c r="N25" i="1" s="1"/>
  <c r="C25" i="1" l="1"/>
  <c r="C23" i="1"/>
  <c r="C22" i="1"/>
  <c r="C27" i="1"/>
  <c r="C21" i="1"/>
  <c r="G18" i="3"/>
  <c r="H18" i="3" s="1"/>
  <c r="I18" i="3" s="1"/>
  <c r="C24" i="1"/>
  <c r="C26" i="1"/>
  <c r="E19" i="3"/>
  <c r="C66" i="7"/>
  <c r="C44" i="7"/>
  <c r="E25" i="7"/>
  <c r="C33" i="7" s="1"/>
  <c r="E26" i="7"/>
  <c r="C42" i="7" s="1"/>
  <c r="E14" i="7"/>
  <c r="E13" i="7"/>
  <c r="C24" i="7" s="1"/>
  <c r="E10" i="7"/>
  <c r="C32" i="7" s="1"/>
  <c r="C12" i="6"/>
  <c r="E12" i="6" s="1"/>
  <c r="C23" i="6" s="1"/>
  <c r="E11" i="6"/>
  <c r="D72" i="5"/>
  <c r="D73" i="5" s="1"/>
  <c r="D59" i="5"/>
  <c r="D49" i="5"/>
  <c r="F12" i="5"/>
  <c r="F10" i="5"/>
  <c r="F41" i="5" s="1"/>
  <c r="F9" i="5"/>
  <c r="E12" i="4"/>
  <c r="C18" i="3"/>
  <c r="C19" i="3" s="1"/>
  <c r="C20" i="3" s="1"/>
  <c r="C21" i="3" s="1"/>
  <c r="C22" i="3" s="1"/>
  <c r="C23" i="3" s="1"/>
  <c r="C24" i="3" s="1"/>
  <c r="O15" i="1"/>
  <c r="O16" i="1"/>
  <c r="C45" i="7" l="1"/>
  <c r="C34" i="7"/>
  <c r="E34" i="7" s="1"/>
  <c r="C24" i="6"/>
  <c r="F19" i="3"/>
  <c r="G19" i="3" s="1"/>
  <c r="H19" i="3" s="1"/>
  <c r="I19" i="3" s="1"/>
  <c r="E20" i="3"/>
  <c r="O23" i="1"/>
  <c r="O19" i="1"/>
  <c r="O22" i="1"/>
  <c r="O18" i="1"/>
  <c r="D60" i="5"/>
  <c r="O25" i="1"/>
  <c r="O21" i="1"/>
  <c r="O17" i="1"/>
  <c r="O24" i="1"/>
  <c r="O20" i="1"/>
  <c r="F25" i="5"/>
  <c r="D37" i="5" s="1"/>
  <c r="E24" i="6" l="1"/>
  <c r="C40" i="6" s="1"/>
  <c r="C43" i="6" s="1"/>
  <c r="C25" i="6"/>
  <c r="C57" i="7"/>
  <c r="C67" i="7" s="1"/>
  <c r="C68" i="7" s="1"/>
  <c r="C70" i="7" s="1"/>
  <c r="C58" i="7"/>
  <c r="C79" i="7" s="1"/>
  <c r="C80" i="7" s="1"/>
  <c r="C82" i="7" s="1"/>
  <c r="E21" i="3"/>
  <c r="F20" i="3"/>
  <c r="G20" i="3" s="1"/>
  <c r="H20" i="3" s="1"/>
  <c r="I20" i="3" s="1"/>
  <c r="B52" i="7"/>
  <c r="D40" i="5"/>
  <c r="F24" i="5"/>
  <c r="F31" i="5" s="1"/>
  <c r="C64" i="6" l="1"/>
  <c r="C66" i="6" s="1"/>
  <c r="C52" i="6"/>
  <c r="E25" i="6"/>
  <c r="E22" i="3"/>
  <c r="F21" i="3"/>
  <c r="G21" i="3" s="1"/>
  <c r="H21" i="3" s="1"/>
  <c r="I21" i="3" s="1"/>
  <c r="C43" i="5"/>
  <c r="D71" i="5"/>
  <c r="D76" i="5"/>
  <c r="D77" i="5" s="1"/>
  <c r="D78" i="5" s="1"/>
  <c r="E31" i="4"/>
  <c r="D51" i="5" l="1"/>
  <c r="D61" i="5" s="1"/>
  <c r="D62" i="5" s="1"/>
  <c r="D64" i="5" s="1"/>
  <c r="C32" i="6"/>
  <c r="C33" i="6" s="1"/>
  <c r="C44" i="6" s="1"/>
  <c r="C53" i="6" s="1"/>
  <c r="C54" i="6" s="1"/>
  <c r="C56" i="6" s="1"/>
  <c r="E23" i="3"/>
  <c r="F22" i="3"/>
  <c r="G22" i="3" s="1"/>
  <c r="H22" i="3" s="1"/>
  <c r="I22" i="3" s="1"/>
  <c r="D53" i="5" l="1"/>
  <c r="E33" i="6"/>
  <c r="E24" i="3"/>
  <c r="F24" i="3" s="1"/>
  <c r="F23" i="3"/>
  <c r="G23" i="3" s="1"/>
  <c r="H23" i="3" s="1"/>
  <c r="I23" i="3" s="1"/>
  <c r="G24" i="3" l="1"/>
  <c r="H24" i="3" s="1"/>
  <c r="I24" i="3" s="1"/>
  <c r="I25" i="3" s="1"/>
</calcChain>
</file>

<file path=xl/sharedStrings.xml><?xml version="1.0" encoding="utf-8"?>
<sst xmlns="http://schemas.openxmlformats.org/spreadsheetml/2006/main" count="352" uniqueCount="176">
  <si>
    <t>DESIGN OF HORIZONTAL CURVE BY RADIAL OFFSET METHOD</t>
  </si>
  <si>
    <t>INPUT</t>
  </si>
  <si>
    <t>RADIUS</t>
  </si>
  <si>
    <t>m</t>
  </si>
  <si>
    <t xml:space="preserve">INTERVAL </t>
  </si>
  <si>
    <t>TABULATION VALUES</t>
  </si>
  <si>
    <t>OFFSET INTERVAL</t>
  </si>
  <si>
    <t>OFFSET</t>
  </si>
  <si>
    <t>DESIGN OF SUPER ELEVATION</t>
  </si>
  <si>
    <t>INPUT DATA</t>
  </si>
  <si>
    <t>DESIGN SPEED(km/h)</t>
  </si>
  <si>
    <t>m/s</t>
  </si>
  <si>
    <t>RADIUS OF THE CURVE (R)</t>
  </si>
  <si>
    <t>OUT PUT GENERATED</t>
  </si>
  <si>
    <t>SUPER ELEVATION REQUIRED FOR 75% DESIGN SPEED</t>
  </si>
  <si>
    <t>THE FRICTIONAL CO-EFFICIENT OF SUPER ELEVATION</t>
  </si>
  <si>
    <t>ALLOWABLE VELOCITY (Va)</t>
  </si>
  <si>
    <t>DESIGN DETAILS</t>
  </si>
  <si>
    <t>EARTH WORK CALCULATION</t>
  </si>
  <si>
    <t>BREADTH OF FORMATION</t>
  </si>
  <si>
    <t>LENTH OF CHAIN</t>
  </si>
  <si>
    <t>RISING GRADIENT</t>
  </si>
  <si>
    <t>TABULATION</t>
  </si>
  <si>
    <t>CHAINGE</t>
  </si>
  <si>
    <t>DISTANCE</t>
  </si>
  <si>
    <t>RL OF GL</t>
  </si>
  <si>
    <t>RL OF FL</t>
  </si>
  <si>
    <t>DEPTH</t>
  </si>
  <si>
    <t>MEAN DEPTH(Dm)</t>
  </si>
  <si>
    <t>AREA(A)</t>
  </si>
  <si>
    <t>BDm+S(Dm)^2</t>
  </si>
  <si>
    <t>SIDE SLOPE(S)                       1:</t>
  </si>
  <si>
    <t>m3</t>
  </si>
  <si>
    <t>FORMATION LEVEL</t>
  </si>
  <si>
    <t>DESIGN OF SINGLY REINFORCED BEAM</t>
  </si>
  <si>
    <t xml:space="preserve">SPAN OF THE BEAM L = </t>
  </si>
  <si>
    <t xml:space="preserve">SUPER IMPOSED LOAD =  </t>
  </si>
  <si>
    <t xml:space="preserve">MATERIALS :- M20 CONCRETE &amp; FE 415 STEEL  </t>
  </si>
  <si>
    <t>N/mm^2</t>
  </si>
  <si>
    <t>M</t>
  </si>
  <si>
    <t>mm</t>
  </si>
  <si>
    <t>KN/m</t>
  </si>
  <si>
    <t xml:space="preserve">OVERALL DIMENSION OF THE BEAM </t>
  </si>
  <si>
    <t>OVERALL DEPTH (D) = d+50</t>
  </si>
  <si>
    <t xml:space="preserve">                                                                                 Fck= </t>
  </si>
  <si>
    <t xml:space="preserve">                                                                                 Fy =</t>
  </si>
  <si>
    <t xml:space="preserve">EFFECTIVE SPAN OF BEAM (Leff) </t>
  </si>
  <si>
    <t xml:space="preserve">DESIGN OF MOMENT (Mn) &amp; SHEAR (Vn) </t>
  </si>
  <si>
    <t>SELF WEIGHT OF BEAM = b*D*DENSITY</t>
  </si>
  <si>
    <t xml:space="preserve">WIDTH OF BEAM  b = </t>
  </si>
  <si>
    <t>Kn/m</t>
  </si>
  <si>
    <t>DESIGN LOAD FOR STRENGTH CONSIDERATION (Wu)=</t>
  </si>
  <si>
    <t xml:space="preserve">DESIGN MOMENT (Mu)= </t>
  </si>
  <si>
    <t>KN -m</t>
  </si>
  <si>
    <t xml:space="preserve">DESIGN SHEAR (Vu) = </t>
  </si>
  <si>
    <t>KN</t>
  </si>
  <si>
    <t>AREA OF MAIN REINFORCEMENT (Ast)</t>
  </si>
  <si>
    <t xml:space="preserve">CO EFFICIENT OF Ast^2(a) </t>
  </si>
  <si>
    <t>CO EFFICIENT OF Ast (b) =(b*d*fck)/fy</t>
  </si>
  <si>
    <t>CONSTANT TERM ( c ) =(Mu*b*fck)/0.87fy^2</t>
  </si>
  <si>
    <t>Ast (area of steel ) = (b-squt(b^2-4ac))/2a</t>
  </si>
  <si>
    <t>mm^2</t>
  </si>
  <si>
    <t xml:space="preserve">ASSUME OF DIAMETER OF BARS </t>
  </si>
  <si>
    <t xml:space="preserve">PROVIDE NO OF ABOVE DIA OF BARS </t>
  </si>
  <si>
    <t>DESIGN OF SHEAR REINFORCEMENT</t>
  </si>
  <si>
    <t xml:space="preserve">NOMINAL SHEAR STRESS </t>
  </si>
  <si>
    <t>PERCENTAGE OF STEEL (Pt)</t>
  </si>
  <si>
    <t>%</t>
  </si>
  <si>
    <t>ENTER PER SHEAR FOR THE % OF STEEL (FROM T-19 OF IS456 -2000</t>
  </si>
  <si>
    <t xml:space="preserve">MAX SHEAR STRESS FROM  TABLE - 20 </t>
  </si>
  <si>
    <t>N</t>
  </si>
  <si>
    <t>USING 8mm 2-legged stirupes the  spacing is (S) IN mm C/C</t>
  </si>
  <si>
    <t xml:space="preserve">SHEAR TO BE RESISTED BY REINFORCEMENT (Vus) </t>
  </si>
  <si>
    <t>PROVIDE THE SPACING (S) =</t>
  </si>
  <si>
    <t xml:space="preserve">BEARING </t>
  </si>
  <si>
    <t>EFFECTIVE COVER =</t>
  </si>
  <si>
    <t>Mu lim</t>
  </si>
  <si>
    <t>N-mm</t>
  </si>
  <si>
    <t>Mu&gt;Mulim</t>
  </si>
  <si>
    <t>AREA OF COMPRESSION REINFORCEMENT (Asc)</t>
  </si>
  <si>
    <t>d'/d=</t>
  </si>
  <si>
    <t>fsc=</t>
  </si>
  <si>
    <t>Asc=</t>
  </si>
  <si>
    <t xml:space="preserve">ASSUME DIA OF BAR </t>
  </si>
  <si>
    <t>NO OF BARS=</t>
  </si>
  <si>
    <t>AREA OF TENSION STEEL (Ast)</t>
  </si>
  <si>
    <t>Xumax=</t>
  </si>
  <si>
    <t>Ast1 corresponding to SRB =</t>
  </si>
  <si>
    <t>Ast2=</t>
  </si>
  <si>
    <t>Ast=</t>
  </si>
  <si>
    <t>ASSUME DIA OF BAR =</t>
  </si>
  <si>
    <t>NO OF BARS =</t>
  </si>
  <si>
    <t xml:space="preserve">Ast @ support = </t>
  </si>
  <si>
    <t>DESIGN OF ONE WAY SLAB</t>
  </si>
  <si>
    <t xml:space="preserve">INPUTS </t>
  </si>
  <si>
    <t>ASSUME BEARING =</t>
  </si>
  <si>
    <t>LIVE LOAD =</t>
  </si>
  <si>
    <t>Kn/m^2</t>
  </si>
  <si>
    <t>CLEAR SPAN =</t>
  </si>
  <si>
    <t xml:space="preserve">THICKNESS OF SLAB </t>
  </si>
  <si>
    <t>C/C DISTANCE B/W BEARING =</t>
  </si>
  <si>
    <t>PROVIDING OVERALL DEPTH (D) =</t>
  </si>
  <si>
    <t>EFFECTIVE SPAN (Leff)</t>
  </si>
  <si>
    <t xml:space="preserve">THEREFORE EFFECTIVE LENGTH = </t>
  </si>
  <si>
    <t>DESIGN OF LOAD (Wu) &amp; MOMENT (Mu)</t>
  </si>
  <si>
    <t>KN-m</t>
  </si>
  <si>
    <t>SPACING OF MAIN BARS = S=</t>
  </si>
  <si>
    <t>DISTRIBUTION REINFORCEMENT</t>
  </si>
  <si>
    <t>Ast MIN = 0.15%*Bd</t>
  </si>
  <si>
    <t>SPACING OF BARS = S=</t>
  </si>
  <si>
    <t>DESIGN OF TWO WAY SLAB</t>
  </si>
  <si>
    <t xml:space="preserve">                                                                                                              Ly=</t>
  </si>
  <si>
    <t>CLEAR SPAN =                                                                                 Lx=</t>
  </si>
  <si>
    <t>ASSUME EFFECTIVE DEPTH OF SLAB d=</t>
  </si>
  <si>
    <t>OVERAL DEPTH D=d+eff cover</t>
  </si>
  <si>
    <t>EFFECTIVE SPAN (Leff x)</t>
  </si>
  <si>
    <t>DESIGN LOAD CALCULATION(Wu)</t>
  </si>
  <si>
    <t>FLOOR FINISH=</t>
  </si>
  <si>
    <t>MOMENT CALCULATION (Mu)</t>
  </si>
  <si>
    <t>ly/lx=</t>
  </si>
  <si>
    <t xml:space="preserve">                                                                                         ALFHA y</t>
  </si>
  <si>
    <t>BENDING MOMENT COEFFICIENTS    IN             ALFHA x</t>
  </si>
  <si>
    <t>MAIN REINFORCEMENT ALONG SHORTER SPAN(ASTx)</t>
  </si>
  <si>
    <t>MAIN REINFORCEMENT ALONG LONGER SPAN(ASTy)</t>
  </si>
  <si>
    <t xml:space="preserve">     DESIGN OF DOUBLY REINFORCED BEAM</t>
  </si>
  <si>
    <t>TOTAL QTY</t>
  </si>
  <si>
    <t>QTY</t>
  </si>
  <si>
    <t>inputs</t>
  </si>
  <si>
    <t>Radius R=</t>
  </si>
  <si>
    <t>OFFSET INTERVAL X</t>
  </si>
  <si>
    <t>OFFSET IN M Ox</t>
  </si>
  <si>
    <t>((0.75*D8)^2)/(9.81*C9)</t>
  </si>
  <si>
    <t>((D8^2)/(9.81*C9))-0.07</t>
  </si>
  <si>
    <t>SQRT(0.22*9.81*C9)</t>
  </si>
  <si>
    <t>IF((C14&lt;=0.07),"calculated super elevation may be adapted","friction of coeffient found to be more than 0.15")</t>
  </si>
  <si>
    <t>IF((C15&lt;0.15),"maximum super elevation of 0.07 may also be adapted","allowable velocity is to be checked for adequacy")</t>
  </si>
  <si>
    <t>IF((C16&gt;=D8),"design is adequate","allowable velocity is less than design speed,therefore control measures are recommended")</t>
  </si>
  <si>
    <t>ƪ</t>
  </si>
  <si>
    <r>
      <t xml:space="preserve">EFFECTIVE DEPTH OF SLAB </t>
    </r>
    <r>
      <rPr>
        <sz val="11"/>
        <color rgb="FFFF0000"/>
        <rFont val="Calibri"/>
        <family val="2"/>
        <scheme val="minor"/>
      </rPr>
      <t>(d) = (D-COVER)</t>
    </r>
  </si>
  <si>
    <r>
      <t xml:space="preserve">C/C DISTANCE B/W BEARING = </t>
    </r>
    <r>
      <rPr>
        <sz val="11"/>
        <color rgb="FFFF0000"/>
        <rFont val="Calibri"/>
        <family val="2"/>
        <scheme val="minor"/>
      </rPr>
      <t>(CLEAR SPAN +BEARING)</t>
    </r>
  </si>
  <si>
    <r>
      <t>CLEAR SPAN +EFFECTIVE DEPTH =</t>
    </r>
    <r>
      <rPr>
        <sz val="11"/>
        <color rgb="FFFF0000"/>
        <rFont val="Calibri"/>
        <family val="2"/>
        <scheme val="minor"/>
      </rPr>
      <t>(CLEAR SPAN+d)</t>
    </r>
  </si>
  <si>
    <r>
      <t xml:space="preserve">SELF WEIGTH OF SLAB = </t>
    </r>
    <r>
      <rPr>
        <sz val="11"/>
        <color rgb="FFFF0000"/>
        <rFont val="Calibri"/>
        <family val="2"/>
        <scheme val="minor"/>
      </rPr>
      <t>(BDƪ)</t>
    </r>
  </si>
  <si>
    <r>
      <t>FLOOR FINISH =</t>
    </r>
    <r>
      <rPr>
        <sz val="11"/>
        <color rgb="FFFF0000"/>
        <rFont val="Calibri"/>
        <family val="2"/>
        <scheme val="minor"/>
      </rPr>
      <t>(DATA)</t>
    </r>
  </si>
  <si>
    <r>
      <t xml:space="preserve">LIVE LOAD = </t>
    </r>
    <r>
      <rPr>
        <sz val="11"/>
        <color rgb="FFFF0000"/>
        <rFont val="Calibri"/>
        <family val="2"/>
        <scheme val="minor"/>
      </rPr>
      <t>(DATA)</t>
    </r>
  </si>
  <si>
    <r>
      <t xml:space="preserve">FACTORED MOMENT </t>
    </r>
    <r>
      <rPr>
        <sz val="11"/>
        <color rgb="FFFF0000"/>
        <rFont val="Calibri"/>
        <family val="2"/>
        <scheme val="minor"/>
      </rPr>
      <t>(Mu) =(WL^2)/8</t>
    </r>
  </si>
  <si>
    <r>
      <t xml:space="preserve">CO EFFICIENT OF Ast </t>
    </r>
    <r>
      <rPr>
        <sz val="11"/>
        <color rgb="FFFF0000"/>
        <rFont val="Calibri"/>
        <family val="2"/>
        <scheme val="minor"/>
      </rPr>
      <t>(b) =(b*d*fck)/fy</t>
    </r>
  </si>
  <si>
    <r>
      <t xml:space="preserve">CONSTANT TERM </t>
    </r>
    <r>
      <rPr>
        <sz val="11"/>
        <color rgb="FFFF0000"/>
        <rFont val="Calibri"/>
        <family val="2"/>
        <scheme val="minor"/>
      </rPr>
      <t>( c ) =(Mu*b*fck)/0.87fy^2</t>
    </r>
  </si>
  <si>
    <t>Ast (area of steel ) = (b-SQRT(b^2-4ac))/2a</t>
  </si>
  <si>
    <r>
      <t xml:space="preserve">SPACING OF MAIN BARS = </t>
    </r>
    <r>
      <rPr>
        <sz val="11"/>
        <color rgb="FFFF0000"/>
        <rFont val="Calibri"/>
        <family val="2"/>
        <scheme val="minor"/>
      </rPr>
      <t>S=1000ast/AST</t>
    </r>
  </si>
  <si>
    <t>((C52-SQRT(C52^2-4*1*C53))/2)</t>
  </si>
  <si>
    <t>AST=</t>
  </si>
  <si>
    <t>((C44*10^6*1000*C16)/(0.87*C17^2))</t>
  </si>
  <si>
    <t>C=</t>
  </si>
  <si>
    <r>
      <t xml:space="preserve">OVERALL DEPTH </t>
    </r>
    <r>
      <rPr>
        <sz val="11"/>
        <color rgb="FFFF0000"/>
        <rFont val="Calibri"/>
        <family val="2"/>
        <scheme val="minor"/>
      </rPr>
      <t>(D) = (L/20)</t>
    </r>
  </si>
  <si>
    <r>
      <t xml:space="preserve">DESIGN LOAD/m CONSIERATION </t>
    </r>
    <r>
      <rPr>
        <sz val="11"/>
        <color rgb="FFFF0000"/>
        <rFont val="Calibri"/>
        <family val="2"/>
        <scheme val="minor"/>
      </rPr>
      <t>(Wu) =1.5*(SF+LL+FF)</t>
    </r>
  </si>
  <si>
    <r>
      <t xml:space="preserve">CLEAR SPAN +EFFECTIVE DEPTH </t>
    </r>
    <r>
      <rPr>
        <sz val="11"/>
        <color rgb="FFFF0000"/>
        <rFont val="Calibri"/>
        <family val="2"/>
        <scheme val="minor"/>
      </rPr>
      <t>=(CLEAR SPAN+d)</t>
    </r>
  </si>
  <si>
    <r>
      <t>EFFECTIVE DEPTH =</t>
    </r>
    <r>
      <rPr>
        <sz val="11"/>
        <color rgb="FFFF0000"/>
        <rFont val="Calibri"/>
        <family val="2"/>
        <scheme val="minor"/>
      </rPr>
      <t>L/28</t>
    </r>
  </si>
  <si>
    <r>
      <t>SELF WEIGTH OF SLAB =</t>
    </r>
    <r>
      <rPr>
        <sz val="11"/>
        <color rgb="FFFF0000"/>
        <rFont val="Calibri"/>
        <family val="2"/>
        <scheme val="minor"/>
      </rPr>
      <t>(BDƪ)</t>
    </r>
  </si>
  <si>
    <r>
      <t>LIVE LOAD =</t>
    </r>
    <r>
      <rPr>
        <sz val="11"/>
        <color rgb="FFFF0000"/>
        <rFont val="Calibri"/>
        <family val="2"/>
        <scheme val="minor"/>
      </rPr>
      <t>(DATA)</t>
    </r>
  </si>
  <si>
    <r>
      <t xml:space="preserve">DESIGN LOAD/m CONSIERATION </t>
    </r>
    <r>
      <rPr>
        <sz val="11"/>
        <color rgb="FFFF0000"/>
        <rFont val="Calibri"/>
        <family val="2"/>
        <scheme val="minor"/>
      </rPr>
      <t>(Wu)  =1.5*(SF+LL+FF)</t>
    </r>
  </si>
  <si>
    <t>FROM TABLE 27 OF REFER IS 456 -2000 P -91</t>
  </si>
  <si>
    <t>ą</t>
  </si>
  <si>
    <t>Mux= (ALFHA x * Wu *lx^2)</t>
  </si>
  <si>
    <t>Muy=(ALFHA y * Wu *lx^2)</t>
  </si>
  <si>
    <t>MM</t>
  </si>
  <si>
    <t>DESIGN LOAD FOR STRENGTH CONSIDERATION (Wu)=1.5(SW+LL)</t>
  </si>
  <si>
    <t>DESIGN MOMENT (Mu)= (Wu*Leff^2)/8</t>
  </si>
  <si>
    <t>DESIGN SHEAR (Vu) = (Wu*Leff)/2</t>
  </si>
  <si>
    <t>DEPTH OF THE BEAM L/20 OF SPAN =d</t>
  </si>
  <si>
    <t>MIN OF (a) CLEAR SPAN +d  (b) CLEAR SPAN +  BEARING  =</t>
  </si>
  <si>
    <t>Ast (area of steel ) = (b-sqrt(b^2-4ac))/2a</t>
  </si>
  <si>
    <t>ASV</t>
  </si>
  <si>
    <t>DEPTH OF THE BEAM L/20TH OF SPAN =</t>
  </si>
  <si>
    <t xml:space="preserve">VALUE OF EFFECTIVE DEPTH (d) = </t>
  </si>
  <si>
    <t>KN-M</t>
  </si>
  <si>
    <t>MIN OF (a) CLEAR SPAN +d  (b) CLEAR SPAN + BEARING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</si>
</sst>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i/>
      <u/>
      <sz val="15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26"/>
      <color theme="1"/>
      <name val="Times New Roman"/>
      <family val="1"/>
    </font>
    <font>
      <b/>
      <i/>
      <u/>
      <sz val="20"/>
      <color theme="1"/>
      <name val="Times New Roman"/>
      <family val="1"/>
    </font>
    <font>
      <sz val="11"/>
      <color rgb="FF0070C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u/>
      <sz val="18"/>
      <color theme="1"/>
      <name val="Calibri"/>
      <family val="2"/>
      <scheme val="minor"/>
    </font>
    <font>
      <sz val="16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i/>
      <u/>
      <sz val="28"/>
      <color theme="1"/>
      <name val="Times New Roman"/>
      <family val="1"/>
    </font>
    <font>
      <b/>
      <i/>
      <u/>
      <sz val="18"/>
      <color theme="1"/>
      <name val="Times New Roman"/>
      <family val="1"/>
    </font>
    <font>
      <sz val="11"/>
      <color rgb="FF92D050"/>
      <name val="Times New Roman"/>
      <family val="1"/>
    </font>
    <font>
      <sz val="11"/>
      <color rgb="FF92D050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1"/>
      <color rgb="FFFF0000"/>
      <name val="Times New Roman"/>
      <family val="1"/>
    </font>
    <font>
      <b/>
      <i/>
      <u/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</font>
    <font>
      <sz val="14"/>
      <color rgb="FFFF0000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3" borderId="0" xfId="0" applyFont="1" applyFill="1"/>
    <xf numFmtId="0" fontId="0" fillId="4" borderId="0" xfId="0" applyFill="1"/>
    <xf numFmtId="0" fontId="6" fillId="4" borderId="0" xfId="0" applyFont="1" applyFill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2" fillId="2" borderId="0" xfId="0" applyFont="1" applyFill="1"/>
    <xf numFmtId="0" fontId="0" fillId="6" borderId="0" xfId="0" applyFill="1"/>
    <xf numFmtId="0" fontId="12" fillId="3" borderId="0" xfId="0" applyFont="1" applyFill="1"/>
    <xf numFmtId="0" fontId="12" fillId="7" borderId="0" xfId="0" applyFont="1" applyFill="1"/>
    <xf numFmtId="0" fontId="0" fillId="7" borderId="0" xfId="0" applyFill="1"/>
    <xf numFmtId="0" fontId="12" fillId="4" borderId="0" xfId="0" applyFont="1" applyFill="1"/>
    <xf numFmtId="0" fontId="12" fillId="8" borderId="0" xfId="0" applyFont="1" applyFill="1"/>
    <xf numFmtId="0" fontId="0" fillId="8" borderId="0" xfId="0" applyFill="1"/>
    <xf numFmtId="0" fontId="12" fillId="5" borderId="0" xfId="0" applyFont="1" applyFill="1"/>
    <xf numFmtId="0" fontId="0" fillId="9" borderId="0" xfId="0" applyFill="1"/>
    <xf numFmtId="0" fontId="19" fillId="9" borderId="0" xfId="0" applyFont="1" applyFill="1"/>
    <xf numFmtId="0" fontId="0" fillId="10" borderId="0" xfId="0" applyFill="1"/>
    <xf numFmtId="0" fontId="0" fillId="11" borderId="0" xfId="0" applyFill="1"/>
    <xf numFmtId="0" fontId="7" fillId="0" borderId="0" xfId="0" applyFont="1" applyAlignment="1"/>
    <xf numFmtId="0" fontId="4" fillId="0" borderId="0" xfId="0" applyFont="1" applyAlignme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1" fillId="0" borderId="0" xfId="0" applyFont="1"/>
    <xf numFmtId="0" fontId="26" fillId="0" borderId="0" xfId="0" applyFont="1"/>
    <xf numFmtId="0" fontId="21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0" fontId="30" fillId="0" borderId="0" xfId="0" applyFont="1"/>
    <xf numFmtId="0" fontId="29" fillId="2" borderId="0" xfId="0" applyFont="1" applyFill="1"/>
    <xf numFmtId="0" fontId="21" fillId="2" borderId="0" xfId="0" applyFont="1" applyFill="1"/>
    <xf numFmtId="2" fontId="0" fillId="0" borderId="0" xfId="0" applyNumberFormat="1"/>
    <xf numFmtId="0" fontId="4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IJO</c:v>
          </c:tx>
          <c:xVal>
            <c:numRef>
              <c:f>'HORIZONTAL CURVE '!$O$15:$O$25</c:f>
              <c:numCache>
                <c:formatCode>General</c:formatCode>
                <c:ptCount val="11"/>
                <c:pt idx="0">
                  <c:v>0</c:v>
                </c:pt>
                <c:pt idx="1">
                  <c:v>0.16662039607268753</c:v>
                </c:pt>
                <c:pt idx="2">
                  <c:v>0.66592756745814086</c:v>
                </c:pt>
                <c:pt idx="3">
                  <c:v>1.4962686336266984</c:v>
                </c:pt>
                <c:pt idx="4">
                  <c:v>2.6549190084311363</c:v>
                </c:pt>
                <c:pt idx="5">
                  <c:v>4.1381265149109936</c:v>
                </c:pt>
                <c:pt idx="6">
                  <c:v>5.9411708155670908</c:v>
                </c:pt>
                <c:pt idx="7">
                  <c:v>8.0584360149872509</c:v>
                </c:pt>
                <c:pt idx="8">
                  <c:v>10.483493925200492</c:v>
                </c:pt>
                <c:pt idx="9">
                  <c:v>13.209195267316488</c:v>
                </c:pt>
                <c:pt idx="10">
                  <c:v>16.227766016837961</c:v>
                </c:pt>
              </c:numCache>
            </c:numRef>
          </c:xVal>
          <c:yVal>
            <c:numRef>
              <c:f>'HORIZONTAL CURVE '!$N$15:$N$25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C-49E7-9947-3722A45B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6848"/>
        <c:axId val="78288384"/>
      </c:scatterChart>
      <c:valAx>
        <c:axId val="782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88384"/>
        <c:crosses val="autoZero"/>
        <c:crossBetween val="midCat"/>
      </c:valAx>
      <c:valAx>
        <c:axId val="782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8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HORIZONTAL CURVE</c:v>
          </c:tx>
          <c:xVal>
            <c:numRef>
              <c:f>'HORIZONTAL CURVE '!$C$20:$C$28</c:f>
              <c:numCache>
                <c:formatCode>General</c:formatCode>
                <c:ptCount val="9"/>
                <c:pt idx="0">
                  <c:v>0</c:v>
                </c:pt>
                <c:pt idx="1">
                  <c:v>0.62257748298549132</c:v>
                </c:pt>
                <c:pt idx="2">
                  <c:v>2.4621125123532153</c:v>
                </c:pt>
                <c:pt idx="3">
                  <c:v>5.4400374531753073</c:v>
                </c:pt>
                <c:pt idx="4">
                  <c:v>9.4427190999915922</c:v>
                </c:pt>
                <c:pt idx="5">
                  <c:v>14.339811320566042</c:v>
                </c:pt>
                <c:pt idx="6">
                  <c:v>20</c:v>
                </c:pt>
                <c:pt idx="7">
                  <c:v>26.301458127346493</c:v>
                </c:pt>
                <c:pt idx="8">
                  <c:v>33.137084989847608</c:v>
                </c:pt>
              </c:numCache>
            </c:numRef>
          </c:xVal>
          <c:yVal>
            <c:numRef>
              <c:f>'HORIZONTAL CURVE '!$B$20:$B$28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B-4611-A31E-DBF4191A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1072"/>
        <c:axId val="79973376"/>
      </c:scatterChart>
      <c:valAx>
        <c:axId val="799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OFFSET INTERVAL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3376"/>
        <c:crosses val="autoZero"/>
        <c:crossBetween val="midCat"/>
      </c:valAx>
      <c:valAx>
        <c:axId val="799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71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EARTH WORK CALCULATION</c:v>
          </c:tx>
          <c:val>
            <c:numRef>
              <c:f>'EARTH WORK CALCULATION'!$D$17:$D$24</c:f>
              <c:numCache>
                <c:formatCode>General</c:formatCode>
                <c:ptCount val="8"/>
                <c:pt idx="0">
                  <c:v>104.2</c:v>
                </c:pt>
                <c:pt idx="1">
                  <c:v>104.8</c:v>
                </c:pt>
                <c:pt idx="2">
                  <c:v>104.6</c:v>
                </c:pt>
                <c:pt idx="3">
                  <c:v>104.3</c:v>
                </c:pt>
                <c:pt idx="4">
                  <c:v>105</c:v>
                </c:pt>
                <c:pt idx="5">
                  <c:v>104.5</c:v>
                </c:pt>
                <c:pt idx="6">
                  <c:v>105.2</c:v>
                </c:pt>
                <c:pt idx="7">
                  <c:v>105.6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8-4631-BDB3-D41B4B9B9811}"/>
            </c:ext>
          </c:extLst>
        </c:ser>
        <c:ser>
          <c:idx val="1"/>
          <c:order val="1"/>
          <c:val>
            <c:numRef>
              <c:f>'EARTH WORK CALCULATION'!$E$17:$E$24</c:f>
              <c:numCache>
                <c:formatCode>General</c:formatCode>
                <c:ptCount val="8"/>
                <c:pt idx="0">
                  <c:v>105</c:v>
                </c:pt>
                <c:pt idx="1">
                  <c:v>105.3</c:v>
                </c:pt>
                <c:pt idx="2">
                  <c:v>105.6</c:v>
                </c:pt>
                <c:pt idx="3">
                  <c:v>105.89999999999999</c:v>
                </c:pt>
                <c:pt idx="4">
                  <c:v>106.19999999999999</c:v>
                </c:pt>
                <c:pt idx="5">
                  <c:v>106.49999999999999</c:v>
                </c:pt>
                <c:pt idx="6">
                  <c:v>106.79999999999998</c:v>
                </c:pt>
                <c:pt idx="7">
                  <c:v>107.09999999999998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8-4631-BDB3-D41B4B9B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3776"/>
        <c:axId val="80205312"/>
      </c:lineChart>
      <c:catAx>
        <c:axId val="802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205312"/>
        <c:crosses val="autoZero"/>
        <c:auto val="1"/>
        <c:lblAlgn val="ctr"/>
        <c:lblOffset val="100"/>
        <c:noMultiLvlLbl val="0"/>
      </c:catAx>
      <c:valAx>
        <c:axId val="802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0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5</xdr:row>
      <xdr:rowOff>152400</xdr:rowOff>
    </xdr:from>
    <xdr:to>
      <xdr:col>26</xdr:col>
      <xdr:colOff>180975</xdr:colOff>
      <xdr:row>20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13</xdr:row>
      <xdr:rowOff>95250</xdr:rowOff>
    </xdr:from>
    <xdr:to>
      <xdr:col>11</xdr:col>
      <xdr:colOff>504825</xdr:colOff>
      <xdr:row>27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119227</xdr:colOff>
      <xdr:row>26</xdr:row>
      <xdr:rowOff>131379</xdr:rowOff>
    </xdr:from>
    <xdr:to>
      <xdr:col>6</xdr:col>
      <xdr:colOff>624599</xdr:colOff>
      <xdr:row>41</xdr:row>
      <xdr:rowOff>163347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8"/>
  <sheetViews>
    <sheetView topLeftCell="A7" workbookViewId="0">
      <selection activeCell="F12" sqref="F12"/>
    </sheetView>
  </sheetViews>
  <sheetFormatPr defaultRowHeight="15" x14ac:dyDescent="0.25"/>
  <cols>
    <col min="1" max="1" width="18.42578125" customWidth="1"/>
    <col min="2" max="2" width="18.28515625" customWidth="1"/>
    <col min="3" max="3" width="15.140625" customWidth="1"/>
    <col min="12" max="12" width="10.140625" customWidth="1"/>
    <col min="14" max="14" width="17" customWidth="1"/>
  </cols>
  <sheetData>
    <row r="3" spans="1:15" ht="20.25" x14ac:dyDescent="0.35">
      <c r="O3" s="1" t="s">
        <v>0</v>
      </c>
    </row>
    <row r="7" spans="1:15" x14ac:dyDescent="0.25">
      <c r="L7" s="2" t="s">
        <v>1</v>
      </c>
    </row>
    <row r="8" spans="1:15" x14ac:dyDescent="0.25">
      <c r="A8" t="s">
        <v>127</v>
      </c>
    </row>
    <row r="9" spans="1:15" x14ac:dyDescent="0.25">
      <c r="A9" t="s">
        <v>128</v>
      </c>
      <c r="B9">
        <v>80</v>
      </c>
      <c r="C9" t="s">
        <v>39</v>
      </c>
      <c r="K9">
        <v>1</v>
      </c>
      <c r="L9" t="s">
        <v>2</v>
      </c>
      <c r="M9">
        <v>300</v>
      </c>
      <c r="N9" t="s">
        <v>3</v>
      </c>
    </row>
    <row r="10" spans="1:15" x14ac:dyDescent="0.25">
      <c r="A10" t="s">
        <v>6</v>
      </c>
      <c r="B10">
        <v>10</v>
      </c>
      <c r="C10" t="s">
        <v>39</v>
      </c>
      <c r="K10">
        <v>2</v>
      </c>
      <c r="L10" t="s">
        <v>4</v>
      </c>
      <c r="M10">
        <v>10</v>
      </c>
      <c r="N10" t="s">
        <v>3</v>
      </c>
    </row>
    <row r="13" spans="1:15" ht="15.75" x14ac:dyDescent="0.25">
      <c r="N13" s="3" t="s">
        <v>5</v>
      </c>
    </row>
    <row r="14" spans="1:15" x14ac:dyDescent="0.25">
      <c r="N14" t="s">
        <v>6</v>
      </c>
      <c r="O14" t="s">
        <v>7</v>
      </c>
    </row>
    <row r="15" spans="1:15" x14ac:dyDescent="0.25">
      <c r="N15">
        <v>0</v>
      </c>
      <c r="O15">
        <f>SQRT($M$9^2+N15^2)-$M$9</f>
        <v>0</v>
      </c>
    </row>
    <row r="16" spans="1:15" x14ac:dyDescent="0.25">
      <c r="N16">
        <f>IF(N15+$M$10&lt;=$M$9,N15+$M$10,"")</f>
        <v>10</v>
      </c>
      <c r="O16">
        <f t="shared" ref="O16:O25" si="0">SQRT($M$9^2+N16^2)-$M$9</f>
        <v>0.16662039607268753</v>
      </c>
    </row>
    <row r="17" spans="2:15" x14ac:dyDescent="0.25">
      <c r="N17">
        <f t="shared" ref="N17:N25" si="1">IF(N16+$M$10&lt;=$M$9,N16+$M$10,"")</f>
        <v>20</v>
      </c>
      <c r="O17">
        <f t="shared" si="0"/>
        <v>0.66592756745814086</v>
      </c>
    </row>
    <row r="18" spans="2:15" x14ac:dyDescent="0.25">
      <c r="N18">
        <f t="shared" si="1"/>
        <v>30</v>
      </c>
      <c r="O18">
        <f t="shared" si="0"/>
        <v>1.4962686336266984</v>
      </c>
    </row>
    <row r="19" spans="2:15" x14ac:dyDescent="0.25">
      <c r="B19" t="s">
        <v>129</v>
      </c>
      <c r="C19" t="s">
        <v>130</v>
      </c>
      <c r="N19">
        <f t="shared" si="1"/>
        <v>40</v>
      </c>
      <c r="O19">
        <f t="shared" si="0"/>
        <v>2.6549190084311363</v>
      </c>
    </row>
    <row r="20" spans="2:15" x14ac:dyDescent="0.25">
      <c r="B20">
        <v>0</v>
      </c>
      <c r="C20">
        <f>SQRT($B$9^2+B20^2)-$B$9</f>
        <v>0</v>
      </c>
      <c r="N20">
        <f t="shared" si="1"/>
        <v>50</v>
      </c>
      <c r="O20">
        <f t="shared" si="0"/>
        <v>4.1381265149109936</v>
      </c>
    </row>
    <row r="21" spans="2:15" x14ac:dyDescent="0.25">
      <c r="B21">
        <f>IF(B20+$B$10&lt;=$B$9,B20+$B$10)</f>
        <v>10</v>
      </c>
      <c r="C21">
        <f t="shared" ref="C21:C28" si="2">SQRT($B$9^2+B21^2)-$B$9</f>
        <v>0.62257748298549132</v>
      </c>
      <c r="N21">
        <f t="shared" si="1"/>
        <v>60</v>
      </c>
      <c r="O21">
        <f t="shared" si="0"/>
        <v>5.9411708155670908</v>
      </c>
    </row>
    <row r="22" spans="2:15" x14ac:dyDescent="0.25">
      <c r="B22">
        <f t="shared" ref="B22:B28" si="3">IF(B21+$B$10&lt;=$B$9,B21+$B$10)</f>
        <v>20</v>
      </c>
      <c r="C22">
        <f t="shared" si="2"/>
        <v>2.4621125123532153</v>
      </c>
      <c r="N22">
        <f t="shared" si="1"/>
        <v>70</v>
      </c>
      <c r="O22">
        <f t="shared" si="0"/>
        <v>8.0584360149872509</v>
      </c>
    </row>
    <row r="23" spans="2:15" x14ac:dyDescent="0.25">
      <c r="B23">
        <f t="shared" si="3"/>
        <v>30</v>
      </c>
      <c r="C23">
        <f t="shared" si="2"/>
        <v>5.4400374531753073</v>
      </c>
      <c r="N23">
        <f t="shared" si="1"/>
        <v>80</v>
      </c>
      <c r="O23">
        <f t="shared" si="0"/>
        <v>10.483493925200492</v>
      </c>
    </row>
    <row r="24" spans="2:15" x14ac:dyDescent="0.25">
      <c r="B24">
        <f t="shared" si="3"/>
        <v>40</v>
      </c>
      <c r="C24">
        <f t="shared" si="2"/>
        <v>9.4427190999915922</v>
      </c>
      <c r="N24">
        <f t="shared" si="1"/>
        <v>90</v>
      </c>
      <c r="O24">
        <f t="shared" si="0"/>
        <v>13.209195267316488</v>
      </c>
    </row>
    <row r="25" spans="2:15" x14ac:dyDescent="0.25">
      <c r="B25">
        <f t="shared" si="3"/>
        <v>50</v>
      </c>
      <c r="C25">
        <f t="shared" si="2"/>
        <v>14.339811320566042</v>
      </c>
      <c r="N25">
        <f t="shared" si="1"/>
        <v>100</v>
      </c>
      <c r="O25">
        <f t="shared" si="0"/>
        <v>16.227766016837961</v>
      </c>
    </row>
    <row r="26" spans="2:15" x14ac:dyDescent="0.25">
      <c r="B26">
        <f t="shared" si="3"/>
        <v>60</v>
      </c>
      <c r="C26">
        <f t="shared" si="2"/>
        <v>20</v>
      </c>
    </row>
    <row r="27" spans="2:15" x14ac:dyDescent="0.25">
      <c r="B27">
        <f t="shared" si="3"/>
        <v>70</v>
      </c>
      <c r="C27">
        <f t="shared" si="2"/>
        <v>26.301458127346493</v>
      </c>
    </row>
    <row r="28" spans="2:15" x14ac:dyDescent="0.25">
      <c r="B28">
        <f t="shared" si="3"/>
        <v>80</v>
      </c>
      <c r="C28">
        <f t="shared" si="2"/>
        <v>33.137084989847608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3"/>
  <sheetViews>
    <sheetView workbookViewId="0">
      <selection activeCell="C14" sqref="C14"/>
    </sheetView>
  </sheetViews>
  <sheetFormatPr defaultRowHeight="15" x14ac:dyDescent="0.25"/>
  <cols>
    <col min="1" max="1" width="4.85546875" customWidth="1"/>
    <col min="2" max="2" width="46.85546875" customWidth="1"/>
  </cols>
  <sheetData>
    <row r="3" spans="1:14" ht="19.5" x14ac:dyDescent="0.35">
      <c r="A3" s="50" t="s">
        <v>8</v>
      </c>
      <c r="B3" s="50"/>
      <c r="C3" s="36"/>
      <c r="D3" s="36"/>
      <c r="E3" s="36"/>
    </row>
    <row r="4" spans="1:14" ht="18.75" x14ac:dyDescent="0.3">
      <c r="C4" s="38" t="s">
        <v>135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7" spans="1:14" x14ac:dyDescent="0.25">
      <c r="B7" s="5" t="s">
        <v>9</v>
      </c>
    </row>
    <row r="8" spans="1:14" x14ac:dyDescent="0.25">
      <c r="A8">
        <v>1</v>
      </c>
      <c r="B8" t="s">
        <v>10</v>
      </c>
      <c r="C8">
        <v>100</v>
      </c>
      <c r="D8">
        <v>11.11</v>
      </c>
      <c r="E8" t="s">
        <v>11</v>
      </c>
    </row>
    <row r="9" spans="1:14" x14ac:dyDescent="0.25">
      <c r="A9">
        <v>2</v>
      </c>
      <c r="B9" t="s">
        <v>12</v>
      </c>
      <c r="C9">
        <v>250</v>
      </c>
      <c r="D9" t="s">
        <v>3</v>
      </c>
    </row>
    <row r="12" spans="1:14" ht="21" x14ac:dyDescent="0.35">
      <c r="B12" s="5" t="s">
        <v>13</v>
      </c>
      <c r="G12" s="39" t="s">
        <v>131</v>
      </c>
      <c r="H12" s="39"/>
      <c r="I12" s="39"/>
    </row>
    <row r="13" spans="1:14" ht="21" x14ac:dyDescent="0.35">
      <c r="G13" s="39" t="s">
        <v>132</v>
      </c>
      <c r="H13" s="39"/>
      <c r="I13" s="39"/>
    </row>
    <row r="14" spans="1:14" ht="21" x14ac:dyDescent="0.35">
      <c r="A14">
        <v>1</v>
      </c>
      <c r="B14" t="s">
        <v>14</v>
      </c>
      <c r="C14">
        <f>((0.75*D8)^2)/(9.81*C9)</f>
        <v>2.831011467889908E-2</v>
      </c>
      <c r="G14" s="39" t="s">
        <v>133</v>
      </c>
      <c r="H14" s="39"/>
      <c r="I14" s="39"/>
    </row>
    <row r="15" spans="1:14" x14ac:dyDescent="0.25">
      <c r="A15">
        <v>2</v>
      </c>
      <c r="B15" t="s">
        <v>15</v>
      </c>
      <c r="C15">
        <f>((D8)^2/(9.81*C9))-0.07</f>
        <v>-1.9670907237512754E-2</v>
      </c>
    </row>
    <row r="16" spans="1:14" x14ac:dyDescent="0.25">
      <c r="A16">
        <v>3</v>
      </c>
      <c r="B16" t="s">
        <v>16</v>
      </c>
      <c r="C16">
        <f>SQRT(0.22*9.81*C9)</f>
        <v>23.22821560085923</v>
      </c>
    </row>
    <row r="17" spans="2:16" ht="15.75" x14ac:dyDescent="0.25">
      <c r="F17" s="37" t="s">
        <v>134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9" spans="2:16" x14ac:dyDescent="0.25">
      <c r="B19" s="5" t="s">
        <v>17</v>
      </c>
    </row>
    <row r="21" spans="2:16" x14ac:dyDescent="0.25">
      <c r="B21" t="str">
        <f>IF((C14&lt;=0.07),"CALCULATED SUPER ELEVATION MAY BE ADAPTED","FRICTION OF COEFFICIENT FOUND TO BE MORE THAN 0.15")</f>
        <v>CALCULATED SUPER ELEVATION MAY BE ADAPTED</v>
      </c>
    </row>
    <row r="22" spans="2:16" x14ac:dyDescent="0.25">
      <c r="B22" t="str">
        <f>IF((C15&lt;0.15),"MAXIMUM SUPER ELEVATION OF 0.07 MAY ALSO BE ADAPTED","ALLOWABLE VELOCITY IS TO BE CHECKED FOR ADEQUECY")</f>
        <v>MAXIMUM SUPER ELEVATION OF 0.07 MAY ALSO BE ADAPTED</v>
      </c>
    </row>
    <row r="23" spans="2:16" ht="15.75" x14ac:dyDescent="0.25">
      <c r="B23" s="37" t="s">
        <v>136</v>
      </c>
      <c r="C23" s="37"/>
      <c r="D23" s="37"/>
      <c r="E23" s="37"/>
      <c r="F23" s="37"/>
      <c r="G23" s="37"/>
      <c r="H23" s="37"/>
      <c r="I23" s="37"/>
      <c r="J23" s="37"/>
    </row>
  </sheetData>
  <mergeCells count="1">
    <mergeCell ref="A3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25"/>
  <sheetViews>
    <sheetView topLeftCell="B9" zoomScale="80" zoomScaleNormal="80" workbookViewId="0">
      <selection activeCell="M52" sqref="M52"/>
    </sheetView>
  </sheetViews>
  <sheetFormatPr defaultRowHeight="15" x14ac:dyDescent="0.25"/>
  <cols>
    <col min="1" max="1" width="0.85546875" hidden="1" customWidth="1"/>
    <col min="2" max="2" width="23" customWidth="1"/>
    <col min="3" max="3" width="12.140625" customWidth="1"/>
    <col min="4" max="4" width="8.28515625" customWidth="1"/>
    <col min="5" max="5" width="8" customWidth="1"/>
    <col min="6" max="6" width="7.140625" customWidth="1"/>
    <col min="7" max="7" width="16.42578125" customWidth="1"/>
    <col min="8" max="8" width="9.85546875" customWidth="1"/>
    <col min="9" max="9" width="8.5703125" customWidth="1"/>
  </cols>
  <sheetData>
    <row r="3" spans="1:9" ht="15.75" x14ac:dyDescent="0.25">
      <c r="E3" s="3" t="s">
        <v>18</v>
      </c>
    </row>
    <row r="6" spans="1:9" x14ac:dyDescent="0.25">
      <c r="B6" s="40" t="s">
        <v>9</v>
      </c>
      <c r="C6" s="41"/>
      <c r="D6" s="41"/>
    </row>
    <row r="7" spans="1:9" x14ac:dyDescent="0.25">
      <c r="A7">
        <v>1</v>
      </c>
      <c r="B7" s="41" t="s">
        <v>33</v>
      </c>
      <c r="C7" s="41">
        <v>105</v>
      </c>
      <c r="D7" s="41" t="s">
        <v>3</v>
      </c>
    </row>
    <row r="8" spans="1:9" x14ac:dyDescent="0.25">
      <c r="A8">
        <v>2</v>
      </c>
      <c r="B8" s="41" t="s">
        <v>19</v>
      </c>
      <c r="C8" s="41">
        <v>10</v>
      </c>
      <c r="D8" s="41" t="s">
        <v>3</v>
      </c>
    </row>
    <row r="9" spans="1:9" x14ac:dyDescent="0.25">
      <c r="A9">
        <v>3</v>
      </c>
      <c r="B9" s="41" t="s">
        <v>20</v>
      </c>
      <c r="C9" s="41">
        <v>30</v>
      </c>
      <c r="D9" s="41" t="s">
        <v>3</v>
      </c>
    </row>
    <row r="10" spans="1:9" x14ac:dyDescent="0.25">
      <c r="A10">
        <v>4</v>
      </c>
      <c r="B10" s="41" t="s">
        <v>31</v>
      </c>
      <c r="C10" s="41">
        <v>2</v>
      </c>
      <c r="D10" s="41"/>
    </row>
    <row r="11" spans="1:9" x14ac:dyDescent="0.25">
      <c r="A11">
        <v>5</v>
      </c>
      <c r="B11" s="41" t="s">
        <v>21</v>
      </c>
      <c r="C11" s="41">
        <v>100</v>
      </c>
      <c r="D11" s="41"/>
    </row>
    <row r="12" spans="1:9" x14ac:dyDescent="0.25">
      <c r="A12">
        <v>6</v>
      </c>
      <c r="B12" s="41" t="s">
        <v>29</v>
      </c>
      <c r="C12" s="41" t="s">
        <v>30</v>
      </c>
      <c r="D12" s="41"/>
    </row>
    <row r="13" spans="1:9" x14ac:dyDescent="0.25">
      <c r="B13" s="41"/>
      <c r="C13" s="41"/>
      <c r="D13" s="41"/>
    </row>
    <row r="14" spans="1:9" x14ac:dyDescent="0.25">
      <c r="B14" s="42" t="s">
        <v>22</v>
      </c>
      <c r="C14" s="41"/>
      <c r="D14" s="41"/>
    </row>
    <row r="15" spans="1:9" x14ac:dyDescent="0.25">
      <c r="B15" s="41"/>
      <c r="C15" s="41"/>
      <c r="D15" s="41"/>
    </row>
    <row r="16" spans="1:9" x14ac:dyDescent="0.25">
      <c r="B16" s="43" t="s">
        <v>23</v>
      </c>
      <c r="C16" s="43" t="s">
        <v>24</v>
      </c>
      <c r="D16" s="41" t="s">
        <v>25</v>
      </c>
      <c r="E16" t="s">
        <v>26</v>
      </c>
      <c r="F16" t="s">
        <v>27</v>
      </c>
      <c r="G16" t="s">
        <v>28</v>
      </c>
      <c r="H16" t="s">
        <v>29</v>
      </c>
      <c r="I16" t="s">
        <v>126</v>
      </c>
    </row>
    <row r="17" spans="2:10" x14ac:dyDescent="0.25">
      <c r="B17" s="41">
        <v>10</v>
      </c>
      <c r="C17" s="41">
        <v>300</v>
      </c>
      <c r="D17" s="41">
        <v>104.2</v>
      </c>
      <c r="E17" s="41">
        <v>105</v>
      </c>
      <c r="F17">
        <f>E17-D17</f>
        <v>0.79999999999999716</v>
      </c>
      <c r="G17" s="41">
        <v>0</v>
      </c>
      <c r="H17">
        <f>$C$8*G17+2*G17^2</f>
        <v>0</v>
      </c>
      <c r="I17">
        <f>H17*$C$9</f>
        <v>0</v>
      </c>
    </row>
    <row r="18" spans="2:10" x14ac:dyDescent="0.25">
      <c r="B18" s="41">
        <v>11</v>
      </c>
      <c r="C18" s="41">
        <f>C17+30</f>
        <v>330</v>
      </c>
      <c r="D18" s="41">
        <v>104.8</v>
      </c>
      <c r="E18">
        <f>E17+$C$9/$C$11</f>
        <v>105.3</v>
      </c>
      <c r="F18">
        <f t="shared" ref="F18:F24" si="0">E18-D18</f>
        <v>0.5</v>
      </c>
      <c r="G18">
        <f>(F18+F17)/2</f>
        <v>0.64999999999999858</v>
      </c>
      <c r="H18">
        <f t="shared" ref="H18:H24" si="1">$C$8*G18+2*G18^2</f>
        <v>7.344999999999982</v>
      </c>
      <c r="I18">
        <f t="shared" ref="I18:I24" si="2">H18*$C$9</f>
        <v>220.34999999999945</v>
      </c>
    </row>
    <row r="19" spans="2:10" x14ac:dyDescent="0.25">
      <c r="B19" s="41">
        <v>12</v>
      </c>
      <c r="C19" s="41">
        <f t="shared" ref="C19:C24" si="3">C18+30</f>
        <v>360</v>
      </c>
      <c r="D19" s="41">
        <v>104.6</v>
      </c>
      <c r="E19">
        <f t="shared" ref="E19:E24" si="4">E18+$C$9/$C$11</f>
        <v>105.6</v>
      </c>
      <c r="F19">
        <f t="shared" si="0"/>
        <v>1</v>
      </c>
      <c r="G19">
        <f t="shared" ref="G19:G24" si="5">(F19+F18)/2</f>
        <v>0.75</v>
      </c>
      <c r="H19">
        <f t="shared" si="1"/>
        <v>8.625</v>
      </c>
      <c r="I19">
        <f t="shared" si="2"/>
        <v>258.75</v>
      </c>
    </row>
    <row r="20" spans="2:10" x14ac:dyDescent="0.25">
      <c r="B20" s="41">
        <v>13</v>
      </c>
      <c r="C20" s="41">
        <f t="shared" si="3"/>
        <v>390</v>
      </c>
      <c r="D20" s="41">
        <v>104.3</v>
      </c>
      <c r="E20">
        <f t="shared" si="4"/>
        <v>105.89999999999999</v>
      </c>
      <c r="F20">
        <f t="shared" si="0"/>
        <v>1.5999999999999943</v>
      </c>
      <c r="G20">
        <f t="shared" si="5"/>
        <v>1.2999999999999972</v>
      </c>
      <c r="H20">
        <f t="shared" si="1"/>
        <v>16.379999999999956</v>
      </c>
      <c r="I20">
        <f t="shared" si="2"/>
        <v>491.39999999999867</v>
      </c>
    </row>
    <row r="21" spans="2:10" x14ac:dyDescent="0.25">
      <c r="B21" s="41">
        <v>14</v>
      </c>
      <c r="C21" s="41">
        <f t="shared" si="3"/>
        <v>420</v>
      </c>
      <c r="D21" s="41">
        <v>105</v>
      </c>
      <c r="E21">
        <f t="shared" si="4"/>
        <v>106.19999999999999</v>
      </c>
      <c r="F21">
        <f t="shared" si="0"/>
        <v>1.1999999999999886</v>
      </c>
      <c r="G21">
        <f t="shared" si="5"/>
        <v>1.3999999999999915</v>
      </c>
      <c r="H21">
        <f t="shared" si="1"/>
        <v>17.919999999999867</v>
      </c>
      <c r="I21">
        <f t="shared" si="2"/>
        <v>537.59999999999604</v>
      </c>
    </row>
    <row r="22" spans="2:10" x14ac:dyDescent="0.25">
      <c r="B22" s="41">
        <v>15</v>
      </c>
      <c r="C22" s="41">
        <f t="shared" si="3"/>
        <v>450</v>
      </c>
      <c r="D22" s="41">
        <v>104.5</v>
      </c>
      <c r="E22">
        <f t="shared" si="4"/>
        <v>106.49999999999999</v>
      </c>
      <c r="F22">
        <f t="shared" si="0"/>
        <v>1.9999999999999858</v>
      </c>
      <c r="G22">
        <f t="shared" si="5"/>
        <v>1.5999999999999872</v>
      </c>
      <c r="H22">
        <f t="shared" si="1"/>
        <v>21.119999999999791</v>
      </c>
      <c r="I22">
        <f t="shared" si="2"/>
        <v>633.59999999999377</v>
      </c>
    </row>
    <row r="23" spans="2:10" x14ac:dyDescent="0.25">
      <c r="B23" s="41">
        <v>16</v>
      </c>
      <c r="C23" s="41">
        <f t="shared" si="3"/>
        <v>480</v>
      </c>
      <c r="D23" s="41">
        <v>105.2</v>
      </c>
      <c r="E23">
        <f t="shared" si="4"/>
        <v>106.79999999999998</v>
      </c>
      <c r="F23">
        <f t="shared" si="0"/>
        <v>1.5999999999999801</v>
      </c>
      <c r="G23">
        <f t="shared" si="5"/>
        <v>1.7999999999999829</v>
      </c>
      <c r="H23">
        <f t="shared" si="1"/>
        <v>24.479999999999706</v>
      </c>
      <c r="I23">
        <f t="shared" si="2"/>
        <v>734.39999999999122</v>
      </c>
    </row>
    <row r="24" spans="2:10" x14ac:dyDescent="0.25">
      <c r="B24" s="41">
        <v>17</v>
      </c>
      <c r="C24" s="41">
        <f t="shared" si="3"/>
        <v>510</v>
      </c>
      <c r="D24" s="41">
        <v>105.6</v>
      </c>
      <c r="E24">
        <f t="shared" si="4"/>
        <v>107.09999999999998</v>
      </c>
      <c r="F24">
        <f t="shared" si="0"/>
        <v>1.4999999999999858</v>
      </c>
      <c r="G24">
        <f t="shared" si="5"/>
        <v>1.5499999999999829</v>
      </c>
      <c r="H24">
        <f t="shared" si="1"/>
        <v>20.304999999999723</v>
      </c>
      <c r="I24">
        <f t="shared" si="2"/>
        <v>609.14999999999168</v>
      </c>
    </row>
    <row r="25" spans="2:10" x14ac:dyDescent="0.25">
      <c r="H25" t="s">
        <v>125</v>
      </c>
      <c r="I25">
        <f>SUM(I17:I24)</f>
        <v>3485.2499999999709</v>
      </c>
      <c r="J25" t="s">
        <v>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69"/>
  <sheetViews>
    <sheetView topLeftCell="A7" zoomScaleNormal="100" workbookViewId="0">
      <selection activeCell="C23" sqref="C23"/>
    </sheetView>
  </sheetViews>
  <sheetFormatPr defaultRowHeight="15" x14ac:dyDescent="0.25"/>
  <cols>
    <col min="1" max="1" width="10" customWidth="1"/>
    <col min="2" max="2" width="60.28515625" customWidth="1"/>
    <col min="3" max="3" width="10.5703125" bestFit="1" customWidth="1"/>
    <col min="4" max="4" width="9.140625" customWidth="1"/>
  </cols>
  <sheetData>
    <row r="3" spans="1:7" ht="27" x14ac:dyDescent="0.35">
      <c r="A3" s="51" t="s">
        <v>34</v>
      </c>
      <c r="B3" s="51"/>
      <c r="C3" s="51"/>
      <c r="D3" s="51"/>
    </row>
    <row r="5" spans="1:7" s="8" customFormat="1" ht="15.75" x14ac:dyDescent="0.25">
      <c r="G5" s="9"/>
    </row>
    <row r="7" spans="1:7" ht="25.5" x14ac:dyDescent="0.35">
      <c r="B7" s="6" t="s">
        <v>1</v>
      </c>
    </row>
    <row r="9" spans="1:7" x14ac:dyDescent="0.25">
      <c r="B9" t="s">
        <v>35</v>
      </c>
      <c r="C9">
        <v>6</v>
      </c>
      <c r="D9" t="s">
        <v>39</v>
      </c>
      <c r="E9">
        <f>C9*1000</f>
        <v>6000</v>
      </c>
      <c r="F9" t="s">
        <v>40</v>
      </c>
    </row>
    <row r="10" spans="1:7" x14ac:dyDescent="0.25">
      <c r="B10" t="s">
        <v>49</v>
      </c>
      <c r="C10">
        <v>0.3</v>
      </c>
      <c r="D10" t="s">
        <v>39</v>
      </c>
      <c r="E10">
        <f>C10*1000</f>
        <v>300</v>
      </c>
      <c r="F10" t="s">
        <v>40</v>
      </c>
    </row>
    <row r="11" spans="1:7" x14ac:dyDescent="0.25">
      <c r="B11" t="s">
        <v>36</v>
      </c>
      <c r="C11">
        <v>12</v>
      </c>
      <c r="D11" t="s">
        <v>41</v>
      </c>
    </row>
    <row r="12" spans="1:7" x14ac:dyDescent="0.25">
      <c r="B12" t="s">
        <v>74</v>
      </c>
      <c r="C12">
        <v>0.38</v>
      </c>
      <c r="D12" t="s">
        <v>3</v>
      </c>
      <c r="E12">
        <f>C12*1000</f>
        <v>380</v>
      </c>
      <c r="F12" t="s">
        <v>40</v>
      </c>
    </row>
    <row r="13" spans="1:7" x14ac:dyDescent="0.25">
      <c r="B13" t="s">
        <v>37</v>
      </c>
    </row>
    <row r="14" spans="1:7" x14ac:dyDescent="0.25">
      <c r="B14" t="s">
        <v>44</v>
      </c>
      <c r="C14">
        <v>20</v>
      </c>
      <c r="D14" t="s">
        <v>38</v>
      </c>
    </row>
    <row r="15" spans="1:7" x14ac:dyDescent="0.25">
      <c r="B15" t="s">
        <v>45</v>
      </c>
      <c r="C15">
        <v>415</v>
      </c>
      <c r="D15" t="s">
        <v>38</v>
      </c>
    </row>
    <row r="17" spans="1:6" s="7" customFormat="1" x14ac:dyDescent="0.25"/>
    <row r="20" spans="1:6" ht="18.75" x14ac:dyDescent="0.3">
      <c r="A20">
        <v>1</v>
      </c>
      <c r="B20" s="10" t="s">
        <v>42</v>
      </c>
    </row>
    <row r="22" spans="1:6" x14ac:dyDescent="0.25">
      <c r="B22" t="s">
        <v>168</v>
      </c>
      <c r="C22">
        <f>E9/20</f>
        <v>300</v>
      </c>
      <c r="D22" t="s">
        <v>164</v>
      </c>
      <c r="E22">
        <f>C22/1000</f>
        <v>0.3</v>
      </c>
      <c r="F22" t="s">
        <v>39</v>
      </c>
    </row>
    <row r="23" spans="1:6" x14ac:dyDescent="0.25">
      <c r="B23" t="s">
        <v>43</v>
      </c>
      <c r="C23">
        <f>C22+50</f>
        <v>350</v>
      </c>
      <c r="D23" t="s">
        <v>164</v>
      </c>
      <c r="E23">
        <f>C23/1000</f>
        <v>0.35</v>
      </c>
      <c r="F23" t="s">
        <v>39</v>
      </c>
    </row>
    <row r="26" spans="1:6" s="13" customFormat="1" x14ac:dyDescent="0.25"/>
    <row r="29" spans="1:6" ht="21" x14ac:dyDescent="0.35">
      <c r="A29">
        <v>2</v>
      </c>
      <c r="B29" s="14" t="s">
        <v>46</v>
      </c>
    </row>
    <row r="31" spans="1:6" x14ac:dyDescent="0.25">
      <c r="B31" t="s">
        <v>169</v>
      </c>
      <c r="C31">
        <f>MIN(C9+E22,C9+C12)</f>
        <v>6.3</v>
      </c>
      <c r="D31" t="s">
        <v>3</v>
      </c>
      <c r="E31">
        <f>C31*1000</f>
        <v>6300</v>
      </c>
      <c r="F31" t="s">
        <v>40</v>
      </c>
    </row>
    <row r="34" spans="1:4" s="11" customFormat="1" x14ac:dyDescent="0.25"/>
    <row r="37" spans="1:4" ht="21" x14ac:dyDescent="0.35">
      <c r="A37">
        <v>3</v>
      </c>
      <c r="B37" s="14" t="s">
        <v>47</v>
      </c>
    </row>
    <row r="39" spans="1:4" x14ac:dyDescent="0.25">
      <c r="B39" t="s">
        <v>48</v>
      </c>
      <c r="C39">
        <f>C10*E23*25</f>
        <v>2.625</v>
      </c>
      <c r="D39" t="s">
        <v>50</v>
      </c>
    </row>
    <row r="40" spans="1:4" x14ac:dyDescent="0.25">
      <c r="B40" t="s">
        <v>165</v>
      </c>
      <c r="C40" s="49">
        <f>1.5*(C39+C11)</f>
        <v>21.9375</v>
      </c>
      <c r="D40" t="s">
        <v>50</v>
      </c>
    </row>
    <row r="41" spans="1:4" x14ac:dyDescent="0.25">
      <c r="B41" t="s">
        <v>166</v>
      </c>
      <c r="C41" s="49">
        <f>(C40*C31^2)/8</f>
        <v>108.83742187499999</v>
      </c>
      <c r="D41" t="s">
        <v>53</v>
      </c>
    </row>
    <row r="42" spans="1:4" x14ac:dyDescent="0.25">
      <c r="B42" t="s">
        <v>167</v>
      </c>
      <c r="C42" s="49">
        <f>(C40*C31)/2</f>
        <v>69.103124999999991</v>
      </c>
      <c r="D42" t="s">
        <v>55</v>
      </c>
    </row>
    <row r="44" spans="1:4" s="12" customFormat="1" x14ac:dyDescent="0.25"/>
    <row r="47" spans="1:4" ht="21" x14ac:dyDescent="0.35">
      <c r="A47">
        <v>4</v>
      </c>
      <c r="B47" s="14" t="s">
        <v>56</v>
      </c>
    </row>
    <row r="49" spans="1:4" x14ac:dyDescent="0.25">
      <c r="B49" t="s">
        <v>57</v>
      </c>
      <c r="C49">
        <v>1</v>
      </c>
    </row>
    <row r="50" spans="1:4" x14ac:dyDescent="0.25">
      <c r="B50" t="s">
        <v>58</v>
      </c>
      <c r="C50">
        <f>(E10*C22*C14)/C15</f>
        <v>4337.3493975903611</v>
      </c>
    </row>
    <row r="51" spans="1:4" x14ac:dyDescent="0.25">
      <c r="B51" t="s">
        <v>59</v>
      </c>
      <c r="C51">
        <f>(C41*10^6*E10*C14)/(0.87*C15^2)</f>
        <v>4358269.1797518274</v>
      </c>
    </row>
    <row r="52" spans="1:4" x14ac:dyDescent="0.25">
      <c r="B52" t="s">
        <v>170</v>
      </c>
      <c r="C52">
        <f>(C50-SQRT(C50^2-4*C49*C51))/(2*C49)</f>
        <v>1581.409197132994</v>
      </c>
      <c r="D52" t="s">
        <v>61</v>
      </c>
    </row>
    <row r="53" spans="1:4" x14ac:dyDescent="0.25">
      <c r="B53" t="s">
        <v>62</v>
      </c>
      <c r="C53">
        <v>16</v>
      </c>
      <c r="D53" t="s">
        <v>40</v>
      </c>
    </row>
    <row r="54" spans="1:4" x14ac:dyDescent="0.25">
      <c r="B54" t="s">
        <v>63</v>
      </c>
      <c r="C54">
        <f>ROUNDUP(((C52*4)/(3.142*C53^2)),0)</f>
        <v>8</v>
      </c>
    </row>
    <row r="57" spans="1:4" s="8" customFormat="1" x14ac:dyDescent="0.25"/>
    <row r="60" spans="1:4" ht="21" x14ac:dyDescent="0.35">
      <c r="A60">
        <v>5</v>
      </c>
      <c r="B60" s="14" t="s">
        <v>64</v>
      </c>
    </row>
    <row r="63" spans="1:4" x14ac:dyDescent="0.25">
      <c r="B63" t="s">
        <v>65</v>
      </c>
      <c r="C63" s="49">
        <f>(C42*1000)/(E10*C22)</f>
        <v>0.76781249999999979</v>
      </c>
      <c r="D63" t="s">
        <v>38</v>
      </c>
    </row>
    <row r="64" spans="1:4" x14ac:dyDescent="0.25">
      <c r="B64" t="s">
        <v>66</v>
      </c>
      <c r="C64">
        <f>(C52*100)/(E10*C23)</f>
        <v>1.506103997269518</v>
      </c>
      <c r="D64" t="s">
        <v>67</v>
      </c>
    </row>
    <row r="65" spans="2:6" x14ac:dyDescent="0.25">
      <c r="B65" t="s">
        <v>68</v>
      </c>
      <c r="C65">
        <v>0.72</v>
      </c>
      <c r="D65" t="s">
        <v>38</v>
      </c>
    </row>
    <row r="66" spans="2:6" x14ac:dyDescent="0.25">
      <c r="B66" t="s">
        <v>69</v>
      </c>
      <c r="C66">
        <v>2.8</v>
      </c>
      <c r="D66" t="s">
        <v>38</v>
      </c>
    </row>
    <row r="67" spans="2:6" x14ac:dyDescent="0.25">
      <c r="B67" t="s">
        <v>72</v>
      </c>
      <c r="C67">
        <f>(C42*1000)-(C65*E10*C22)</f>
        <v>4303.1249999999854</v>
      </c>
      <c r="D67" t="s">
        <v>70</v>
      </c>
    </row>
    <row r="68" spans="2:6" x14ac:dyDescent="0.25">
      <c r="B68" t="s">
        <v>71</v>
      </c>
      <c r="C68">
        <f>(0.87*C15*F68*C22)/C67</f>
        <v>2530.8173385621003</v>
      </c>
      <c r="D68" t="s">
        <v>40</v>
      </c>
      <c r="E68" t="s">
        <v>171</v>
      </c>
      <c r="F68">
        <f>2 *(3.142*8*8)/4</f>
        <v>100.544</v>
      </c>
    </row>
    <row r="69" spans="2:6" x14ac:dyDescent="0.25">
      <c r="B69" t="s">
        <v>73</v>
      </c>
      <c r="C69">
        <f>TRUNC(MIN(C68,0.75*C22,300))</f>
        <v>225</v>
      </c>
      <c r="D69" t="s">
        <v>40</v>
      </c>
    </row>
  </sheetData>
  <mergeCells count="1">
    <mergeCell ref="A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90"/>
  <sheetViews>
    <sheetView tabSelected="1" topLeftCell="A22" zoomScaleNormal="100" workbookViewId="0">
      <selection activeCell="C31" sqref="C31"/>
    </sheetView>
  </sheetViews>
  <sheetFormatPr defaultRowHeight="15" x14ac:dyDescent="0.25"/>
  <cols>
    <col min="1" max="1" width="3.7109375" customWidth="1"/>
    <col min="2" max="2" width="5.140625" customWidth="1"/>
    <col min="3" max="3" width="62.85546875" customWidth="1"/>
    <col min="4" max="4" width="7.5703125" customWidth="1"/>
  </cols>
  <sheetData>
    <row r="3" spans="1:12" ht="26.25" customHeight="1" x14ac:dyDescent="0.35">
      <c r="A3" s="52" t="s">
        <v>124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2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2" s="21" customFormat="1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2" s="11" customFormat="1" x14ac:dyDescent="0.25"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2" ht="25.5" x14ac:dyDescent="0.35">
      <c r="B7" s="15"/>
      <c r="C7" s="6" t="s">
        <v>1</v>
      </c>
      <c r="D7" s="15"/>
      <c r="E7" s="15"/>
      <c r="F7" s="15"/>
      <c r="G7" s="15"/>
      <c r="H7" s="15"/>
      <c r="I7" s="15"/>
      <c r="J7" s="15"/>
      <c r="K7" s="15"/>
    </row>
    <row r="8" spans="1:12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2" x14ac:dyDescent="0.25">
      <c r="B9" s="15"/>
      <c r="C9" s="15" t="s">
        <v>35</v>
      </c>
      <c r="D9" s="15">
        <v>8</v>
      </c>
      <c r="E9" s="15" t="s">
        <v>39</v>
      </c>
      <c r="F9" s="15">
        <f>D9*1000</f>
        <v>8000</v>
      </c>
      <c r="G9" s="15" t="s">
        <v>40</v>
      </c>
      <c r="H9" s="15"/>
      <c r="I9" s="15"/>
      <c r="J9" s="15"/>
      <c r="K9" s="15"/>
    </row>
    <row r="10" spans="1:12" x14ac:dyDescent="0.25">
      <c r="B10" s="15"/>
      <c r="C10" s="15" t="s">
        <v>49</v>
      </c>
      <c r="D10" s="15">
        <v>0.3</v>
      </c>
      <c r="E10" s="15" t="s">
        <v>39</v>
      </c>
      <c r="F10" s="15">
        <f>D10*1000</f>
        <v>300</v>
      </c>
      <c r="G10" s="15" t="s">
        <v>40</v>
      </c>
      <c r="H10" s="15"/>
      <c r="I10" s="15"/>
      <c r="J10" s="15"/>
      <c r="K10" s="15"/>
    </row>
    <row r="11" spans="1:12" x14ac:dyDescent="0.25">
      <c r="B11" s="15"/>
      <c r="C11" s="15" t="s">
        <v>36</v>
      </c>
      <c r="D11" s="15">
        <v>35</v>
      </c>
      <c r="E11" s="15" t="s">
        <v>41</v>
      </c>
      <c r="F11" s="15"/>
      <c r="G11" s="15"/>
      <c r="H11" s="15"/>
      <c r="I11" s="15"/>
      <c r="J11" s="15"/>
      <c r="K11" s="15"/>
    </row>
    <row r="12" spans="1:12" x14ac:dyDescent="0.25">
      <c r="B12" s="15"/>
      <c r="C12" s="15" t="s">
        <v>74</v>
      </c>
      <c r="D12" s="15">
        <v>0.38</v>
      </c>
      <c r="E12" s="15" t="s">
        <v>3</v>
      </c>
      <c r="F12" s="15">
        <f>D12*1000</f>
        <v>380</v>
      </c>
      <c r="G12" s="15" t="s">
        <v>40</v>
      </c>
      <c r="H12" s="15"/>
      <c r="I12" s="15"/>
      <c r="J12" s="15"/>
      <c r="K12" s="15"/>
    </row>
    <row r="13" spans="1:12" x14ac:dyDescent="0.25">
      <c r="B13" s="15"/>
      <c r="C13" s="15" t="s">
        <v>75</v>
      </c>
      <c r="D13" s="15">
        <v>50</v>
      </c>
      <c r="E13" s="15"/>
      <c r="F13" s="15"/>
      <c r="G13" s="15"/>
      <c r="H13" s="15"/>
      <c r="I13" s="15"/>
      <c r="J13" s="15"/>
      <c r="K13" s="15"/>
    </row>
    <row r="14" spans="1:12" x14ac:dyDescent="0.25">
      <c r="B14" s="15"/>
      <c r="C14" s="15" t="s">
        <v>37</v>
      </c>
      <c r="D14" s="15"/>
      <c r="E14" s="15"/>
      <c r="F14" s="15"/>
      <c r="G14" s="15"/>
      <c r="H14" s="15"/>
      <c r="I14" s="15"/>
      <c r="J14" s="15"/>
      <c r="K14" s="15"/>
    </row>
    <row r="15" spans="1:12" x14ac:dyDescent="0.25">
      <c r="B15" s="15"/>
      <c r="C15" s="15" t="s">
        <v>44</v>
      </c>
      <c r="D15" s="15">
        <v>20</v>
      </c>
      <c r="E15" s="15" t="s">
        <v>38</v>
      </c>
      <c r="F15" s="15"/>
      <c r="G15" s="15"/>
      <c r="H15" s="15"/>
      <c r="I15" s="15"/>
      <c r="J15" s="15"/>
      <c r="K15" s="15"/>
    </row>
    <row r="16" spans="1:12" x14ac:dyDescent="0.25">
      <c r="B16" s="15"/>
      <c r="C16" s="15" t="s">
        <v>45</v>
      </c>
      <c r="D16" s="15">
        <v>415</v>
      </c>
      <c r="E16" s="15" t="s">
        <v>38</v>
      </c>
      <c r="F16" s="15"/>
      <c r="G16" s="15"/>
      <c r="H16" s="15"/>
      <c r="I16" s="15"/>
      <c r="J16" s="15"/>
      <c r="K16" s="15"/>
    </row>
    <row r="17" spans="2:1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2:1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2:11" s="26" customFormat="1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2:1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2:11" ht="21" x14ac:dyDescent="0.35">
      <c r="B21" s="16">
        <v>1</v>
      </c>
      <c r="C21" s="4" t="s">
        <v>42</v>
      </c>
      <c r="D21" s="15"/>
      <c r="E21" s="15"/>
      <c r="F21" s="15"/>
      <c r="G21" s="15"/>
      <c r="H21" s="15"/>
      <c r="I21" s="15"/>
      <c r="J21" s="15"/>
      <c r="K21" s="15"/>
    </row>
    <row r="22" spans="2:1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2:11" x14ac:dyDescent="0.25">
      <c r="B23" s="15"/>
      <c r="C23" s="15" t="s">
        <v>172</v>
      </c>
      <c r="D23" s="15">
        <f>ROUNDUP((F9/20),0)</f>
        <v>400</v>
      </c>
      <c r="E23" s="15" t="s">
        <v>40</v>
      </c>
      <c r="F23" s="15"/>
      <c r="G23" s="15"/>
      <c r="H23" s="15"/>
      <c r="I23" s="15"/>
      <c r="J23" s="15"/>
      <c r="K23" s="15"/>
    </row>
    <row r="24" spans="2:11" x14ac:dyDescent="0.25">
      <c r="B24" s="15"/>
      <c r="C24" s="15" t="s">
        <v>173</v>
      </c>
      <c r="D24" s="15">
        <v>400</v>
      </c>
      <c r="E24" s="15" t="s">
        <v>40</v>
      </c>
      <c r="F24" s="15">
        <f>D24/1000</f>
        <v>0.4</v>
      </c>
      <c r="G24" s="15" t="s">
        <v>3</v>
      </c>
      <c r="H24" s="15"/>
      <c r="I24" s="15"/>
      <c r="J24" s="15"/>
      <c r="K24" s="15"/>
    </row>
    <row r="25" spans="2:11" x14ac:dyDescent="0.25">
      <c r="B25" s="15"/>
      <c r="C25" s="15" t="s">
        <v>43</v>
      </c>
      <c r="D25" s="15">
        <f>D24+D13</f>
        <v>450</v>
      </c>
      <c r="E25" s="15" t="s">
        <v>40</v>
      </c>
      <c r="F25" s="15">
        <f>D25/1000</f>
        <v>0.45</v>
      </c>
      <c r="G25" s="15" t="s">
        <v>3</v>
      </c>
      <c r="H25" s="15"/>
      <c r="I25" s="15"/>
      <c r="J25" s="15"/>
      <c r="K25" s="15"/>
    </row>
    <row r="26" spans="2:1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2:11" s="8" customFormat="1" x14ac:dyDescent="0.25"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2:11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2:11" ht="20.25" x14ac:dyDescent="0.3">
      <c r="B29" s="16">
        <v>2</v>
      </c>
      <c r="C29" s="17" t="s">
        <v>46</v>
      </c>
      <c r="D29" s="15"/>
      <c r="E29" s="15"/>
      <c r="F29" s="15"/>
      <c r="G29" s="15"/>
      <c r="H29" s="15"/>
      <c r="I29" s="15"/>
      <c r="J29" s="15"/>
      <c r="K29" s="15"/>
    </row>
    <row r="30" spans="2:11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2:11" x14ac:dyDescent="0.25">
      <c r="B31" s="15"/>
      <c r="C31" s="15" t="s">
        <v>175</v>
      </c>
      <c r="D31" s="15">
        <f>MIN(D9+F24,D9+D12)</f>
        <v>8.3800000000000008</v>
      </c>
      <c r="E31" s="15" t="s">
        <v>3</v>
      </c>
      <c r="F31" s="15">
        <f>D31*1000</f>
        <v>8380</v>
      </c>
      <c r="G31" s="15" t="s">
        <v>40</v>
      </c>
      <c r="H31" s="15"/>
      <c r="I31" s="15"/>
      <c r="J31" s="15"/>
      <c r="K31" s="15"/>
    </row>
    <row r="32" spans="2:11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2:11" s="29" customFormat="1" x14ac:dyDescent="0.25"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spans="2:11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2:11" ht="20.25" x14ac:dyDescent="0.3">
      <c r="B35" s="16">
        <v>3</v>
      </c>
      <c r="C35" s="17" t="s">
        <v>47</v>
      </c>
      <c r="D35" s="15"/>
      <c r="E35" s="15"/>
      <c r="F35" s="15"/>
      <c r="G35" s="15"/>
      <c r="H35" s="15"/>
      <c r="I35" s="15"/>
      <c r="J35" s="15"/>
      <c r="K35" s="15"/>
    </row>
    <row r="36" spans="2:11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2:11" x14ac:dyDescent="0.25">
      <c r="B37" s="15"/>
      <c r="C37" s="15" t="s">
        <v>48</v>
      </c>
      <c r="D37" s="15">
        <f>D10*F25*25</f>
        <v>3.375</v>
      </c>
      <c r="E37" s="15" t="s">
        <v>50</v>
      </c>
      <c r="F37" s="15"/>
      <c r="G37" s="15"/>
      <c r="H37" s="15"/>
      <c r="I37" s="15"/>
      <c r="J37" s="15"/>
      <c r="K37" s="15"/>
    </row>
    <row r="38" spans="2:11" x14ac:dyDescent="0.25">
      <c r="B38" s="15"/>
      <c r="C38" s="15" t="s">
        <v>51</v>
      </c>
      <c r="D38" s="15">
        <f>1.5*(D37+D11)</f>
        <v>57.5625</v>
      </c>
      <c r="E38" s="15" t="s">
        <v>50</v>
      </c>
      <c r="F38" s="15"/>
      <c r="G38" s="15"/>
      <c r="H38" s="15"/>
      <c r="I38" s="15"/>
      <c r="J38" s="15"/>
      <c r="K38" s="15"/>
    </row>
    <row r="39" spans="2:11" x14ac:dyDescent="0.25">
      <c r="B39" s="15"/>
      <c r="C39" s="15" t="s">
        <v>52</v>
      </c>
      <c r="D39" s="15">
        <f>(D38*D31^2)/8</f>
        <v>505.28650312500014</v>
      </c>
      <c r="E39" s="15" t="s">
        <v>53</v>
      </c>
      <c r="F39" s="15"/>
      <c r="G39" s="15"/>
      <c r="H39" s="15"/>
      <c r="I39" s="15"/>
      <c r="J39" s="15"/>
      <c r="K39" s="15"/>
    </row>
    <row r="40" spans="2:11" x14ac:dyDescent="0.25">
      <c r="B40" s="15"/>
      <c r="C40" s="15" t="s">
        <v>54</v>
      </c>
      <c r="D40" s="15">
        <f>(D38*D9)/2</f>
        <v>230.25</v>
      </c>
      <c r="E40" s="15" t="s">
        <v>55</v>
      </c>
      <c r="F40" s="15"/>
      <c r="G40" s="15"/>
      <c r="H40" s="15"/>
      <c r="I40" s="15"/>
      <c r="J40" s="15"/>
      <c r="K40" s="15"/>
    </row>
    <row r="41" spans="2:11" x14ac:dyDescent="0.25">
      <c r="B41" s="15"/>
      <c r="C41" s="15" t="s">
        <v>76</v>
      </c>
      <c r="D41" s="15">
        <f>0.138*D15*F10*D24^2</f>
        <v>132480000.00000001</v>
      </c>
      <c r="E41" s="15" t="s">
        <v>77</v>
      </c>
      <c r="F41" s="15">
        <f>D41/10^6</f>
        <v>132.48000000000002</v>
      </c>
      <c r="G41" s="15" t="s">
        <v>174</v>
      </c>
      <c r="H41" s="15"/>
      <c r="I41" s="15"/>
      <c r="J41" s="15"/>
      <c r="K41" s="15"/>
    </row>
    <row r="42" spans="2:11" x14ac:dyDescent="0.25">
      <c r="B42" s="15"/>
      <c r="C42" s="15" t="s">
        <v>78</v>
      </c>
      <c r="D42" s="15"/>
      <c r="E42" s="15"/>
      <c r="F42" s="15"/>
      <c r="G42" s="15"/>
      <c r="H42" s="15"/>
      <c r="I42" s="15"/>
      <c r="J42" s="15"/>
      <c r="K42" s="15"/>
    </row>
    <row r="43" spans="2:11" x14ac:dyDescent="0.25">
      <c r="B43" s="15"/>
      <c r="C43" s="15" t="str">
        <f>IF(D39&gt;F41,"THE BEAMIS DESIGN AS A DOUBLY REINFORCED BEAM")</f>
        <v>THE BEAMIS DESIGN AS A DOUBLY REINFORCED BEAM</v>
      </c>
      <c r="D43" s="15"/>
      <c r="E43" s="15"/>
      <c r="F43" s="15"/>
      <c r="G43" s="15"/>
      <c r="H43" s="15"/>
      <c r="I43" s="15"/>
      <c r="J43" s="15"/>
      <c r="K43" s="15"/>
    </row>
    <row r="44" spans="2:1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2:11" s="11" customFormat="1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2:11" ht="20.25" x14ac:dyDescent="0.3">
      <c r="B46" s="15"/>
      <c r="C46" s="17"/>
      <c r="D46" s="15"/>
      <c r="E46" s="15"/>
      <c r="F46" s="15"/>
      <c r="G46" s="15"/>
      <c r="H46" s="15"/>
      <c r="I46" s="15"/>
      <c r="J46" s="15"/>
      <c r="K46" s="15"/>
    </row>
    <row r="47" spans="2:11" ht="20.25" x14ac:dyDescent="0.3">
      <c r="B47" s="16">
        <v>4</v>
      </c>
      <c r="C47" s="17" t="s">
        <v>79</v>
      </c>
      <c r="D47" s="15"/>
      <c r="E47" s="15"/>
      <c r="F47" s="15"/>
      <c r="G47" s="15"/>
      <c r="H47" s="15"/>
      <c r="I47" s="15"/>
      <c r="J47" s="15"/>
      <c r="K47" s="15"/>
    </row>
    <row r="48" spans="2:11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2:11" x14ac:dyDescent="0.25">
      <c r="B49" s="15"/>
      <c r="C49" s="15" t="s">
        <v>80</v>
      </c>
      <c r="D49" s="15">
        <f>D13/D24</f>
        <v>0.125</v>
      </c>
      <c r="E49" s="15"/>
      <c r="F49" s="15"/>
      <c r="G49" s="15"/>
      <c r="H49" s="15"/>
      <c r="I49" s="15"/>
      <c r="J49" s="15"/>
      <c r="K49" s="15"/>
    </row>
    <row r="50" spans="2:11" x14ac:dyDescent="0.25">
      <c r="B50" s="15"/>
      <c r="C50" s="15" t="s">
        <v>81</v>
      </c>
      <c r="D50" s="15">
        <v>353.92</v>
      </c>
      <c r="E50" s="15" t="s">
        <v>38</v>
      </c>
      <c r="F50" s="15"/>
      <c r="G50" s="15"/>
      <c r="H50" s="15"/>
      <c r="I50" s="15"/>
      <c r="J50" s="15"/>
      <c r="K50" s="15"/>
    </row>
    <row r="51" spans="2:11" x14ac:dyDescent="0.25">
      <c r="B51" s="15"/>
      <c r="C51" s="15" t="s">
        <v>82</v>
      </c>
      <c r="D51" s="15">
        <f>((D39-F41)*10^6)/(D50*(D24-D13))</f>
        <v>3009.6107524299287</v>
      </c>
      <c r="E51" s="15" t="s">
        <v>61</v>
      </c>
      <c r="F51" s="15"/>
      <c r="G51" s="15"/>
      <c r="H51" s="15"/>
      <c r="I51" s="15"/>
      <c r="J51" s="15"/>
      <c r="K51" s="15"/>
    </row>
    <row r="52" spans="2:11" x14ac:dyDescent="0.25">
      <c r="B52" s="15"/>
      <c r="C52" s="15" t="s">
        <v>83</v>
      </c>
      <c r="D52" s="22">
        <v>16</v>
      </c>
      <c r="E52" s="15" t="s">
        <v>40</v>
      </c>
      <c r="F52" s="15"/>
      <c r="G52" s="15"/>
      <c r="H52" s="15"/>
      <c r="I52" s="15"/>
      <c r="J52" s="15"/>
      <c r="K52" s="15"/>
    </row>
    <row r="53" spans="2:11" x14ac:dyDescent="0.25">
      <c r="B53" s="15"/>
      <c r="C53" s="15" t="s">
        <v>84</v>
      </c>
      <c r="D53" s="15">
        <f>TRUNC((D51*4)/(3.142*D52^2))</f>
        <v>14</v>
      </c>
      <c r="E53" s="15"/>
      <c r="F53" s="15"/>
      <c r="G53" s="15"/>
      <c r="H53" s="15"/>
      <c r="I53" s="15"/>
      <c r="J53" s="15"/>
      <c r="K53" s="15"/>
    </row>
    <row r="54" spans="2:11" x14ac:dyDescent="0.25"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2:11" s="13" customFormat="1" x14ac:dyDescent="0.25"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 spans="2:11" x14ac:dyDescent="0.25"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2:11" ht="20.25" x14ac:dyDescent="0.3">
      <c r="B57" s="16">
        <v>5</v>
      </c>
      <c r="C57" s="17" t="s">
        <v>85</v>
      </c>
      <c r="D57" s="15"/>
      <c r="E57" s="15"/>
      <c r="F57" s="15"/>
      <c r="G57" s="15"/>
      <c r="H57" s="15"/>
      <c r="I57" s="15"/>
      <c r="J57" s="15"/>
      <c r="K57" s="15"/>
    </row>
    <row r="58" spans="2:11" x14ac:dyDescent="0.25"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2:11" x14ac:dyDescent="0.25">
      <c r="B59" s="15"/>
      <c r="C59" s="15" t="s">
        <v>86</v>
      </c>
      <c r="D59" s="15">
        <f>0.48*D24</f>
        <v>192</v>
      </c>
      <c r="E59" s="15" t="s">
        <v>40</v>
      </c>
      <c r="F59" s="15"/>
      <c r="G59" s="15"/>
      <c r="H59" s="15"/>
      <c r="I59" s="15"/>
      <c r="J59" s="15"/>
      <c r="K59" s="15"/>
    </row>
    <row r="60" spans="2:11" x14ac:dyDescent="0.25">
      <c r="B60" s="15"/>
      <c r="C60" s="15" t="s">
        <v>87</v>
      </c>
      <c r="D60" s="15">
        <f>(0.36*D15*D59*F10)/(0.87*D16)</f>
        <v>1148.649771499792</v>
      </c>
      <c r="E60" s="15" t="s">
        <v>61</v>
      </c>
      <c r="F60" s="15"/>
      <c r="G60" s="15"/>
      <c r="H60" s="15"/>
      <c r="I60" s="15"/>
      <c r="J60" s="15"/>
      <c r="K60" s="15"/>
    </row>
    <row r="61" spans="2:11" x14ac:dyDescent="0.25">
      <c r="B61" s="15"/>
      <c r="C61" s="15" t="s">
        <v>88</v>
      </c>
      <c r="D61" s="15">
        <f>(D50*D51)/(0.87*D16)</f>
        <v>2950.1770876609899</v>
      </c>
      <c r="E61" s="15" t="s">
        <v>61</v>
      </c>
      <c r="F61" s="15"/>
      <c r="G61" s="15"/>
      <c r="H61" s="15"/>
      <c r="I61" s="15"/>
      <c r="J61" s="15"/>
      <c r="K61" s="15"/>
    </row>
    <row r="62" spans="2:11" x14ac:dyDescent="0.25">
      <c r="B62" s="15"/>
      <c r="C62" s="15" t="s">
        <v>89</v>
      </c>
      <c r="D62" s="15">
        <f>SUM(D60:D61)</f>
        <v>4098.8268591607821</v>
      </c>
      <c r="E62" s="15" t="s">
        <v>61</v>
      </c>
      <c r="F62" s="15"/>
      <c r="G62" s="15"/>
      <c r="H62" s="15"/>
      <c r="I62" s="15"/>
      <c r="J62" s="15"/>
      <c r="K62" s="15"/>
    </row>
    <row r="63" spans="2:11" x14ac:dyDescent="0.25">
      <c r="B63" s="15"/>
      <c r="C63" s="15" t="s">
        <v>90</v>
      </c>
      <c r="D63" s="22">
        <v>25</v>
      </c>
      <c r="E63" s="15" t="s">
        <v>40</v>
      </c>
      <c r="F63" s="15"/>
      <c r="G63" s="15"/>
      <c r="H63" s="15"/>
      <c r="I63" s="15"/>
      <c r="J63" s="15"/>
      <c r="K63" s="15"/>
    </row>
    <row r="64" spans="2:11" x14ac:dyDescent="0.25">
      <c r="B64" s="15"/>
      <c r="C64" s="15" t="s">
        <v>91</v>
      </c>
      <c r="D64" s="15">
        <f>TRUNC((D62*4)/(3.142*D63^2))</f>
        <v>8</v>
      </c>
      <c r="E64" s="15"/>
      <c r="F64" s="15"/>
      <c r="G64" s="15"/>
      <c r="H64" s="15"/>
      <c r="I64" s="15"/>
      <c r="J64" s="15"/>
      <c r="K64" s="15"/>
    </row>
    <row r="65" spans="2:1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2:11" s="12" customFormat="1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</row>
    <row r="67" spans="2:1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2:11" ht="20.25" x14ac:dyDescent="0.3">
      <c r="B68" s="16">
        <v>6</v>
      </c>
      <c r="C68" s="17" t="s">
        <v>64</v>
      </c>
      <c r="D68" s="15"/>
      <c r="E68" s="15"/>
      <c r="F68" s="15"/>
      <c r="G68" s="15"/>
      <c r="H68" s="15"/>
      <c r="I68" s="15"/>
      <c r="J68" s="15"/>
      <c r="K68" s="15"/>
    </row>
    <row r="69" spans="2:11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2:11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2:11" x14ac:dyDescent="0.25">
      <c r="B71" s="15"/>
      <c r="C71" s="15" t="s">
        <v>65</v>
      </c>
      <c r="D71" s="15">
        <f>(D40*1000)/(F10*D24)</f>
        <v>1.91875</v>
      </c>
      <c r="E71" s="15" t="s">
        <v>38</v>
      </c>
      <c r="F71" s="15"/>
      <c r="G71" s="15"/>
      <c r="H71" s="15"/>
      <c r="I71" s="15"/>
      <c r="J71" s="15"/>
      <c r="K71" s="15"/>
    </row>
    <row r="72" spans="2:11" x14ac:dyDescent="0.25">
      <c r="B72" s="15"/>
      <c r="C72" s="15" t="s">
        <v>92</v>
      </c>
      <c r="D72" s="15">
        <f>(3*3.142*D63^2)/4</f>
        <v>1472.8125</v>
      </c>
      <c r="E72" s="15" t="s">
        <v>61</v>
      </c>
      <c r="F72" s="15"/>
      <c r="G72" s="15"/>
      <c r="H72" s="15"/>
      <c r="I72" s="15"/>
      <c r="J72" s="15"/>
      <c r="K72" s="15"/>
    </row>
    <row r="73" spans="2:11" x14ac:dyDescent="0.25">
      <c r="B73" s="15"/>
      <c r="C73" s="15" t="s">
        <v>66</v>
      </c>
      <c r="D73" s="15">
        <f>(D72*100)/(F10*D24)</f>
        <v>1.22734375</v>
      </c>
      <c r="E73" s="15" t="s">
        <v>67</v>
      </c>
      <c r="F73" s="15"/>
      <c r="G73" s="15"/>
      <c r="H73" s="15"/>
      <c r="I73" s="15"/>
      <c r="J73" s="15"/>
      <c r="K73" s="15"/>
    </row>
    <row r="74" spans="2:11" x14ac:dyDescent="0.25">
      <c r="B74" s="15"/>
      <c r="C74" s="15" t="s">
        <v>68</v>
      </c>
      <c r="D74" s="15">
        <v>0.56000000000000005</v>
      </c>
      <c r="E74" s="15" t="s">
        <v>38</v>
      </c>
      <c r="F74" s="15"/>
      <c r="G74" s="15"/>
      <c r="H74" s="15"/>
      <c r="I74" s="15"/>
      <c r="J74" s="15"/>
      <c r="K74" s="15"/>
    </row>
    <row r="75" spans="2:11" x14ac:dyDescent="0.25">
      <c r="B75" s="15"/>
      <c r="C75" s="15" t="s">
        <v>69</v>
      </c>
      <c r="D75" s="15">
        <v>2.8</v>
      </c>
      <c r="E75" s="15" t="s">
        <v>38</v>
      </c>
      <c r="F75" s="15"/>
      <c r="G75" s="15"/>
      <c r="H75" s="15"/>
      <c r="I75" s="15"/>
      <c r="J75" s="15"/>
      <c r="K75" s="15"/>
    </row>
    <row r="76" spans="2:11" x14ac:dyDescent="0.25">
      <c r="B76" s="15"/>
      <c r="C76" s="15" t="s">
        <v>72</v>
      </c>
      <c r="D76" s="15">
        <f>(D40*1000-D74*F10*D24)</f>
        <v>163050</v>
      </c>
      <c r="E76" s="15" t="s">
        <v>70</v>
      </c>
      <c r="F76" s="15"/>
      <c r="G76" s="15"/>
      <c r="H76" s="15"/>
      <c r="I76" s="15"/>
      <c r="J76" s="15"/>
      <c r="K76" s="15"/>
    </row>
    <row r="77" spans="2:11" x14ac:dyDescent="0.25">
      <c r="B77" s="15"/>
      <c r="C77" s="15" t="s">
        <v>71</v>
      </c>
      <c r="D77" s="15">
        <f>TRUNC((0.87*D16*100.54*D24)/(D76))</f>
        <v>89</v>
      </c>
      <c r="E77" s="15" t="s">
        <v>40</v>
      </c>
      <c r="F77" s="15"/>
      <c r="G77" s="15"/>
      <c r="H77" s="15"/>
      <c r="I77" s="15"/>
      <c r="J77" s="15"/>
      <c r="K77" s="15"/>
    </row>
    <row r="78" spans="2:11" x14ac:dyDescent="0.25">
      <c r="B78" s="15"/>
      <c r="C78" s="15" t="s">
        <v>73</v>
      </c>
      <c r="D78" s="15">
        <f>TRUNC(MIN(D77,0.75*D24,300))</f>
        <v>89</v>
      </c>
      <c r="E78" s="15" t="s">
        <v>40</v>
      </c>
      <c r="F78" s="15"/>
      <c r="G78" s="15"/>
      <c r="H78" s="15"/>
      <c r="I78" s="15"/>
      <c r="J78" s="15"/>
      <c r="K78" s="15"/>
    </row>
    <row r="79" spans="2:1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2:11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2:11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2:11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2:11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2:11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2:11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2:11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2:11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2:11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2:11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2:11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</row>
  </sheetData>
  <mergeCells count="1">
    <mergeCell ref="A3:L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66"/>
  <sheetViews>
    <sheetView topLeftCell="A49" workbookViewId="0">
      <selection activeCell="C66" sqref="C66"/>
    </sheetView>
  </sheetViews>
  <sheetFormatPr defaultRowHeight="15" x14ac:dyDescent="0.25"/>
  <cols>
    <col min="1" max="1" width="1" customWidth="1"/>
    <col min="2" max="2" width="51.28515625" customWidth="1"/>
  </cols>
  <sheetData>
    <row r="3" spans="1:6" ht="34.5" x14ac:dyDescent="0.45">
      <c r="B3" s="53" t="s">
        <v>93</v>
      </c>
      <c r="C3" s="53"/>
      <c r="D3" s="53"/>
    </row>
    <row r="5" spans="1:6" s="23" customFormat="1" x14ac:dyDescent="0.25"/>
    <row r="7" spans="1:6" ht="23.25" x14ac:dyDescent="0.35">
      <c r="B7" s="18" t="s">
        <v>94</v>
      </c>
    </row>
    <row r="9" spans="1:6" x14ac:dyDescent="0.25">
      <c r="B9" s="41" t="s">
        <v>95</v>
      </c>
      <c r="C9" s="41">
        <v>200</v>
      </c>
      <c r="D9" s="41" t="s">
        <v>40</v>
      </c>
      <c r="E9">
        <f>C9/1000</f>
        <v>0.2</v>
      </c>
      <c r="F9" t="s">
        <v>3</v>
      </c>
    </row>
    <row r="10" spans="1:6" x14ac:dyDescent="0.25">
      <c r="B10" s="41" t="s">
        <v>96</v>
      </c>
      <c r="C10" s="41">
        <v>3</v>
      </c>
      <c r="D10" s="41" t="s">
        <v>97</v>
      </c>
    </row>
    <row r="11" spans="1:6" x14ac:dyDescent="0.25">
      <c r="B11" s="41" t="s">
        <v>98</v>
      </c>
      <c r="C11" s="41">
        <v>3</v>
      </c>
      <c r="D11" s="41" t="s">
        <v>3</v>
      </c>
      <c r="E11">
        <f>C11*1000</f>
        <v>3000</v>
      </c>
      <c r="F11" t="s">
        <v>40</v>
      </c>
    </row>
    <row r="12" spans="1:6" x14ac:dyDescent="0.25">
      <c r="B12" s="41" t="s">
        <v>100</v>
      </c>
      <c r="C12" s="41">
        <f>C11+E9</f>
        <v>3.2</v>
      </c>
      <c r="D12" s="41" t="s">
        <v>3</v>
      </c>
      <c r="E12">
        <f>C12*1000</f>
        <v>3200</v>
      </c>
      <c r="F12" t="s">
        <v>40</v>
      </c>
    </row>
    <row r="13" spans="1:6" x14ac:dyDescent="0.25">
      <c r="B13" s="41" t="s">
        <v>75</v>
      </c>
      <c r="C13" s="41">
        <v>20</v>
      </c>
      <c r="D13" s="41" t="s">
        <v>40</v>
      </c>
    </row>
    <row r="14" spans="1:6" x14ac:dyDescent="0.25">
      <c r="B14" s="41" t="s">
        <v>117</v>
      </c>
      <c r="C14" s="41">
        <v>1.2</v>
      </c>
      <c r="D14" s="41" t="s">
        <v>97</v>
      </c>
    </row>
    <row r="15" spans="1:6" x14ac:dyDescent="0.25">
      <c r="A15" s="15"/>
      <c r="B15" s="44" t="s">
        <v>37</v>
      </c>
      <c r="C15" s="44"/>
      <c r="D15" s="44"/>
      <c r="E15" s="15"/>
    </row>
    <row r="16" spans="1:6" x14ac:dyDescent="0.25">
      <c r="A16" s="15"/>
      <c r="B16" s="44" t="s">
        <v>44</v>
      </c>
      <c r="C16" s="44">
        <v>15</v>
      </c>
      <c r="D16" s="44" t="s">
        <v>38</v>
      </c>
      <c r="E16" s="15"/>
    </row>
    <row r="17" spans="1:6" x14ac:dyDescent="0.25">
      <c r="A17" s="15"/>
      <c r="B17" s="44" t="s">
        <v>45</v>
      </c>
      <c r="C17" s="44">
        <v>250</v>
      </c>
      <c r="D17" s="44" t="s">
        <v>38</v>
      </c>
      <c r="E17" s="15"/>
    </row>
    <row r="18" spans="1:6" x14ac:dyDescent="0.25">
      <c r="B18" s="41"/>
      <c r="C18" s="41"/>
      <c r="D18" s="41"/>
    </row>
    <row r="19" spans="1:6" s="12" customFormat="1" x14ac:dyDescent="0.25"/>
    <row r="21" spans="1:6" ht="23.25" x14ac:dyDescent="0.35">
      <c r="B21" s="18" t="s">
        <v>99</v>
      </c>
    </row>
    <row r="23" spans="1:6" x14ac:dyDescent="0.25">
      <c r="B23" t="s">
        <v>153</v>
      </c>
      <c r="C23">
        <f>E12/20</f>
        <v>160</v>
      </c>
      <c r="D23" t="s">
        <v>40</v>
      </c>
    </row>
    <row r="24" spans="1:6" x14ac:dyDescent="0.25">
      <c r="B24" t="s">
        <v>101</v>
      </c>
      <c r="C24">
        <f>(MIN(C23,E23))</f>
        <v>160</v>
      </c>
      <c r="D24" t="s">
        <v>40</v>
      </c>
      <c r="E24">
        <f>C24/1000</f>
        <v>0.16</v>
      </c>
      <c r="F24" t="s">
        <v>3</v>
      </c>
    </row>
    <row r="25" spans="1:6" x14ac:dyDescent="0.25">
      <c r="B25" t="s">
        <v>138</v>
      </c>
      <c r="C25">
        <f>C24-C13</f>
        <v>140</v>
      </c>
      <c r="D25" t="s">
        <v>40</v>
      </c>
      <c r="E25">
        <f>C25/1000</f>
        <v>0.14000000000000001</v>
      </c>
      <c r="F25" t="s">
        <v>3</v>
      </c>
    </row>
    <row r="27" spans="1:6" s="11" customFormat="1" x14ac:dyDescent="0.25"/>
    <row r="29" spans="1:6" ht="23.25" x14ac:dyDescent="0.35">
      <c r="B29" s="18" t="s">
        <v>102</v>
      </c>
    </row>
    <row r="31" spans="1:6" x14ac:dyDescent="0.25">
      <c r="B31" t="s">
        <v>139</v>
      </c>
      <c r="C31">
        <f>C11+E9</f>
        <v>3.2</v>
      </c>
      <c r="D31" t="s">
        <v>3</v>
      </c>
    </row>
    <row r="32" spans="1:6" x14ac:dyDescent="0.25">
      <c r="B32" t="s">
        <v>140</v>
      </c>
      <c r="C32">
        <f>C11+E25</f>
        <v>3.14</v>
      </c>
      <c r="D32" t="s">
        <v>3</v>
      </c>
    </row>
    <row r="33" spans="2:7" x14ac:dyDescent="0.25">
      <c r="B33" t="s">
        <v>103</v>
      </c>
      <c r="C33">
        <f>MIN(C31:C32)</f>
        <v>3.14</v>
      </c>
      <c r="D33" t="s">
        <v>3</v>
      </c>
      <c r="E33">
        <f>C33*1000</f>
        <v>3140</v>
      </c>
      <c r="F33" t="s">
        <v>40</v>
      </c>
    </row>
    <row r="35" spans="2:7" s="31" customFormat="1" x14ac:dyDescent="0.25"/>
    <row r="37" spans="2:7" ht="23.25" x14ac:dyDescent="0.35">
      <c r="B37" s="18" t="s">
        <v>104</v>
      </c>
    </row>
    <row r="40" spans="2:7" x14ac:dyDescent="0.25">
      <c r="B40" t="s">
        <v>141</v>
      </c>
      <c r="C40">
        <f>1*E24*25</f>
        <v>4</v>
      </c>
      <c r="D40" t="s">
        <v>97</v>
      </c>
    </row>
    <row r="41" spans="2:7" x14ac:dyDescent="0.25">
      <c r="B41" t="s">
        <v>143</v>
      </c>
      <c r="C41">
        <f>C10</f>
        <v>3</v>
      </c>
      <c r="D41" t="s">
        <v>97</v>
      </c>
    </row>
    <row r="42" spans="2:7" x14ac:dyDescent="0.25">
      <c r="B42" t="s">
        <v>142</v>
      </c>
      <c r="C42">
        <f>C14</f>
        <v>1.2</v>
      </c>
      <c r="D42" t="s">
        <v>97</v>
      </c>
      <c r="G42" s="45" t="s">
        <v>137</v>
      </c>
    </row>
    <row r="43" spans="2:7" x14ac:dyDescent="0.25">
      <c r="B43" t="s">
        <v>154</v>
      </c>
      <c r="C43">
        <f>1.5*(C40+C41+C42)</f>
        <v>12.299999999999999</v>
      </c>
      <c r="D43" t="s">
        <v>50</v>
      </c>
    </row>
    <row r="44" spans="2:7" x14ac:dyDescent="0.25">
      <c r="B44" t="s">
        <v>144</v>
      </c>
      <c r="C44">
        <f>(C43*C33^2)/8</f>
        <v>15.159134999999999</v>
      </c>
      <c r="D44" t="s">
        <v>105</v>
      </c>
    </row>
    <row r="46" spans="2:7" s="23" customFormat="1" x14ac:dyDescent="0.25"/>
    <row r="48" spans="2:7" ht="23.25" x14ac:dyDescent="0.35">
      <c r="B48" s="18" t="s">
        <v>56</v>
      </c>
    </row>
    <row r="50" spans="2:10" ht="18.75" x14ac:dyDescent="0.3">
      <c r="E50" s="47" t="s">
        <v>152</v>
      </c>
      <c r="F50" s="47" t="s">
        <v>151</v>
      </c>
      <c r="G50" s="47"/>
      <c r="H50" s="47"/>
      <c r="I50" s="47"/>
      <c r="J50" s="48"/>
    </row>
    <row r="51" spans="2:10" x14ac:dyDescent="0.25">
      <c r="B51" t="s">
        <v>57</v>
      </c>
      <c r="C51">
        <v>1</v>
      </c>
    </row>
    <row r="52" spans="2:10" x14ac:dyDescent="0.25">
      <c r="B52" t="s">
        <v>145</v>
      </c>
      <c r="C52">
        <f>(1000*C25*C16)/C17</f>
        <v>8400</v>
      </c>
    </row>
    <row r="53" spans="2:10" ht="18.75" x14ac:dyDescent="0.3">
      <c r="B53" t="s">
        <v>146</v>
      </c>
      <c r="C53">
        <f>((C44*10^6*1000*C16)/(0.87*C17^2))</f>
        <v>4181830.3448275863</v>
      </c>
      <c r="E53" s="47" t="s">
        <v>150</v>
      </c>
      <c r="F53" s="47" t="s">
        <v>149</v>
      </c>
      <c r="G53" s="47"/>
      <c r="H53" s="47"/>
      <c r="I53" s="47"/>
      <c r="J53" s="11"/>
    </row>
    <row r="54" spans="2:10" x14ac:dyDescent="0.25">
      <c r="B54" s="41" t="s">
        <v>147</v>
      </c>
      <c r="C54">
        <f>((C52-SQRT(C52^2-4*1*C53))/2)</f>
        <v>531.46219112131621</v>
      </c>
      <c r="D54" t="s">
        <v>61</v>
      </c>
    </row>
    <row r="55" spans="2:10" x14ac:dyDescent="0.25">
      <c r="B55" t="s">
        <v>62</v>
      </c>
      <c r="C55">
        <v>10</v>
      </c>
      <c r="D55" t="s">
        <v>40</v>
      </c>
    </row>
    <row r="56" spans="2:10" x14ac:dyDescent="0.25">
      <c r="B56" t="s">
        <v>148</v>
      </c>
      <c r="C56">
        <f>((3.142*C55^2*1000)/(4*C54))</f>
        <v>147.79978954715423</v>
      </c>
      <c r="D56" t="s">
        <v>40</v>
      </c>
    </row>
    <row r="59" spans="2:10" s="29" customFormat="1" x14ac:dyDescent="0.25"/>
    <row r="61" spans="2:10" ht="23.25" x14ac:dyDescent="0.35">
      <c r="B61" s="19" t="s">
        <v>107</v>
      </c>
    </row>
    <row r="64" spans="2:10" x14ac:dyDescent="0.25">
      <c r="B64" t="s">
        <v>108</v>
      </c>
      <c r="C64">
        <f>((0.15*1000*C25)/100)</f>
        <v>210</v>
      </c>
      <c r="D64" t="s">
        <v>61</v>
      </c>
    </row>
    <row r="65" spans="2:4" x14ac:dyDescent="0.25">
      <c r="B65" t="s">
        <v>62</v>
      </c>
      <c r="C65">
        <v>8</v>
      </c>
      <c r="D65" t="s">
        <v>40</v>
      </c>
    </row>
    <row r="66" spans="2:4" x14ac:dyDescent="0.25">
      <c r="B66" t="s">
        <v>109</v>
      </c>
      <c r="C66">
        <f>TRUNC((3.142*C65^2*1000)/(4*C64))</f>
        <v>239</v>
      </c>
      <c r="D66" t="s">
        <v>40</v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J82"/>
  <sheetViews>
    <sheetView topLeftCell="A49" workbookViewId="0">
      <selection activeCell="C57" sqref="C57"/>
    </sheetView>
  </sheetViews>
  <sheetFormatPr defaultRowHeight="15" x14ac:dyDescent="0.25"/>
  <cols>
    <col min="1" max="1" width="0.140625" customWidth="1"/>
    <col min="2" max="2" width="52.85546875" customWidth="1"/>
    <col min="3" max="3" width="9.7109375" customWidth="1"/>
  </cols>
  <sheetData>
    <row r="4" spans="1:10" ht="33" x14ac:dyDescent="0.45">
      <c r="A4" s="54" t="s">
        <v>110</v>
      </c>
      <c r="B4" s="54"/>
      <c r="C4" s="54"/>
      <c r="D4" s="54"/>
      <c r="E4" s="35"/>
      <c r="F4" s="35"/>
      <c r="G4" s="35"/>
      <c r="H4" s="35"/>
      <c r="I4" s="35"/>
      <c r="J4" s="35"/>
    </row>
    <row r="6" spans="1:10" s="23" customFormat="1" x14ac:dyDescent="0.25"/>
    <row r="8" spans="1:10" ht="23.25" x14ac:dyDescent="0.35">
      <c r="B8" s="46" t="s">
        <v>94</v>
      </c>
      <c r="C8" s="41"/>
      <c r="D8" s="41"/>
    </row>
    <row r="9" spans="1:10" x14ac:dyDescent="0.25">
      <c r="B9" s="41"/>
      <c r="C9" s="41"/>
      <c r="D9" s="41"/>
    </row>
    <row r="10" spans="1:10" x14ac:dyDescent="0.25">
      <c r="B10" s="41" t="s">
        <v>95</v>
      </c>
      <c r="C10" s="41">
        <v>230</v>
      </c>
      <c r="D10" s="41" t="s">
        <v>40</v>
      </c>
      <c r="E10">
        <f>C10/1000</f>
        <v>0.23</v>
      </c>
      <c r="F10" t="s">
        <v>3</v>
      </c>
    </row>
    <row r="11" spans="1:10" x14ac:dyDescent="0.25">
      <c r="B11" s="41" t="s">
        <v>96</v>
      </c>
      <c r="C11" s="41">
        <v>2</v>
      </c>
      <c r="D11" s="41" t="s">
        <v>97</v>
      </c>
    </row>
    <row r="12" spans="1:10" x14ac:dyDescent="0.25">
      <c r="B12" s="41" t="s">
        <v>117</v>
      </c>
      <c r="C12" s="41">
        <v>1</v>
      </c>
      <c r="D12" s="41" t="s">
        <v>97</v>
      </c>
    </row>
    <row r="13" spans="1:10" x14ac:dyDescent="0.25">
      <c r="B13" s="41" t="s">
        <v>112</v>
      </c>
      <c r="C13" s="41">
        <v>4</v>
      </c>
      <c r="D13" s="41" t="s">
        <v>3</v>
      </c>
      <c r="E13">
        <f>C13*1000</f>
        <v>4000</v>
      </c>
      <c r="F13" t="s">
        <v>40</v>
      </c>
    </row>
    <row r="14" spans="1:10" x14ac:dyDescent="0.25">
      <c r="B14" s="41" t="s">
        <v>111</v>
      </c>
      <c r="C14" s="41">
        <v>5</v>
      </c>
      <c r="D14" s="41" t="s">
        <v>3</v>
      </c>
      <c r="E14">
        <f>C14*1000</f>
        <v>5000</v>
      </c>
      <c r="F14" t="s">
        <v>40</v>
      </c>
    </row>
    <row r="15" spans="1:10" x14ac:dyDescent="0.25">
      <c r="B15" s="41" t="s">
        <v>75</v>
      </c>
      <c r="C15" s="41">
        <v>25</v>
      </c>
      <c r="D15" s="41" t="s">
        <v>40</v>
      </c>
    </row>
    <row r="16" spans="1:10" x14ac:dyDescent="0.25">
      <c r="B16" s="44" t="s">
        <v>37</v>
      </c>
      <c r="C16" s="44"/>
      <c r="D16" s="44"/>
      <c r="E16" s="15"/>
    </row>
    <row r="17" spans="2:6" x14ac:dyDescent="0.25">
      <c r="B17" s="44" t="s">
        <v>44</v>
      </c>
      <c r="C17" s="44">
        <v>20</v>
      </c>
      <c r="D17" s="44" t="s">
        <v>38</v>
      </c>
      <c r="E17" s="15"/>
    </row>
    <row r="18" spans="2:6" x14ac:dyDescent="0.25">
      <c r="B18" s="44" t="s">
        <v>45</v>
      </c>
      <c r="C18" s="44">
        <v>415</v>
      </c>
      <c r="D18" s="44" t="s">
        <v>38</v>
      </c>
      <c r="E18" s="15"/>
    </row>
    <row r="19" spans="2:6" s="12" customFormat="1" x14ac:dyDescent="0.25">
      <c r="B19" s="24"/>
      <c r="C19" s="24"/>
      <c r="D19" s="24"/>
      <c r="E19" s="24"/>
    </row>
    <row r="22" spans="2:6" ht="23.25" x14ac:dyDescent="0.35">
      <c r="B22" s="18" t="s">
        <v>99</v>
      </c>
    </row>
    <row r="24" spans="2:6" x14ac:dyDescent="0.25">
      <c r="B24" t="s">
        <v>156</v>
      </c>
      <c r="C24">
        <f>E13/28</f>
        <v>142.85714285714286</v>
      </c>
      <c r="D24" t="s">
        <v>40</v>
      </c>
    </row>
    <row r="25" spans="2:6" x14ac:dyDescent="0.25">
      <c r="B25" t="s">
        <v>113</v>
      </c>
      <c r="C25">
        <v>140</v>
      </c>
      <c r="D25" t="s">
        <v>40</v>
      </c>
      <c r="E25">
        <f>C25/1000</f>
        <v>0.14000000000000001</v>
      </c>
      <c r="F25" t="s">
        <v>3</v>
      </c>
    </row>
    <row r="26" spans="2:6" x14ac:dyDescent="0.25">
      <c r="B26" t="s">
        <v>114</v>
      </c>
      <c r="C26">
        <f>(C25+C15)</f>
        <v>165</v>
      </c>
      <c r="D26" t="s">
        <v>40</v>
      </c>
      <c r="E26">
        <f>C26/1000</f>
        <v>0.16500000000000001</v>
      </c>
      <c r="F26" t="s">
        <v>3</v>
      </c>
    </row>
    <row r="28" spans="2:6" s="11" customFormat="1" x14ac:dyDescent="0.25"/>
    <row r="30" spans="2:6" ht="23.25" x14ac:dyDescent="0.35">
      <c r="B30" s="18" t="s">
        <v>115</v>
      </c>
    </row>
    <row r="32" spans="2:6" x14ac:dyDescent="0.25">
      <c r="B32" t="s">
        <v>139</v>
      </c>
      <c r="C32">
        <f>C13+E10</f>
        <v>4.2300000000000004</v>
      </c>
      <c r="D32" t="s">
        <v>3</v>
      </c>
    </row>
    <row r="33" spans="2:6" x14ac:dyDescent="0.25">
      <c r="B33" t="s">
        <v>155</v>
      </c>
      <c r="C33">
        <f>C13+E25</f>
        <v>4.1399999999999997</v>
      </c>
      <c r="D33" t="s">
        <v>3</v>
      </c>
    </row>
    <row r="34" spans="2:6" x14ac:dyDescent="0.25">
      <c r="B34" t="s">
        <v>103</v>
      </c>
      <c r="C34">
        <f>MIN(C32:C33)</f>
        <v>4.1399999999999997</v>
      </c>
      <c r="D34" t="s">
        <v>3</v>
      </c>
      <c r="E34">
        <f>C34*1000</f>
        <v>4140</v>
      </c>
      <c r="F34" t="s">
        <v>40</v>
      </c>
    </row>
    <row r="37" spans="2:6" x14ac:dyDescent="0.25">
      <c r="B37" s="32"/>
      <c r="C37" s="32"/>
      <c r="D37" s="32"/>
      <c r="E37" s="32"/>
      <c r="F37" s="32"/>
    </row>
    <row r="39" spans="2:6" ht="23.25" x14ac:dyDescent="0.35">
      <c r="B39" s="18" t="s">
        <v>116</v>
      </c>
    </row>
    <row r="42" spans="2:6" x14ac:dyDescent="0.25">
      <c r="B42" t="s">
        <v>157</v>
      </c>
      <c r="C42">
        <f>E26*25</f>
        <v>4.125</v>
      </c>
      <c r="D42" t="s">
        <v>50</v>
      </c>
    </row>
    <row r="43" spans="2:6" s="32" customFormat="1" x14ac:dyDescent="0.25">
      <c r="B43" t="s">
        <v>158</v>
      </c>
      <c r="C43">
        <f>C11</f>
        <v>2</v>
      </c>
      <c r="D43" t="s">
        <v>50</v>
      </c>
      <c r="E43"/>
      <c r="F43"/>
    </row>
    <row r="44" spans="2:6" x14ac:dyDescent="0.25">
      <c r="B44" t="s">
        <v>142</v>
      </c>
      <c r="C44">
        <f>C12</f>
        <v>1</v>
      </c>
      <c r="D44" t="s">
        <v>97</v>
      </c>
    </row>
    <row r="45" spans="2:6" x14ac:dyDescent="0.25">
      <c r="B45" t="s">
        <v>159</v>
      </c>
      <c r="C45">
        <f>1.5*(C42+C43+C44)</f>
        <v>10.6875</v>
      </c>
      <c r="D45" t="s">
        <v>50</v>
      </c>
    </row>
    <row r="47" spans="2:6" x14ac:dyDescent="0.25">
      <c r="B47" s="23"/>
      <c r="C47" s="23"/>
      <c r="D47" s="23"/>
      <c r="E47" s="23"/>
      <c r="F47" s="23"/>
    </row>
    <row r="49" spans="2:9" ht="20.25" x14ac:dyDescent="0.3">
      <c r="B49" s="17" t="s">
        <v>118</v>
      </c>
    </row>
    <row r="51" spans="2:9" x14ac:dyDescent="0.25">
      <c r="B51" t="s">
        <v>119</v>
      </c>
      <c r="C51">
        <f>C14/C13</f>
        <v>1.25</v>
      </c>
    </row>
    <row r="52" spans="2:9" x14ac:dyDescent="0.25">
      <c r="B52" t="str">
        <f>IF(C51&lt;2,"HENCE ITS TWO WAY SLAB")</f>
        <v>HENCE ITS TWO WAY SLAB</v>
      </c>
      <c r="I52" s="45" t="s">
        <v>161</v>
      </c>
    </row>
    <row r="53" spans="2:9" s="23" customFormat="1" x14ac:dyDescent="0.25">
      <c r="B53" s="48" t="s">
        <v>160</v>
      </c>
      <c r="C53" s="48"/>
      <c r="D53"/>
      <c r="E53"/>
      <c r="F53"/>
    </row>
    <row r="54" spans="2:9" x14ac:dyDescent="0.25">
      <c r="B54" s="48" t="s">
        <v>121</v>
      </c>
      <c r="C54" s="48">
        <v>8.8499999999999995E-2</v>
      </c>
    </row>
    <row r="55" spans="2:9" x14ac:dyDescent="0.25">
      <c r="B55" s="48" t="s">
        <v>120</v>
      </c>
      <c r="C55" s="48">
        <v>5.7000000000000002E-2</v>
      </c>
    </row>
    <row r="57" spans="2:9" x14ac:dyDescent="0.25">
      <c r="B57" t="s">
        <v>162</v>
      </c>
      <c r="C57">
        <f>C54*C45*C34^2</f>
        <v>16.211383537499998</v>
      </c>
      <c r="D57" t="s">
        <v>105</v>
      </c>
    </row>
    <row r="58" spans="2:9" x14ac:dyDescent="0.25">
      <c r="B58" t="s">
        <v>163</v>
      </c>
      <c r="C58">
        <f>C55*C45*C34^2</f>
        <v>10.441230074999998</v>
      </c>
      <c r="D58" t="s">
        <v>105</v>
      </c>
    </row>
    <row r="60" spans="2:9" x14ac:dyDescent="0.25">
      <c r="B60" s="33"/>
      <c r="C60" s="33"/>
      <c r="D60" s="33"/>
      <c r="E60" s="33"/>
      <c r="F60" s="33"/>
    </row>
    <row r="62" spans="2:9" ht="20.25" x14ac:dyDescent="0.3">
      <c r="B62" s="17" t="s">
        <v>122</v>
      </c>
    </row>
    <row r="65" spans="2:6" x14ac:dyDescent="0.25">
      <c r="B65" s="41" t="s">
        <v>57</v>
      </c>
      <c r="C65">
        <v>1</v>
      </c>
    </row>
    <row r="66" spans="2:6" s="33" customFormat="1" x14ac:dyDescent="0.25">
      <c r="B66" s="41" t="s">
        <v>58</v>
      </c>
      <c r="C66">
        <f>(1000*C25*C17)/C18</f>
        <v>6746.9879518072294</v>
      </c>
      <c r="D66"/>
      <c r="E66"/>
      <c r="F66"/>
    </row>
    <row r="67" spans="2:6" x14ac:dyDescent="0.25">
      <c r="B67" s="41" t="s">
        <v>59</v>
      </c>
      <c r="C67">
        <f>((C57*10^6*1000*C17)/(0.87*C18^2))</f>
        <v>2163887.2615513983</v>
      </c>
    </row>
    <row r="68" spans="2:6" x14ac:dyDescent="0.25">
      <c r="B68" s="41" t="s">
        <v>60</v>
      </c>
      <c r="C68">
        <f>((C66-SQRT(C66^2-4*C65*C67)/(2)))/10</f>
        <v>371.11068039513754</v>
      </c>
      <c r="D68" t="s">
        <v>61</v>
      </c>
    </row>
    <row r="69" spans="2:6" x14ac:dyDescent="0.25">
      <c r="B69" s="41" t="s">
        <v>62</v>
      </c>
      <c r="C69">
        <v>10</v>
      </c>
      <c r="D69" t="s">
        <v>40</v>
      </c>
    </row>
    <row r="70" spans="2:6" x14ac:dyDescent="0.25">
      <c r="B70" s="41" t="s">
        <v>106</v>
      </c>
      <c r="C70">
        <f>TRUNC((3.142*C69^2*1000)/(4*C68))</f>
        <v>211</v>
      </c>
      <c r="D70" t="s">
        <v>40</v>
      </c>
    </row>
    <row r="72" spans="2:6" x14ac:dyDescent="0.25">
      <c r="B72" s="34"/>
      <c r="C72" s="34"/>
      <c r="D72" s="34"/>
      <c r="E72" s="34"/>
      <c r="F72" s="34"/>
    </row>
    <row r="74" spans="2:6" ht="20.25" x14ac:dyDescent="0.3">
      <c r="B74" s="17" t="s">
        <v>123</v>
      </c>
    </row>
    <row r="77" spans="2:6" x14ac:dyDescent="0.25">
      <c r="B77" t="s">
        <v>57</v>
      </c>
      <c r="C77">
        <v>1</v>
      </c>
    </row>
    <row r="78" spans="2:6" s="34" customFormat="1" x14ac:dyDescent="0.25">
      <c r="B78" t="s">
        <v>58</v>
      </c>
      <c r="C78">
        <f>(1000*C25*C17)/C18</f>
        <v>6746.9879518072294</v>
      </c>
      <c r="D78"/>
      <c r="E78"/>
      <c r="F78"/>
    </row>
    <row r="79" spans="2:6" x14ac:dyDescent="0.25">
      <c r="B79" t="s">
        <v>59</v>
      </c>
      <c r="C79">
        <f>((C58*10^6*1000*C17)/(0.87*C18^2))</f>
        <v>1393690.1006602228</v>
      </c>
    </row>
    <row r="80" spans="2:6" x14ac:dyDescent="0.25">
      <c r="B80" t="s">
        <v>60</v>
      </c>
      <c r="C80">
        <f>((C78-SQRT(C78^2-4*C77*C79)/(2)))/10</f>
        <v>358.68025925604405</v>
      </c>
      <c r="D80" t="s">
        <v>61</v>
      </c>
    </row>
    <row r="81" spans="2:4" x14ac:dyDescent="0.25">
      <c r="B81" t="s">
        <v>62</v>
      </c>
      <c r="C81">
        <v>10</v>
      </c>
      <c r="D81" t="s">
        <v>40</v>
      </c>
    </row>
    <row r="82" spans="2:4" x14ac:dyDescent="0.25">
      <c r="B82" t="s">
        <v>106</v>
      </c>
      <c r="C82">
        <f>TRUNC((3.142*C81^2*1000)/(4*C80))</f>
        <v>218</v>
      </c>
      <c r="D82" t="s">
        <v>40</v>
      </c>
    </row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HORIZONTAL CURVE </vt:lpstr>
      <vt:lpstr>SUPER ELEVATION</vt:lpstr>
      <vt:lpstr>EARTH WORK CALCULATION</vt:lpstr>
      <vt:lpstr>SINGLY REINFORCED BEAM</vt:lpstr>
      <vt:lpstr>DRB</vt:lpstr>
      <vt:lpstr>OWS</vt:lpstr>
      <vt:lpstr>TWS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2024-07-23T09:01:16Z</dcterms:modified>
</cp:coreProperties>
</file>