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BFCB2318-0D39-46FA-86B5-AD9DCA175DC7}" xr6:coauthVersionLast="47" xr6:coauthVersionMax="47" xr10:uidLastSave="{00000000-0000-0000-0000-000000000000}"/>
  <bookViews>
    <workbookView xWindow="-108" yWindow="-108" windowWidth="23256" windowHeight="12456" tabRatio="601" xr2:uid="{00000000-000D-0000-FFFF-FFFF00000000}"/>
  </bookViews>
  <sheets>
    <sheet name="DRB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5" l="1"/>
  <c r="D58" i="5"/>
  <c r="D49" i="5"/>
  <c r="D25" i="5" l="1"/>
  <c r="D71" i="5" l="1"/>
  <c r="F12" i="5"/>
  <c r="F10" i="5"/>
  <c r="D59" i="5" s="1"/>
  <c r="F9" i="5"/>
  <c r="D23" i="5" s="1"/>
  <c r="D41" i="5" l="1"/>
  <c r="F41" i="5" s="1"/>
  <c r="D72" i="5"/>
  <c r="F25" i="5"/>
  <c r="D37" i="5" s="1"/>
  <c r="D38" i="5" s="1"/>
  <c r="F24" i="5" l="1"/>
  <c r="D31" i="5" l="1"/>
  <c r="D39" i="5" l="1"/>
  <c r="D50" i="5" s="1"/>
  <c r="D52" i="5" s="1"/>
  <c r="D40" i="5"/>
  <c r="C43" i="5"/>
  <c r="D60" i="5"/>
  <c r="D61" i="5" s="1"/>
  <c r="D63" i="5" s="1"/>
  <c r="F31" i="5"/>
  <c r="D75" i="5" l="1"/>
  <c r="D76" i="5" s="1"/>
  <c r="D77" i="5" s="1"/>
  <c r="D70" i="5"/>
</calcChain>
</file>

<file path=xl/sharedStrings.xml><?xml version="1.0" encoding="utf-8"?>
<sst xmlns="http://schemas.openxmlformats.org/spreadsheetml/2006/main" count="86" uniqueCount="61">
  <si>
    <t>INPUT</t>
  </si>
  <si>
    <t>m</t>
  </si>
  <si>
    <t xml:space="preserve">SPAN OF THE BEAM L = </t>
  </si>
  <si>
    <t xml:space="preserve">MATERIALS :- M20 CONCRETE &amp; FE 415 STEEL  </t>
  </si>
  <si>
    <t>N/mm^2</t>
  </si>
  <si>
    <t>M</t>
  </si>
  <si>
    <t>mm</t>
  </si>
  <si>
    <t>KN/m</t>
  </si>
  <si>
    <t xml:space="preserve">OVERALL DIMENSION OF THE BEAM </t>
  </si>
  <si>
    <t>OVERALL DEPTH (D) = d+50</t>
  </si>
  <si>
    <t xml:space="preserve">                                                                                 Fck= </t>
  </si>
  <si>
    <t xml:space="preserve">                                                                                 Fy =</t>
  </si>
  <si>
    <t xml:space="preserve">EFFECTIVE SPAN OF BEAM (Leff) </t>
  </si>
  <si>
    <t xml:space="preserve">DESIGN OF MOMENT (Mn) &amp; SHEAR (Vn) </t>
  </si>
  <si>
    <t xml:space="preserve">WIDTH OF BEAM  b = </t>
  </si>
  <si>
    <t>Kn/m</t>
  </si>
  <si>
    <t>KN -m</t>
  </si>
  <si>
    <t>KN</t>
  </si>
  <si>
    <t>mm^2</t>
  </si>
  <si>
    <t>DESIGN OF SHEAR REINFORCEMENT</t>
  </si>
  <si>
    <t xml:space="preserve">NOMINAL SHEAR STRESS </t>
  </si>
  <si>
    <t>PERCENTAGE OF STEEL (Pt)</t>
  </si>
  <si>
    <t>%</t>
  </si>
  <si>
    <t>ENTER PER SHEAR FOR THE % OF STEEL (FROM T-19 OF IS456 -2000</t>
  </si>
  <si>
    <t xml:space="preserve">MAX SHEAR STRESS FROM  TABLE - 20 </t>
  </si>
  <si>
    <t>N</t>
  </si>
  <si>
    <t>USING 8mm 2-legged stirupes the  spacing is (S) IN mm C/C</t>
  </si>
  <si>
    <t xml:space="preserve">SHEAR TO BE RESISTED BY REINFORCEMENT (Vus) </t>
  </si>
  <si>
    <t>PROVIDE THE SPACING (S) =</t>
  </si>
  <si>
    <t xml:space="preserve">BEARING </t>
  </si>
  <si>
    <t>EFFECTIVE COVER =</t>
  </si>
  <si>
    <t>Mu lim</t>
  </si>
  <si>
    <t>N-mm</t>
  </si>
  <si>
    <t>Mu&gt;Mulim</t>
  </si>
  <si>
    <t>AREA OF COMPRESSION REINFORCEMENT (Asc)</t>
  </si>
  <si>
    <t>Asc=</t>
  </si>
  <si>
    <t xml:space="preserve">ASSUME DIA OF BAR </t>
  </si>
  <si>
    <t>NO OF BARS=</t>
  </si>
  <si>
    <t>AREA OF TENSION STEEL (Ast)</t>
  </si>
  <si>
    <t>Xumax=</t>
  </si>
  <si>
    <t>Ast1 corresponding to SRB =</t>
  </si>
  <si>
    <t>Ast2=</t>
  </si>
  <si>
    <t>Ast=</t>
  </si>
  <si>
    <t>ASSUME DIA OF BAR =</t>
  </si>
  <si>
    <t>NO OF BARS =</t>
  </si>
  <si>
    <t xml:space="preserve">Ast @ support = </t>
  </si>
  <si>
    <t xml:space="preserve">     DESIGN OF DOUBLY REINFORCED BEAM</t>
  </si>
  <si>
    <t>MM</t>
  </si>
  <si>
    <t>DEPTH OF THE BEAM L/20TH OF SPAN =</t>
  </si>
  <si>
    <t xml:space="preserve">VALUE OF EFFECTIVE DEPTH (d) = </t>
  </si>
  <si>
    <t>KN-M</t>
  </si>
  <si>
    <t>MIN OF (a) CLEAR SPAN +d  (b) CLEAR SPAN + BEARING  =</t>
  </si>
  <si>
    <t>DESIGN LOAD FOR STRENGTH CONSIDERATION(Wu)=1.5(SW+LL)</t>
  </si>
  <si>
    <t>SELF WEIGHT OF BEAM = b*D*DENSITY=SW</t>
  </si>
  <si>
    <t>SUPER IMPOSED LOAD =  LL</t>
  </si>
  <si>
    <t>DESIGN MOMENT (Mu)=  (Wu*Leff^2)/8</t>
  </si>
  <si>
    <t>DESIGN SHEAR (Vu) =  (Wu*Leff)/2</t>
  </si>
  <si>
    <t>fsc=0.87xfy</t>
  </si>
  <si>
    <t>0.138*fck*b*d^2</t>
  </si>
  <si>
    <t>Dia of bar =</t>
  </si>
  <si>
    <t>Asv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</si>
</sst>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u/>
      <sz val="14"/>
      <color theme="1"/>
      <name val="Times New Roman"/>
      <family val="1"/>
    </font>
    <font>
      <b/>
      <i/>
      <u/>
      <sz val="20"/>
      <color theme="1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sz val="11"/>
      <color rgb="FF92D050"/>
      <name val="Times New Roman"/>
      <family val="1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6" borderId="0" xfId="0" applyFont="1" applyFill="1"/>
    <xf numFmtId="0" fontId="0" fillId="6" borderId="0" xfId="0" applyFill="1"/>
    <xf numFmtId="0" fontId="3" fillId="4" borderId="0" xfId="0" applyFont="1" applyFill="1"/>
    <xf numFmtId="0" fontId="3" fillId="7" borderId="0" xfId="0" applyFont="1" applyFill="1"/>
    <xf numFmtId="0" fontId="0" fillId="7" borderId="0" xfId="0" applyFill="1"/>
    <xf numFmtId="0" fontId="3" fillId="5" borderId="0" xfId="0" applyFont="1" applyFill="1"/>
    <xf numFmtId="0" fontId="2" fillId="0" borderId="0" xfId="0" applyFont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89"/>
  <sheetViews>
    <sheetView tabSelected="1" topLeftCell="A67" zoomScaleNormal="100" workbookViewId="0">
      <selection activeCell="C21" sqref="C21"/>
    </sheetView>
  </sheetViews>
  <sheetFormatPr defaultRowHeight="14.4" x14ac:dyDescent="0.3"/>
  <cols>
    <col min="1" max="1" width="7" customWidth="1"/>
    <col min="2" max="2" width="7.6640625" customWidth="1"/>
    <col min="3" max="3" width="67.44140625" customWidth="1"/>
    <col min="4" max="4" width="7.5546875" customWidth="1"/>
    <col min="6" max="6" width="10" customWidth="1"/>
    <col min="7" max="7" width="11.5546875" customWidth="1"/>
  </cols>
  <sheetData>
    <row r="3" spans="1:12" ht="26.25" customHeight="1" x14ac:dyDescent="0.4">
      <c r="A3" s="20" t="s">
        <v>46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3">
      <c r="B4" s="7"/>
      <c r="C4" s="7"/>
      <c r="D4" s="7"/>
      <c r="E4" s="7"/>
      <c r="F4" s="7"/>
      <c r="G4" s="7"/>
      <c r="H4" s="7"/>
      <c r="I4" s="7"/>
      <c r="J4" s="7"/>
      <c r="K4" s="7"/>
    </row>
    <row r="5" spans="1:12" s="11" customFormat="1" x14ac:dyDescent="0.3"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2" s="4" customFormat="1" x14ac:dyDescent="0.3"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2" ht="24.6" x14ac:dyDescent="0.4">
      <c r="B7" s="7"/>
      <c r="C7" s="2" t="s">
        <v>0</v>
      </c>
      <c r="D7" s="7"/>
      <c r="E7" s="7"/>
      <c r="F7" s="7"/>
      <c r="G7" s="7"/>
      <c r="H7" s="7"/>
      <c r="I7" s="7"/>
      <c r="J7" s="7"/>
      <c r="K7" s="7"/>
    </row>
    <row r="8" spans="1:12" x14ac:dyDescent="0.3">
      <c r="B8" s="7"/>
      <c r="C8" s="7"/>
      <c r="D8" s="7"/>
      <c r="E8" s="7"/>
      <c r="F8" s="7"/>
      <c r="G8" s="7"/>
      <c r="H8" s="7"/>
      <c r="I8" s="7"/>
      <c r="J8" s="7"/>
      <c r="K8" s="7"/>
    </row>
    <row r="9" spans="1:12" x14ac:dyDescent="0.3">
      <c r="B9" s="7"/>
      <c r="C9" s="7" t="s">
        <v>2</v>
      </c>
      <c r="D9" s="7">
        <v>8</v>
      </c>
      <c r="E9" s="7" t="s">
        <v>5</v>
      </c>
      <c r="F9" s="7">
        <f>D9*1000</f>
        <v>8000</v>
      </c>
      <c r="G9" s="7" t="s">
        <v>6</v>
      </c>
      <c r="H9" s="7"/>
      <c r="I9" s="7"/>
      <c r="J9" s="7"/>
      <c r="K9" s="7"/>
    </row>
    <row r="10" spans="1:12" x14ac:dyDescent="0.3">
      <c r="B10" s="7"/>
      <c r="C10" s="7" t="s">
        <v>14</v>
      </c>
      <c r="D10" s="7">
        <v>0.3</v>
      </c>
      <c r="E10" s="7" t="s">
        <v>5</v>
      </c>
      <c r="F10" s="7">
        <f>D10*1000</f>
        <v>300</v>
      </c>
      <c r="G10" s="7" t="s">
        <v>6</v>
      </c>
      <c r="H10" s="7"/>
      <c r="I10" s="7"/>
      <c r="J10" s="7"/>
      <c r="K10" s="7"/>
    </row>
    <row r="11" spans="1:12" x14ac:dyDescent="0.3">
      <c r="B11" s="7"/>
      <c r="C11" s="7" t="s">
        <v>54</v>
      </c>
      <c r="D11" s="7">
        <v>35</v>
      </c>
      <c r="E11" s="7" t="s">
        <v>7</v>
      </c>
      <c r="F11" s="7"/>
      <c r="G11" s="7"/>
      <c r="H11" s="7"/>
      <c r="I11" s="7"/>
      <c r="J11" s="7"/>
      <c r="K11" s="7"/>
    </row>
    <row r="12" spans="1:12" x14ac:dyDescent="0.3">
      <c r="B12" s="7"/>
      <c r="C12" s="7" t="s">
        <v>29</v>
      </c>
      <c r="D12" s="7">
        <v>0.38</v>
      </c>
      <c r="E12" s="7" t="s">
        <v>1</v>
      </c>
      <c r="F12" s="7">
        <f>D12*1000</f>
        <v>380</v>
      </c>
      <c r="G12" s="7" t="s">
        <v>6</v>
      </c>
      <c r="H12" s="7"/>
      <c r="I12" s="7"/>
      <c r="J12" s="7"/>
      <c r="K12" s="7"/>
    </row>
    <row r="13" spans="1:12" x14ac:dyDescent="0.3">
      <c r="B13" s="7"/>
      <c r="C13" s="7" t="s">
        <v>30</v>
      </c>
      <c r="D13" s="7">
        <v>50</v>
      </c>
      <c r="E13" s="7" t="s">
        <v>47</v>
      </c>
      <c r="F13" s="7"/>
      <c r="G13" s="7"/>
      <c r="H13" s="7"/>
      <c r="I13" s="7"/>
      <c r="J13" s="7"/>
      <c r="K13" s="7"/>
    </row>
    <row r="14" spans="1:12" x14ac:dyDescent="0.3">
      <c r="B14" s="7"/>
      <c r="C14" s="7" t="s">
        <v>3</v>
      </c>
      <c r="D14" s="7"/>
      <c r="E14" s="7"/>
      <c r="F14" s="7"/>
      <c r="G14" s="7"/>
      <c r="H14" s="7"/>
      <c r="I14" s="7"/>
      <c r="J14" s="7"/>
      <c r="K14" s="7"/>
    </row>
    <row r="15" spans="1:12" x14ac:dyDescent="0.3">
      <c r="B15" s="7"/>
      <c r="C15" s="7" t="s">
        <v>10</v>
      </c>
      <c r="D15" s="7">
        <v>20</v>
      </c>
      <c r="E15" s="7" t="s">
        <v>4</v>
      </c>
      <c r="F15" s="7"/>
      <c r="G15" s="7"/>
      <c r="H15" s="7"/>
      <c r="I15" s="7"/>
      <c r="J15" s="7"/>
      <c r="K15" s="7"/>
    </row>
    <row r="16" spans="1:12" x14ac:dyDescent="0.3">
      <c r="B16" s="7"/>
      <c r="C16" s="7" t="s">
        <v>11</v>
      </c>
      <c r="D16" s="7">
        <v>415</v>
      </c>
      <c r="E16" s="7" t="s">
        <v>4</v>
      </c>
      <c r="F16" s="7"/>
      <c r="G16" s="7"/>
      <c r="H16" s="7"/>
      <c r="I16" s="7"/>
      <c r="J16" s="7"/>
      <c r="K16" s="7"/>
    </row>
    <row r="17" spans="2:11" x14ac:dyDescent="0.3"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2:11" x14ac:dyDescent="0.3"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2:11" s="15" customFormat="1" x14ac:dyDescent="0.3"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2:1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2:11" ht="21" x14ac:dyDescent="0.4">
      <c r="B21" s="8">
        <v>1</v>
      </c>
      <c r="C21" s="1" t="s">
        <v>8</v>
      </c>
      <c r="D21" s="7"/>
      <c r="E21" s="7"/>
      <c r="F21" s="7"/>
      <c r="G21" s="7"/>
      <c r="H21" s="7"/>
      <c r="I21" s="7"/>
      <c r="J21" s="7"/>
      <c r="K21" s="7"/>
    </row>
    <row r="22" spans="2:1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2:11" x14ac:dyDescent="0.3">
      <c r="B23" s="7"/>
      <c r="C23" s="7" t="s">
        <v>48</v>
      </c>
      <c r="D23" s="7">
        <f>ROUNDUP((F9/20),0)</f>
        <v>400</v>
      </c>
      <c r="E23" s="7" t="s">
        <v>6</v>
      </c>
      <c r="F23" s="7"/>
      <c r="G23" s="7"/>
      <c r="H23" s="7"/>
      <c r="I23" s="7"/>
      <c r="J23" s="7"/>
      <c r="K23" s="7"/>
    </row>
    <row r="24" spans="2:11" x14ac:dyDescent="0.3">
      <c r="B24" s="7"/>
      <c r="C24" s="7" t="s">
        <v>49</v>
      </c>
      <c r="D24" s="7">
        <v>400</v>
      </c>
      <c r="E24" s="7" t="s">
        <v>6</v>
      </c>
      <c r="F24" s="7">
        <f>D24/1000</f>
        <v>0.4</v>
      </c>
      <c r="G24" s="7" t="s">
        <v>1</v>
      </c>
      <c r="H24" s="7"/>
      <c r="I24" s="7"/>
      <c r="J24" s="7"/>
      <c r="K24" s="7"/>
    </row>
    <row r="25" spans="2:11" x14ac:dyDescent="0.3">
      <c r="B25" s="7"/>
      <c r="C25" s="7" t="s">
        <v>9</v>
      </c>
      <c r="D25" s="7">
        <f>D24+D13</f>
        <v>450</v>
      </c>
      <c r="E25" s="7" t="s">
        <v>6</v>
      </c>
      <c r="F25" s="7">
        <f>D25/1000</f>
        <v>0.45</v>
      </c>
      <c r="G25" s="7" t="s">
        <v>1</v>
      </c>
      <c r="H25" s="7"/>
      <c r="I25" s="7"/>
      <c r="J25" s="7"/>
      <c r="K25" s="7"/>
    </row>
    <row r="26" spans="2:11" x14ac:dyDescent="0.3"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2:11" s="3" customFormat="1" x14ac:dyDescent="0.3"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2:11" x14ac:dyDescent="0.3"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2:11" ht="21" x14ac:dyDescent="0.4">
      <c r="B29" s="8">
        <v>2</v>
      </c>
      <c r="C29" s="9" t="s">
        <v>12</v>
      </c>
      <c r="D29" s="7"/>
      <c r="E29" s="7"/>
      <c r="F29" s="7"/>
      <c r="G29" s="7"/>
      <c r="H29" s="7"/>
      <c r="I29" s="7"/>
      <c r="J29" s="7"/>
      <c r="K29" s="7"/>
    </row>
    <row r="30" spans="2:11" x14ac:dyDescent="0.3"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2:11" x14ac:dyDescent="0.3">
      <c r="B31" s="7"/>
      <c r="C31" s="7" t="s">
        <v>51</v>
      </c>
      <c r="D31" s="7">
        <f>MIN(D9+F24,D9+D12)</f>
        <v>8.3800000000000008</v>
      </c>
      <c r="E31" s="7" t="s">
        <v>1</v>
      </c>
      <c r="F31" s="7">
        <f>D31*1000</f>
        <v>8380</v>
      </c>
      <c r="G31" s="7" t="s">
        <v>6</v>
      </c>
      <c r="H31" s="7"/>
      <c r="I31" s="7"/>
      <c r="J31" s="7"/>
      <c r="K31" s="7"/>
    </row>
    <row r="32" spans="2:11" x14ac:dyDescent="0.3"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2:11" s="18" customFormat="1" x14ac:dyDescent="0.3"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2:11" x14ac:dyDescent="0.3"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2:11" ht="21" x14ac:dyDescent="0.4">
      <c r="B35" s="8">
        <v>3</v>
      </c>
      <c r="C35" s="9" t="s">
        <v>13</v>
      </c>
      <c r="D35" s="7"/>
      <c r="E35" s="7"/>
      <c r="F35" s="7"/>
      <c r="G35" s="7"/>
      <c r="H35" s="7"/>
      <c r="I35" s="7"/>
      <c r="J35" s="7"/>
      <c r="K35" s="7"/>
    </row>
    <row r="36" spans="2:1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2:11" x14ac:dyDescent="0.3">
      <c r="B37" s="7"/>
      <c r="C37" s="7" t="s">
        <v>53</v>
      </c>
      <c r="D37" s="7">
        <f>D10*F25*25</f>
        <v>3.375</v>
      </c>
      <c r="E37" s="7" t="s">
        <v>15</v>
      </c>
      <c r="F37" s="7"/>
      <c r="G37" s="7"/>
      <c r="H37" s="7"/>
      <c r="I37" s="7"/>
      <c r="J37" s="7"/>
      <c r="K37" s="7"/>
    </row>
    <row r="38" spans="2:11" x14ac:dyDescent="0.3">
      <c r="B38" s="7"/>
      <c r="C38" s="7" t="s">
        <v>52</v>
      </c>
      <c r="D38" s="7">
        <f>1.5*(D37+D11)</f>
        <v>57.5625</v>
      </c>
      <c r="E38" s="7" t="s">
        <v>15</v>
      </c>
      <c r="F38" s="7"/>
      <c r="G38" s="7"/>
      <c r="H38" s="7"/>
      <c r="I38" s="7"/>
      <c r="J38" s="7"/>
      <c r="K38" s="7"/>
    </row>
    <row r="39" spans="2:11" x14ac:dyDescent="0.3">
      <c r="B39" s="7"/>
      <c r="C39" s="7" t="s">
        <v>55</v>
      </c>
      <c r="D39" s="7">
        <f>(D38*D31^2)/8</f>
        <v>505.28650312500014</v>
      </c>
      <c r="E39" s="7" t="s">
        <v>16</v>
      </c>
      <c r="F39" s="7"/>
      <c r="G39" s="7"/>
      <c r="H39" s="7"/>
      <c r="I39" s="7"/>
      <c r="J39" s="7"/>
      <c r="K39" s="7"/>
    </row>
    <row r="40" spans="2:11" x14ac:dyDescent="0.3">
      <c r="B40" s="7"/>
      <c r="C40" s="7" t="s">
        <v>56</v>
      </c>
      <c r="D40" s="7">
        <f>(D38*D31)/2</f>
        <v>241.18687500000001</v>
      </c>
      <c r="E40" s="7" t="s">
        <v>17</v>
      </c>
      <c r="F40" s="7"/>
      <c r="G40" s="7"/>
      <c r="H40" s="7"/>
      <c r="I40" s="7"/>
      <c r="J40" s="7"/>
      <c r="K40" s="7"/>
    </row>
    <row r="41" spans="2:11" x14ac:dyDescent="0.3">
      <c r="B41" s="7"/>
      <c r="C41" s="7" t="s">
        <v>31</v>
      </c>
      <c r="D41" s="7">
        <f>0.138*D15*F10*D24^2</f>
        <v>132480000.00000001</v>
      </c>
      <c r="E41" s="7" t="s">
        <v>32</v>
      </c>
      <c r="F41" s="7">
        <f>D41/10^6</f>
        <v>132.48000000000002</v>
      </c>
      <c r="G41" s="7" t="s">
        <v>50</v>
      </c>
      <c r="H41" s="21" t="s">
        <v>58</v>
      </c>
      <c r="I41" s="21"/>
      <c r="J41" s="7"/>
      <c r="K41" s="7"/>
    </row>
    <row r="42" spans="2:11" x14ac:dyDescent="0.3">
      <c r="B42" s="7"/>
      <c r="C42" s="7" t="s">
        <v>33</v>
      </c>
      <c r="D42" s="7"/>
      <c r="E42" s="7"/>
      <c r="F42" s="7"/>
      <c r="G42" s="7"/>
      <c r="H42" s="7"/>
      <c r="I42" s="7"/>
      <c r="J42" s="7"/>
      <c r="K42" s="7"/>
    </row>
    <row r="43" spans="2:11" x14ac:dyDescent="0.3">
      <c r="B43" s="7"/>
      <c r="C43" s="7" t="str">
        <f>IF(D39&gt;F41,"THE BEAMIS DESIGN AS A DOUBLY REINFORCED BEAM")</f>
        <v>THE BEAMIS DESIGN AS A DOUBLY REINFORCED BEAM</v>
      </c>
      <c r="D43" s="7"/>
      <c r="E43" s="7"/>
      <c r="F43" s="7"/>
      <c r="G43" s="7"/>
      <c r="H43" s="7"/>
      <c r="I43" s="7"/>
      <c r="J43" s="7"/>
      <c r="K43" s="7"/>
    </row>
    <row r="44" spans="2:11" x14ac:dyDescent="0.3"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2:11" s="4" customFormat="1" x14ac:dyDescent="0.3">
      <c r="B45" s="12"/>
      <c r="C45" s="12"/>
      <c r="D45" s="12"/>
      <c r="E45" s="12"/>
      <c r="F45" s="12"/>
      <c r="G45" s="12"/>
      <c r="H45" s="12"/>
      <c r="I45" s="12"/>
      <c r="J45" s="12"/>
      <c r="K45" s="12"/>
    </row>
    <row r="46" spans="2:11" ht="20.399999999999999" x14ac:dyDescent="0.35">
      <c r="B46" s="7"/>
      <c r="C46" s="9"/>
      <c r="D46" s="7"/>
      <c r="E46" s="7"/>
      <c r="F46" s="7"/>
      <c r="G46" s="7"/>
      <c r="H46" s="7"/>
      <c r="I46" s="7"/>
      <c r="J46" s="7"/>
      <c r="K46" s="7"/>
    </row>
    <row r="47" spans="2:11" ht="21" x14ac:dyDescent="0.4">
      <c r="B47" s="8">
        <v>4</v>
      </c>
      <c r="C47" s="9" t="s">
        <v>34</v>
      </c>
      <c r="D47" s="7"/>
      <c r="E47" s="7"/>
      <c r="F47" s="7"/>
      <c r="G47" s="7"/>
      <c r="H47" s="7"/>
      <c r="I47" s="7"/>
      <c r="J47" s="7"/>
      <c r="K47" s="7"/>
    </row>
    <row r="48" spans="2:1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2:11" x14ac:dyDescent="0.3">
      <c r="B49" s="7"/>
      <c r="C49" s="7" t="s">
        <v>57</v>
      </c>
      <c r="D49" s="7">
        <f>0.87*D16</f>
        <v>361.05</v>
      </c>
      <c r="E49" s="7" t="s">
        <v>4</v>
      </c>
      <c r="F49" s="7"/>
      <c r="G49" s="7"/>
      <c r="H49" s="7"/>
      <c r="I49" s="7"/>
      <c r="J49" s="7"/>
      <c r="K49" s="7"/>
    </row>
    <row r="50" spans="2:11" x14ac:dyDescent="0.3">
      <c r="B50" s="7"/>
      <c r="C50" s="7" t="s">
        <v>35</v>
      </c>
      <c r="D50" s="7">
        <f>((D39-F41)*10^6)/(D49*(D24-D13))</f>
        <v>2950.1770876609899</v>
      </c>
      <c r="E50" s="7" t="s">
        <v>18</v>
      </c>
      <c r="F50" s="7"/>
      <c r="G50" s="7"/>
      <c r="H50" s="7"/>
      <c r="I50" s="7"/>
      <c r="J50" s="7"/>
      <c r="K50" s="7"/>
    </row>
    <row r="51" spans="2:11" x14ac:dyDescent="0.3">
      <c r="B51" s="7"/>
      <c r="C51" s="7" t="s">
        <v>36</v>
      </c>
      <c r="D51" s="12">
        <v>16</v>
      </c>
      <c r="E51" s="7" t="s">
        <v>6</v>
      </c>
      <c r="F51" s="7"/>
      <c r="G51" s="7"/>
      <c r="H51" s="7"/>
      <c r="I51" s="7"/>
      <c r="J51" s="7"/>
      <c r="K51" s="7"/>
    </row>
    <row r="52" spans="2:11" x14ac:dyDescent="0.3">
      <c r="B52" s="7"/>
      <c r="C52" s="7" t="s">
        <v>37</v>
      </c>
      <c r="D52" s="7">
        <f>ROUNDUP(((D50*4)/(3.142*D51^2)),0)</f>
        <v>15</v>
      </c>
      <c r="E52" s="7"/>
      <c r="F52" s="7"/>
      <c r="G52" s="7"/>
      <c r="H52" s="7"/>
      <c r="I52" s="7"/>
      <c r="J52" s="7"/>
      <c r="K52" s="7"/>
    </row>
    <row r="53" spans="2:11" x14ac:dyDescent="0.3"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2:11" s="6" customFormat="1" x14ac:dyDescent="0.3"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 spans="2:11" x14ac:dyDescent="0.3"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2:11" ht="21" x14ac:dyDescent="0.4">
      <c r="B56" s="8">
        <v>5</v>
      </c>
      <c r="C56" s="9" t="s">
        <v>38</v>
      </c>
      <c r="D56" s="7"/>
      <c r="E56" s="7"/>
      <c r="F56" s="7"/>
      <c r="G56" s="7"/>
      <c r="H56" s="7"/>
      <c r="I56" s="7"/>
      <c r="J56" s="7"/>
      <c r="K56" s="7"/>
    </row>
    <row r="57" spans="2:11" x14ac:dyDescent="0.3"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2:11" x14ac:dyDescent="0.3">
      <c r="B58" s="7"/>
      <c r="C58" s="7" t="s">
        <v>39</v>
      </c>
      <c r="D58" s="7">
        <f>0.48*D24</f>
        <v>192</v>
      </c>
      <c r="E58" s="7" t="s">
        <v>6</v>
      </c>
      <c r="F58" s="7"/>
      <c r="G58" s="7"/>
      <c r="H58" s="7"/>
      <c r="I58" s="7"/>
      <c r="J58" s="7"/>
      <c r="K58" s="7"/>
    </row>
    <row r="59" spans="2:11" x14ac:dyDescent="0.3">
      <c r="B59" s="7"/>
      <c r="C59" s="7" t="s">
        <v>40</v>
      </c>
      <c r="D59" s="7">
        <f>(0.36*D15*D58*F10)/(0.87*D16)</f>
        <v>1148.649771499792</v>
      </c>
      <c r="E59" s="7" t="s">
        <v>18</v>
      </c>
      <c r="F59" s="7"/>
      <c r="G59" s="7"/>
      <c r="H59" s="7"/>
      <c r="I59" s="7"/>
      <c r="J59" s="7"/>
      <c r="K59" s="7"/>
    </row>
    <row r="60" spans="2:11" x14ac:dyDescent="0.3">
      <c r="B60" s="7"/>
      <c r="C60" s="7" t="s">
        <v>41</v>
      </c>
      <c r="D60" s="7">
        <f>(D49*D50)/(0.87*D16)</f>
        <v>2950.1770876609899</v>
      </c>
      <c r="E60" s="7" t="s">
        <v>18</v>
      </c>
      <c r="F60" s="7"/>
      <c r="G60" s="7"/>
      <c r="H60" s="7"/>
      <c r="I60" s="7"/>
      <c r="J60" s="7"/>
      <c r="K60" s="7"/>
    </row>
    <row r="61" spans="2:11" x14ac:dyDescent="0.3">
      <c r="B61" s="7"/>
      <c r="C61" s="7" t="s">
        <v>42</v>
      </c>
      <c r="D61" s="7">
        <f>SUM(D59:D60)</f>
        <v>4098.8268591607821</v>
      </c>
      <c r="E61" s="7" t="s">
        <v>18</v>
      </c>
      <c r="F61" s="7"/>
      <c r="G61" s="7"/>
      <c r="H61" s="7"/>
      <c r="I61" s="7"/>
      <c r="J61" s="7"/>
      <c r="K61" s="7"/>
    </row>
    <row r="62" spans="2:11" x14ac:dyDescent="0.3">
      <c r="B62" s="7"/>
      <c r="C62" s="7" t="s">
        <v>43</v>
      </c>
      <c r="D62" s="12">
        <v>25</v>
      </c>
      <c r="E62" s="7" t="s">
        <v>6</v>
      </c>
      <c r="F62" s="7"/>
      <c r="G62" s="7"/>
      <c r="H62" s="7"/>
      <c r="I62" s="7"/>
      <c r="J62" s="7"/>
      <c r="K62" s="7"/>
    </row>
    <row r="63" spans="2:11" x14ac:dyDescent="0.3">
      <c r="B63" s="7"/>
      <c r="C63" s="7" t="s">
        <v>44</v>
      </c>
      <c r="D63" s="7">
        <f>ROUNDUP(((D61*4)/(3.142*D62^2)),0)</f>
        <v>9</v>
      </c>
      <c r="E63" s="7"/>
      <c r="F63" s="7"/>
      <c r="G63" s="7"/>
      <c r="H63" s="7"/>
      <c r="I63" s="7"/>
      <c r="J63" s="7"/>
      <c r="K63" s="7"/>
    </row>
    <row r="64" spans="2:11" x14ac:dyDescent="0.3"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2:11" s="5" customFormat="1" x14ac:dyDescent="0.3"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2:11" x14ac:dyDescent="0.3"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2:11" ht="21" x14ac:dyDescent="0.4">
      <c r="B67" s="8">
        <v>6</v>
      </c>
      <c r="C67" s="9" t="s">
        <v>19</v>
      </c>
      <c r="D67" s="7"/>
      <c r="E67" s="7"/>
      <c r="F67" s="7"/>
      <c r="G67" s="7"/>
      <c r="H67" s="7"/>
      <c r="I67" s="7"/>
      <c r="J67" s="7"/>
      <c r="K67" s="7"/>
    </row>
    <row r="68" spans="2:11" x14ac:dyDescent="0.3"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2:11" x14ac:dyDescent="0.3">
      <c r="B69" s="7"/>
      <c r="C69" s="7"/>
      <c r="D69" s="7"/>
      <c r="E69" s="7"/>
      <c r="F69" s="7"/>
      <c r="G69" s="7"/>
      <c r="H69" s="7"/>
      <c r="I69" s="7"/>
      <c r="J69" s="7"/>
      <c r="K69" s="7"/>
    </row>
    <row r="70" spans="2:11" x14ac:dyDescent="0.3">
      <c r="B70" s="7"/>
      <c r="C70" s="7" t="s">
        <v>20</v>
      </c>
      <c r="D70" s="7">
        <f>(D40*1000)/(F10*D24)</f>
        <v>2.0098906250000002</v>
      </c>
      <c r="E70" s="7" t="s">
        <v>4</v>
      </c>
      <c r="F70" s="7"/>
      <c r="G70" s="7"/>
      <c r="H70" s="7"/>
      <c r="I70" s="7"/>
      <c r="J70" s="7"/>
      <c r="K70" s="7"/>
    </row>
    <row r="71" spans="2:11" x14ac:dyDescent="0.3">
      <c r="B71" s="7"/>
      <c r="C71" s="7" t="s">
        <v>45</v>
      </c>
      <c r="D71" s="7">
        <f>(3*3.142*D62^2)/4</f>
        <v>1472.8125</v>
      </c>
      <c r="E71" s="7" t="s">
        <v>18</v>
      </c>
      <c r="F71" s="7"/>
      <c r="G71" s="7"/>
      <c r="H71" s="7"/>
      <c r="I71" s="7"/>
      <c r="J71" s="7"/>
      <c r="K71" s="7"/>
    </row>
    <row r="72" spans="2:11" x14ac:dyDescent="0.3">
      <c r="B72" s="7"/>
      <c r="C72" s="7" t="s">
        <v>21</v>
      </c>
      <c r="D72" s="7">
        <f>(D71*100)/(F10*D24)</f>
        <v>1.22734375</v>
      </c>
      <c r="E72" s="7" t="s">
        <v>22</v>
      </c>
      <c r="F72" s="7"/>
      <c r="G72" s="7"/>
      <c r="H72" s="7"/>
      <c r="I72" s="7"/>
      <c r="J72" s="7"/>
      <c r="K72" s="7"/>
    </row>
    <row r="73" spans="2:11" x14ac:dyDescent="0.3">
      <c r="B73" s="7"/>
      <c r="C73" s="7" t="s">
        <v>23</v>
      </c>
      <c r="D73" s="7">
        <v>0.56000000000000005</v>
      </c>
      <c r="E73" s="7" t="s">
        <v>4</v>
      </c>
      <c r="F73" s="7"/>
      <c r="G73" s="7"/>
      <c r="H73" s="7"/>
      <c r="I73" s="7"/>
      <c r="J73" s="7"/>
      <c r="K73" s="7"/>
    </row>
    <row r="74" spans="2:11" x14ac:dyDescent="0.3">
      <c r="B74" s="7"/>
      <c r="C74" s="7" t="s">
        <v>24</v>
      </c>
      <c r="D74" s="7">
        <v>2.8</v>
      </c>
      <c r="E74" s="7" t="s">
        <v>4</v>
      </c>
      <c r="G74" s="7" t="s">
        <v>59</v>
      </c>
      <c r="H74" s="7">
        <v>8</v>
      </c>
      <c r="I74" s="7"/>
      <c r="J74" s="7"/>
      <c r="K74" s="7"/>
    </row>
    <row r="75" spans="2:11" x14ac:dyDescent="0.3">
      <c r="B75" s="7"/>
      <c r="C75" s="7" t="s">
        <v>27</v>
      </c>
      <c r="D75" s="7">
        <f>(D40*1000-D73*F10*D24)</f>
        <v>173986.875</v>
      </c>
      <c r="E75" s="7" t="s">
        <v>25</v>
      </c>
      <c r="G75" s="7" t="s">
        <v>60</v>
      </c>
      <c r="H75" s="7">
        <f>2*(3.142*H74*H74)/4</f>
        <v>100.544</v>
      </c>
      <c r="I75" s="7"/>
      <c r="J75" s="7"/>
      <c r="K75" s="7"/>
    </row>
    <row r="76" spans="2:11" x14ac:dyDescent="0.3">
      <c r="B76" s="7"/>
      <c r="C76" s="7" t="s">
        <v>26</v>
      </c>
      <c r="D76" s="7">
        <f>TRUNC((0.87*D16*H75*D24)/(D75))</f>
        <v>83</v>
      </c>
      <c r="E76" s="7" t="s">
        <v>6</v>
      </c>
      <c r="F76" s="7"/>
      <c r="G76" s="7"/>
      <c r="H76" s="7"/>
      <c r="I76" s="7"/>
      <c r="J76" s="7"/>
      <c r="K76" s="7"/>
    </row>
    <row r="77" spans="2:11" x14ac:dyDescent="0.3">
      <c r="B77" s="7"/>
      <c r="C77" s="7" t="s">
        <v>28</v>
      </c>
      <c r="D77" s="7">
        <f>TRUNC(MIN(D76,0.75*D24,300))</f>
        <v>83</v>
      </c>
      <c r="E77" s="7" t="s">
        <v>6</v>
      </c>
      <c r="F77" s="7"/>
      <c r="G77" s="7"/>
      <c r="H77" s="7"/>
      <c r="I77" s="7"/>
      <c r="J77" s="7"/>
      <c r="K77" s="7"/>
    </row>
    <row r="78" spans="2:11" x14ac:dyDescent="0.3">
      <c r="B78" s="7"/>
      <c r="C78" s="7"/>
      <c r="D78" s="7"/>
      <c r="E78" s="7"/>
      <c r="F78" s="7"/>
      <c r="G78" s="7"/>
      <c r="H78" s="7"/>
      <c r="I78" s="7"/>
      <c r="J78" s="7"/>
      <c r="K78" s="7"/>
    </row>
    <row r="79" spans="2:11" x14ac:dyDescent="0.3">
      <c r="B79" s="7"/>
      <c r="C79" s="7"/>
      <c r="D79" s="7"/>
      <c r="E79" s="7"/>
      <c r="F79" s="7"/>
      <c r="G79" s="7"/>
      <c r="H79" s="7"/>
      <c r="I79" s="7"/>
      <c r="J79" s="7"/>
      <c r="K79" s="7"/>
    </row>
    <row r="80" spans="2:11" x14ac:dyDescent="0.3">
      <c r="B80" s="7"/>
      <c r="C80" s="7"/>
      <c r="D80" s="7"/>
      <c r="E80" s="7"/>
      <c r="F80" s="7"/>
      <c r="G80" s="7"/>
      <c r="H80" s="7"/>
      <c r="I80" s="7"/>
      <c r="J80" s="7"/>
      <c r="K80" s="7"/>
    </row>
    <row r="81" spans="2:11" x14ac:dyDescent="0.3">
      <c r="B81" s="7"/>
      <c r="C81" s="7"/>
      <c r="D81" s="7"/>
      <c r="E81" s="7"/>
      <c r="F81" s="7"/>
      <c r="G81" s="7"/>
      <c r="H81" s="7"/>
      <c r="I81" s="7"/>
      <c r="J81" s="7"/>
      <c r="K81" s="7"/>
    </row>
    <row r="82" spans="2:11" x14ac:dyDescent="0.3">
      <c r="B82" s="7"/>
      <c r="C82" s="7"/>
      <c r="D82" s="7"/>
      <c r="E82" s="7"/>
      <c r="F82" s="7"/>
      <c r="G82" s="7"/>
      <c r="H82" s="7"/>
      <c r="I82" s="7"/>
      <c r="J82" s="7"/>
      <c r="K82" s="7"/>
    </row>
    <row r="83" spans="2:11" x14ac:dyDescent="0.3">
      <c r="B83" s="7"/>
      <c r="C83" s="7"/>
      <c r="D83" s="7"/>
      <c r="E83" s="7"/>
      <c r="F83" s="7"/>
      <c r="G83" s="7"/>
      <c r="H83" s="7"/>
      <c r="I83" s="7"/>
      <c r="J83" s="7"/>
      <c r="K83" s="7"/>
    </row>
    <row r="84" spans="2:11" x14ac:dyDescent="0.3">
      <c r="B84" s="7"/>
      <c r="C84" s="7"/>
      <c r="D84" s="7"/>
      <c r="E84" s="7"/>
      <c r="F84" s="7"/>
      <c r="G84" s="7"/>
      <c r="H84" s="7"/>
      <c r="I84" s="7"/>
      <c r="J84" s="7"/>
      <c r="K84" s="7"/>
    </row>
    <row r="85" spans="2:11" x14ac:dyDescent="0.3">
      <c r="B85" s="7"/>
      <c r="C85" s="7"/>
      <c r="D85" s="7"/>
      <c r="E85" s="7"/>
      <c r="F85" s="7"/>
      <c r="G85" s="7"/>
      <c r="H85" s="7"/>
      <c r="I85" s="7"/>
      <c r="J85" s="7"/>
      <c r="K85" s="7"/>
    </row>
    <row r="86" spans="2:11" x14ac:dyDescent="0.3">
      <c r="B86" s="7"/>
      <c r="C86" s="7"/>
      <c r="D86" s="7"/>
      <c r="E86" s="7"/>
      <c r="F86" s="7"/>
      <c r="G86" s="7"/>
      <c r="H86" s="7"/>
      <c r="I86" s="7"/>
      <c r="J86" s="7"/>
      <c r="K86" s="7"/>
    </row>
    <row r="87" spans="2:11" x14ac:dyDescent="0.3">
      <c r="B87" s="7"/>
      <c r="C87" s="7"/>
      <c r="D87" s="7"/>
      <c r="E87" s="7"/>
      <c r="F87" s="7"/>
      <c r="G87" s="7"/>
      <c r="H87" s="7"/>
      <c r="I87" s="7"/>
      <c r="J87" s="7"/>
      <c r="K87" s="7"/>
    </row>
    <row r="88" spans="2:11" x14ac:dyDescent="0.3">
      <c r="B88" s="7"/>
      <c r="C88" s="7"/>
      <c r="D88" s="7"/>
      <c r="E88" s="7"/>
      <c r="F88" s="7"/>
      <c r="G88" s="7"/>
      <c r="H88" s="7"/>
      <c r="I88" s="7"/>
      <c r="J88" s="7"/>
      <c r="K88" s="7"/>
    </row>
    <row r="89" spans="2:11" x14ac:dyDescent="0.3">
      <c r="B89" s="7"/>
      <c r="C89" s="7"/>
      <c r="D89" s="7"/>
      <c r="E89" s="7"/>
      <c r="F89" s="7"/>
      <c r="G89" s="7"/>
      <c r="H89" s="7"/>
      <c r="I89" s="7"/>
      <c r="J89" s="7"/>
      <c r="K89" s="7"/>
    </row>
  </sheetData>
  <mergeCells count="2">
    <mergeCell ref="A3:L3"/>
    <mergeCell ref="H41:I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2024-09-09T15:35:46Z</dcterms:modified>
</cp:coreProperties>
</file>