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11"/>
  <workbookPr/>
  <xr:revisionPtr revIDLastSave="0" documentId="11_462587F499FAE0B2ED177029BA0EC6C1FBFD4311" xr6:coauthVersionLast="47" xr6:coauthVersionMax="47" xr10:uidLastSave="{00000000-0000-0000-0000-000000000000}"/>
  <bookViews>
    <workbookView xWindow="0" yWindow="0" windowWidth="22368" windowHeight="9215" firstSheet="4" activeTab="4" xr2:uid="{00000000-000D-0000-FFFF-FFFF00000000}"/>
  </bookViews>
  <sheets>
    <sheet name="sueldo" sheetId="5" r:id="rId1"/>
    <sheet name="Autos detalles nafta " sheetId="4" r:id="rId2"/>
    <sheet name="CUENTAS FIJAS" sheetId="1" r:id="rId3"/>
    <sheet name="COMPRAS MENSUALES" sheetId="2" r:id="rId4"/>
    <sheet name="EVOLUCION" sheetId="3" r:id="rId5"/>
    <sheet name="anual" sheetId="6" r:id="rId6"/>
    <sheet name="PANCHO" sheetId="7" r:id="rId7"/>
  </sheets>
  <definedNames>
    <definedName name="_xlnm._FilterDatabase" localSheetId="6" hidden="1">PANCHO!$C$6:$L$15</definedName>
  </definedNames>
  <calcPr calcId="144525"/>
</workbook>
</file>

<file path=xl/calcChain.xml><?xml version="1.0" encoding="utf-8"?>
<calcChain xmlns="http://schemas.openxmlformats.org/spreadsheetml/2006/main">
  <c r="E265" i="6" l="1"/>
  <c r="E263" i="6"/>
  <c r="E262" i="6"/>
  <c r="E260" i="6"/>
  <c r="E259" i="6"/>
  <c r="E258" i="6"/>
  <c r="E256" i="6"/>
  <c r="E248" i="6"/>
  <c r="E244" i="6"/>
  <c r="E238" i="6"/>
  <c r="E232" i="6"/>
  <c r="E224" i="6"/>
  <c r="E219" i="6"/>
  <c r="E216" i="6"/>
  <c r="E213" i="6"/>
  <c r="E211" i="6"/>
  <c r="E210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2" i="6"/>
  <c r="E191" i="6"/>
  <c r="E184" i="6"/>
  <c r="E182" i="6"/>
  <c r="E181" i="6"/>
  <c r="E180" i="6"/>
  <c r="E179" i="6"/>
  <c r="E178" i="6"/>
  <c r="E177" i="6"/>
  <c r="E174" i="6"/>
  <c r="E173" i="6"/>
  <c r="E172" i="6"/>
  <c r="E171" i="6"/>
  <c r="E170" i="6"/>
  <c r="E163" i="6"/>
  <c r="E156" i="6"/>
  <c r="E155" i="6"/>
  <c r="E154" i="6"/>
  <c r="E153" i="6"/>
  <c r="E152" i="6"/>
  <c r="E151" i="6"/>
  <c r="E150" i="6"/>
  <c r="E148" i="6"/>
  <c r="E147" i="6"/>
  <c r="E146" i="6"/>
  <c r="E144" i="6"/>
  <c r="E143" i="6"/>
  <c r="F142" i="6"/>
  <c r="E142" i="6"/>
  <c r="E141" i="6"/>
  <c r="E140" i="6"/>
  <c r="E138" i="6"/>
  <c r="E137" i="6"/>
  <c r="E136" i="6"/>
  <c r="E135" i="6"/>
  <c r="E134" i="6"/>
  <c r="E133" i="6"/>
  <c r="E132" i="6"/>
  <c r="D132" i="6"/>
  <c r="E131" i="6"/>
  <c r="D131" i="6"/>
  <c r="E130" i="6"/>
  <c r="E129" i="6"/>
  <c r="E128" i="6"/>
  <c r="E127" i="6"/>
  <c r="E126" i="6"/>
  <c r="E125" i="6"/>
  <c r="E124" i="6"/>
  <c r="E123" i="6"/>
  <c r="E121" i="6"/>
  <c r="E120" i="6"/>
  <c r="E119" i="6"/>
  <c r="E118" i="6"/>
  <c r="E117" i="6"/>
  <c r="E116" i="6"/>
  <c r="E108" i="6"/>
  <c r="E102" i="6"/>
  <c r="E101" i="6"/>
  <c r="E97" i="6"/>
  <c r="E89" i="6"/>
  <c r="E88" i="6"/>
  <c r="E87" i="6"/>
  <c r="E86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3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G55" i="3"/>
  <c r="F55" i="3"/>
  <c r="A55" i="3"/>
  <c r="G52" i="3"/>
  <c r="F52" i="3"/>
  <c r="A52" i="3"/>
  <c r="G50" i="3"/>
  <c r="F50" i="3"/>
  <c r="A50" i="3"/>
  <c r="G48" i="3"/>
  <c r="F48" i="3"/>
  <c r="A48" i="3"/>
  <c r="G46" i="3"/>
  <c r="F46" i="3"/>
  <c r="A46" i="3"/>
  <c r="G44" i="3"/>
  <c r="F44" i="3"/>
  <c r="A44" i="3"/>
  <c r="G42" i="3"/>
  <c r="F42" i="3"/>
  <c r="A42" i="3"/>
  <c r="G40" i="3"/>
  <c r="F40" i="3"/>
  <c r="A40" i="3"/>
  <c r="G38" i="3"/>
  <c r="F38" i="3"/>
  <c r="A38" i="3"/>
  <c r="G36" i="3"/>
  <c r="F36" i="3"/>
  <c r="A36" i="3"/>
  <c r="G34" i="3"/>
  <c r="F34" i="3"/>
  <c r="A34" i="3"/>
  <c r="G32" i="3"/>
  <c r="F32" i="3"/>
  <c r="A32" i="3"/>
  <c r="G30" i="3"/>
  <c r="F30" i="3"/>
  <c r="C30" i="3"/>
  <c r="A30" i="3"/>
  <c r="G28" i="3"/>
  <c r="F28" i="3"/>
  <c r="C28" i="3"/>
  <c r="A28" i="3"/>
  <c r="G26" i="3"/>
  <c r="F26" i="3"/>
  <c r="A26" i="3"/>
  <c r="G24" i="3"/>
  <c r="F24" i="3"/>
  <c r="A24" i="3"/>
  <c r="G22" i="3"/>
  <c r="F22" i="3"/>
  <c r="A22" i="3"/>
  <c r="G20" i="3"/>
  <c r="F20" i="3"/>
  <c r="A20" i="3"/>
  <c r="G18" i="3"/>
  <c r="F18" i="3"/>
  <c r="A18" i="3"/>
  <c r="G16" i="3"/>
  <c r="F16" i="3"/>
  <c r="A16" i="3"/>
  <c r="G14" i="3"/>
  <c r="F14" i="3"/>
  <c r="C14" i="3"/>
  <c r="A14" i="3"/>
  <c r="G12" i="3"/>
  <c r="F12" i="3"/>
  <c r="A12" i="3"/>
  <c r="G9" i="3"/>
  <c r="F9" i="3"/>
  <c r="C9" i="3"/>
  <c r="I6" i="3"/>
  <c r="G6" i="3"/>
  <c r="E6" i="3"/>
  <c r="C6" i="3"/>
  <c r="I5" i="3"/>
  <c r="G5" i="3"/>
  <c r="E5" i="3"/>
  <c r="C5" i="3"/>
  <c r="C3" i="3"/>
  <c r="G2" i="3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1" i="2"/>
  <c r="E110" i="2"/>
  <c r="E109" i="2"/>
  <c r="E108" i="2"/>
  <c r="E107" i="2"/>
  <c r="E106" i="2"/>
  <c r="E105" i="2"/>
  <c r="E104" i="2"/>
  <c r="E103" i="2"/>
  <c r="D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D74" i="2"/>
  <c r="E73" i="2"/>
  <c r="D73" i="2"/>
  <c r="E72" i="2"/>
  <c r="E71" i="2"/>
  <c r="D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51" i="1"/>
  <c r="E49" i="1"/>
  <c r="E45" i="1"/>
  <c r="E44" i="1"/>
  <c r="E43" i="1"/>
  <c r="E42" i="1"/>
  <c r="E34" i="1"/>
  <c r="E28" i="1"/>
  <c r="E27" i="1"/>
  <c r="E24" i="1"/>
  <c r="G21" i="1"/>
  <c r="E21" i="1"/>
  <c r="E20" i="1"/>
  <c r="E17" i="1"/>
  <c r="E9" i="1"/>
  <c r="E4" i="1"/>
  <c r="C172" i="4"/>
  <c r="C170" i="4"/>
  <c r="C164" i="4"/>
  <c r="C152" i="4"/>
  <c r="C150" i="4"/>
  <c r="C144" i="4"/>
  <c r="C132" i="4"/>
  <c r="H128" i="4"/>
  <c r="C128" i="4"/>
  <c r="H126" i="4"/>
  <c r="C126" i="4"/>
  <c r="H120" i="4"/>
  <c r="C120" i="4"/>
  <c r="H107" i="4"/>
  <c r="C107" i="4"/>
  <c r="H105" i="4"/>
  <c r="C105" i="4"/>
  <c r="H99" i="4"/>
  <c r="C99" i="4"/>
  <c r="H86" i="4"/>
  <c r="C86" i="4"/>
  <c r="H84" i="4"/>
  <c r="C84" i="4"/>
  <c r="H78" i="4"/>
  <c r="C78" i="4"/>
  <c r="J48" i="5"/>
  <c r="D48" i="5"/>
  <c r="D45" i="5"/>
  <c r="D43" i="5"/>
  <c r="G36" i="5"/>
  <c r="J33" i="5"/>
  <c r="D33" i="5"/>
  <c r="J28" i="5"/>
  <c r="J26" i="5"/>
  <c r="S24" i="5"/>
  <c r="Q24" i="5"/>
  <c r="J24" i="5"/>
  <c r="S23" i="5"/>
  <c r="Q23" i="5"/>
  <c r="S22" i="5"/>
  <c r="Q22" i="5"/>
  <c r="J22" i="5"/>
  <c r="D22" i="5"/>
  <c r="G21" i="5"/>
  <c r="S18" i="5"/>
  <c r="Q18" i="5"/>
  <c r="S17" i="5"/>
  <c r="Q17" i="5"/>
  <c r="J16" i="5"/>
  <c r="D16" i="5"/>
  <c r="D13" i="5"/>
  <c r="S11" i="5"/>
  <c r="Q11" i="5"/>
  <c r="J11" i="5"/>
  <c r="D11" i="5"/>
  <c r="S10" i="5"/>
  <c r="Q10" i="5"/>
  <c r="S9" i="5"/>
  <c r="Q9" i="5"/>
  <c r="J9" i="5"/>
  <c r="D9" i="5"/>
  <c r="S8" i="5"/>
  <c r="Q8" i="5"/>
  <c r="S7" i="5"/>
  <c r="Q7" i="5"/>
  <c r="J7" i="5"/>
  <c r="S6" i="5"/>
  <c r="Q6" i="5"/>
  <c r="S5" i="5"/>
  <c r="Q5" i="5"/>
  <c r="J5" i="5"/>
</calcChain>
</file>

<file path=xl/sharedStrings.xml><?xml version="1.0" encoding="utf-8"?>
<sst xmlns="http://schemas.openxmlformats.org/spreadsheetml/2006/main" count="1426" uniqueCount="522">
  <si>
    <t>Marzo</t>
  </si>
  <si>
    <t xml:space="preserve">                   2023            HABERES</t>
  </si>
  <si>
    <t>2023           DESCUENTOS</t>
  </si>
  <si>
    <t>FECHA</t>
  </si>
  <si>
    <t>ENTRADA</t>
  </si>
  <si>
    <t>SALIDA</t>
  </si>
  <si>
    <t>Horas</t>
  </si>
  <si>
    <t xml:space="preserve">MONTO </t>
  </si>
  <si>
    <t>SUELDO BASICO</t>
  </si>
  <si>
    <t>SEGURO POR ENFERMEDAD</t>
  </si>
  <si>
    <t>28 DE FEBRERO</t>
  </si>
  <si>
    <t>PRESENTISMO</t>
  </si>
  <si>
    <t>APORTE JUBILATORIO</t>
  </si>
  <si>
    <t>1 de marzo</t>
  </si>
  <si>
    <t>2 de marzo</t>
  </si>
  <si>
    <t xml:space="preserve">HORAS EXTRAS </t>
  </si>
  <si>
    <t>FRL</t>
  </si>
  <si>
    <t>3 de marzo</t>
  </si>
  <si>
    <t>27 de marzo</t>
  </si>
  <si>
    <t>TOTAL SIN DESCUENTOS</t>
  </si>
  <si>
    <t>ADIC. SIST. NAC. INT.DE SALUD</t>
  </si>
  <si>
    <t>28 de marzo</t>
  </si>
  <si>
    <t>Ingreso  MARCE REAL CON DESCUENTOS</t>
  </si>
  <si>
    <t>I.R.P.F</t>
  </si>
  <si>
    <t>Ingresos adicionales CLAUDIA</t>
  </si>
  <si>
    <t>INGRESO MENSUAL LIQUIDO</t>
  </si>
  <si>
    <t xml:space="preserve">DESCUENTOS DE RECIBO SUELDO </t>
  </si>
  <si>
    <t>para proximo mes</t>
  </si>
  <si>
    <t>30 de marzo</t>
  </si>
  <si>
    <t>31 de marzo</t>
  </si>
  <si>
    <t>ABRIL</t>
  </si>
  <si>
    <r>
      <rPr>
        <b/>
        <sz val="10"/>
        <rFont val="Microsoft Sans Serif"/>
        <charset val="134"/>
      </rPr>
      <t xml:space="preserve">JORNAL   </t>
    </r>
    <r>
      <rPr>
        <b/>
        <sz val="10"/>
        <color rgb="FFFF0000"/>
        <rFont val="Microsoft Sans Serif"/>
        <charset val="134"/>
      </rPr>
      <t>18 DIAS X $2005</t>
    </r>
  </si>
  <si>
    <t>DEL MES PASADO SIN PASAR</t>
  </si>
  <si>
    <t>12 DIAS</t>
  </si>
  <si>
    <t>LICENCIA 12 DIAS X $2247</t>
  </si>
  <si>
    <t>I.R.P.F (SUMA MENSUAL+ SALARIO V)</t>
  </si>
  <si>
    <t>PINTURA A DESCONTAR 24/4</t>
  </si>
  <si>
    <t>para mi</t>
  </si>
  <si>
    <t>PINTURA A DESCONTAR 3/4</t>
  </si>
  <si>
    <t>P/AUTO</t>
  </si>
  <si>
    <t xml:space="preserve">INGRESO MENSUAL LIQUIDO </t>
  </si>
  <si>
    <t>DESCUENTOS DE RECIBO SUELDO</t>
  </si>
  <si>
    <t>70% mas</t>
  </si>
  <si>
    <t>abril 11 dias                   2023            licencia</t>
  </si>
  <si>
    <r>
      <rPr>
        <b/>
        <sz val="10"/>
        <rFont val="Microsoft Sans Serif"/>
        <charset val="134"/>
      </rPr>
      <t xml:space="preserve">salario vacacional (EXTRAORDINARIO SOLO VERANO) </t>
    </r>
    <r>
      <rPr>
        <b/>
        <sz val="10"/>
        <color rgb="FFFF0000"/>
        <rFont val="Microsoft Sans Serif"/>
        <charset val="134"/>
      </rPr>
      <t>12 X 1752,45</t>
    </r>
  </si>
  <si>
    <r>
      <rPr>
        <b/>
        <sz val="10"/>
        <rFont val="Microsoft Sans Serif"/>
        <charset val="134"/>
      </rPr>
      <t xml:space="preserve">SALARIO VACACIONAL   </t>
    </r>
    <r>
      <rPr>
        <b/>
        <sz val="10"/>
        <color rgb="FFFF0000"/>
        <rFont val="Microsoft Sans Serif"/>
        <charset val="134"/>
      </rPr>
      <t>12 X 1752,45</t>
    </r>
  </si>
  <si>
    <t>INGRESO TOTAL LICENCIA VERANO</t>
  </si>
  <si>
    <t>CORSA</t>
  </si>
  <si>
    <t>JAC</t>
  </si>
  <si>
    <t>COMPRA DE BATERIA EL 5/3/23 PARA JAC</t>
  </si>
  <si>
    <t>GARANTIA DOS AÑOS  LOCAL MARTIN</t>
  </si>
  <si>
    <t>27/2</t>
  </si>
  <si>
    <t>NAFTA</t>
  </si>
  <si>
    <t>PREMIUM</t>
  </si>
  <si>
    <t>LITROS</t>
  </si>
  <si>
    <t>NO SE COMPLETO EL TANQUE</t>
  </si>
  <si>
    <t>PRECIO TOTAL</t>
  </si>
  <si>
    <t>KIL. ANTERIOR</t>
  </si>
  <si>
    <t>KIL. ACTUALES</t>
  </si>
  <si>
    <t>DIFERENCIA</t>
  </si>
  <si>
    <t>RENDIMIENTO</t>
  </si>
  <si>
    <t>MARZO  2023</t>
  </si>
  <si>
    <t>SE COMPLETO EL TANQUE</t>
  </si>
  <si>
    <t>NO SE PUDO CALCULAR YA QUE LA CARGA ANTERIOR NO ESTABA COMPLETA</t>
  </si>
  <si>
    <t>21/3</t>
  </si>
  <si>
    <t>No se completo el tanque</t>
  </si>
  <si>
    <t>KILOMETRO/ LITRO</t>
  </si>
  <si>
    <t>ABRIL 2023</t>
  </si>
  <si>
    <t>4 DE ABRIL</t>
  </si>
  <si>
    <t>3 de abril</t>
  </si>
  <si>
    <t>23 de abril</t>
  </si>
  <si>
    <t>30/4</t>
  </si>
  <si>
    <t>29/4</t>
  </si>
  <si>
    <t xml:space="preserve">limpia inyectores cada 2000 km  1/5 </t>
  </si>
  <si>
    <t>agua refrigerante se completo jac y corsa 1/5</t>
  </si>
  <si>
    <t>22 kilometros ida fabrica</t>
  </si>
  <si>
    <t>22 kilometros vuelta fabrica</t>
  </si>
  <si>
    <t>lunes-viernes</t>
  </si>
  <si>
    <t>7 DE MAYO</t>
  </si>
  <si>
    <t>13/5</t>
  </si>
  <si>
    <t>focos luces cable</t>
  </si>
  <si>
    <t>22/5</t>
  </si>
  <si>
    <t>MAYO-23</t>
  </si>
  <si>
    <t>VENCE</t>
  </si>
  <si>
    <t>PAGO FECHA</t>
  </si>
  <si>
    <t>INPUESTOS AUTOS</t>
  </si>
  <si>
    <t>CUOTA</t>
  </si>
  <si>
    <t>OBSERVACIONES</t>
  </si>
  <si>
    <t>7/5</t>
  </si>
  <si>
    <t>3 de mayo</t>
  </si>
  <si>
    <t>Seguro corsa</t>
  </si>
  <si>
    <t>8-10</t>
  </si>
  <si>
    <t>ok</t>
  </si>
  <si>
    <t>2/6</t>
  </si>
  <si>
    <t>Seguro jac</t>
  </si>
  <si>
    <t>5-10</t>
  </si>
  <si>
    <t xml:space="preserve"> NAFTA  AUTOS</t>
  </si>
  <si>
    <t>Nafta jac</t>
  </si>
  <si>
    <t>7 /5</t>
  </si>
  <si>
    <t>Nafta corsa primer carga</t>
  </si>
  <si>
    <t>NAFTA CORSA SEGUNDA CARGA</t>
  </si>
  <si>
    <t>MANTENIMIENTO AUTOS</t>
  </si>
  <si>
    <t>1/5</t>
  </si>
  <si>
    <t>limpia inyectores jac se pago todo junto con agua refrigerante</t>
  </si>
  <si>
    <t>agua refrigerante jac y corsa</t>
  </si>
  <si>
    <t xml:space="preserve">lampara 12 V 21/5 w </t>
  </si>
  <si>
    <t>2 unidades</t>
  </si>
  <si>
    <t>porta lampara 2 polos</t>
  </si>
  <si>
    <t>faros rectangular</t>
  </si>
  <si>
    <t>descuento con santander precio real 728</t>
  </si>
  <si>
    <t xml:space="preserve">13/5 </t>
  </si>
  <si>
    <t>cable chino gemelo</t>
  </si>
  <si>
    <t>PAGO</t>
  </si>
  <si>
    <t>CUENTAS FIJAS</t>
  </si>
  <si>
    <t>11 /5</t>
  </si>
  <si>
    <t>Antel</t>
  </si>
  <si>
    <t>7-12</t>
  </si>
  <si>
    <t>Ute</t>
  </si>
  <si>
    <t>Cel marce</t>
  </si>
  <si>
    <t>Cel clau</t>
  </si>
  <si>
    <t xml:space="preserve">Cel lauti </t>
  </si>
  <si>
    <t xml:space="preserve">Sodero $215 </t>
  </si>
  <si>
    <t>PUESTO DEL PASO 125 C/U AGUA</t>
  </si>
  <si>
    <t>COMPRAMOS 12</t>
  </si>
  <si>
    <t>OCA</t>
  </si>
  <si>
    <t>13/4</t>
  </si>
  <si>
    <t>5/5</t>
  </si>
  <si>
    <t>Costo trimestral</t>
  </si>
  <si>
    <t>costo trimestral 3 de mayo</t>
  </si>
  <si>
    <t xml:space="preserve">Arco de futbol </t>
  </si>
  <si>
    <t>3-3</t>
  </si>
  <si>
    <t>Enalur</t>
  </si>
  <si>
    <t>Seguro de vida</t>
  </si>
  <si>
    <t>agregar para proximo mes 396 mas de dedicado por seguro de antena</t>
  </si>
  <si>
    <t>se paga una vez a el año mayo 1/12 se renueva contrato</t>
  </si>
  <si>
    <t>SALUD</t>
  </si>
  <si>
    <t>8/5</t>
  </si>
  <si>
    <t xml:space="preserve">PERIFAR SUSPENCION 4 </t>
  </si>
  <si>
    <t>2</t>
  </si>
  <si>
    <t>FARMACIA AEROSUR</t>
  </si>
  <si>
    <t>SERTRALINA</t>
  </si>
  <si>
    <t>24/5</t>
  </si>
  <si>
    <t>vacuna max</t>
  </si>
  <si>
    <t>1</t>
  </si>
  <si>
    <t>LACTIBON</t>
  </si>
  <si>
    <t>t4</t>
  </si>
  <si>
    <r>
      <rPr>
        <sz val="10"/>
        <rFont val="Microsoft Sans Serif"/>
        <charset val="134"/>
      </rPr>
      <t xml:space="preserve">PASTILLAS                          </t>
    </r>
    <r>
      <rPr>
        <sz val="10"/>
        <color rgb="FFFF0000"/>
        <rFont val="Microsoft Sans Serif"/>
        <charset val="134"/>
      </rPr>
      <t xml:space="preserve">                 orden $378</t>
    </r>
  </si>
  <si>
    <t>ROXIL</t>
  </si>
  <si>
    <t>GARRAFA</t>
  </si>
  <si>
    <t>TOTAL</t>
  </si>
  <si>
    <t>GARZON</t>
  </si>
  <si>
    <t>CANTIDAD</t>
  </si>
  <si>
    <t>PRECIO</t>
  </si>
  <si>
    <t>9/5</t>
  </si>
  <si>
    <t>mayonesa uruguay 2,9</t>
  </si>
  <si>
    <t>harina canuelas 000 5 kilos</t>
  </si>
  <si>
    <t>arvejas petitosa</t>
  </si>
  <si>
    <t>6</t>
  </si>
  <si>
    <t>lavandina sapolio 4 lts</t>
  </si>
  <si>
    <t>mani 1 kg sin sal</t>
  </si>
  <si>
    <t>salsa blanca puritas</t>
  </si>
  <si>
    <t>4</t>
  </si>
  <si>
    <t>yogur bebible colonial</t>
  </si>
  <si>
    <t>queso semiduro oferta</t>
  </si>
  <si>
    <t>1,050</t>
  </si>
  <si>
    <t>paleta lineqa azul sarubbi</t>
  </si>
  <si>
    <t>0,950</t>
  </si>
  <si>
    <t>queso dambo granja pocha</t>
  </si>
  <si>
    <t>1,030</t>
  </si>
  <si>
    <t>vinagre gamberoni 1 lt</t>
  </si>
  <si>
    <t>papas congelada 2,5 kgs pom claire corte grueso</t>
  </si>
  <si>
    <t>arroz saman rojo 5 kilos</t>
  </si>
  <si>
    <t>GEANT</t>
  </si>
  <si>
    <t>total</t>
  </si>
  <si>
    <t>carreras regalo mama</t>
  </si>
  <si>
    <t>DEVOTO</t>
  </si>
  <si>
    <t>2/5</t>
  </si>
  <si>
    <t>doritos</t>
  </si>
  <si>
    <t xml:space="preserve">pastillas halls </t>
  </si>
  <si>
    <t>4/5</t>
  </si>
  <si>
    <t xml:space="preserve">galletas corrieri dulces </t>
  </si>
  <si>
    <t>nalga sin hueso</t>
  </si>
  <si>
    <t>0,870</t>
  </si>
  <si>
    <t>queso untable alpa</t>
  </si>
  <si>
    <t>yogur colonial</t>
  </si>
  <si>
    <t>25/5</t>
  </si>
  <si>
    <t>devoto</t>
  </si>
  <si>
    <t>17/5</t>
  </si>
  <si>
    <t>coca 3 lt</t>
  </si>
  <si>
    <t>FRUTAS Y VERDURAS</t>
  </si>
  <si>
    <t xml:space="preserve">AGUA 10 LT LA INGRESE EN CUENTAS FIJAS </t>
  </si>
  <si>
    <t>6 PACK X 2 $250</t>
  </si>
  <si>
    <t>ACELGA</t>
  </si>
  <si>
    <t>PASO CARRASCO</t>
  </si>
  <si>
    <t>MANDARINA</t>
  </si>
  <si>
    <t>2,508</t>
  </si>
  <si>
    <t>PEREJIL</t>
  </si>
  <si>
    <t>ZAPALLO</t>
  </si>
  <si>
    <t>1,540</t>
  </si>
  <si>
    <t>ZANAHORIA</t>
  </si>
  <si>
    <t>1,122</t>
  </si>
  <si>
    <t>huevos maple x 30</t>
  </si>
  <si>
    <t>puesto aerosur</t>
  </si>
  <si>
    <t>mandarina</t>
  </si>
  <si>
    <t>cebolla</t>
  </si>
  <si>
    <t>boniato zanahoria</t>
  </si>
  <si>
    <t>huevos aerosur</t>
  </si>
  <si>
    <t>15/5</t>
  </si>
  <si>
    <t>feria vegetal</t>
  </si>
  <si>
    <t>shangrila</t>
  </si>
  <si>
    <t>zapallito</t>
  </si>
  <si>
    <t>puesto de paso carrasco</t>
  </si>
  <si>
    <t>DROGUERIA</t>
  </si>
  <si>
    <t>CARNICERIA</t>
  </si>
  <si>
    <t xml:space="preserve">carne picada </t>
  </si>
  <si>
    <t>8,240</t>
  </si>
  <si>
    <t>medallones de pollo</t>
  </si>
  <si>
    <t>11/5</t>
  </si>
  <si>
    <t>cuadrada</t>
  </si>
  <si>
    <t>1,170</t>
  </si>
  <si>
    <t>DON DOMINGO</t>
  </si>
  <si>
    <t>10/5</t>
  </si>
  <si>
    <t>pan x 3</t>
  </si>
  <si>
    <t xml:space="preserve">jugos </t>
  </si>
  <si>
    <t>chicle beldent</t>
  </si>
  <si>
    <t>pan/leche/chicle</t>
  </si>
  <si>
    <t>FERIA</t>
  </si>
  <si>
    <t>3/5</t>
  </si>
  <si>
    <t>puesto de verduras esquina de la escuela</t>
  </si>
  <si>
    <t>27/5</t>
  </si>
  <si>
    <t>pulpa de tomate de ley</t>
  </si>
  <si>
    <t>aceite canola</t>
  </si>
  <si>
    <t>cd para play</t>
  </si>
  <si>
    <t>velas miel</t>
  </si>
  <si>
    <t>KIKO</t>
  </si>
  <si>
    <t>leche fresca</t>
  </si>
  <si>
    <t>los sorchantes pan</t>
  </si>
  <si>
    <t>jugos big c</t>
  </si>
  <si>
    <t>3</t>
  </si>
  <si>
    <t>23/5</t>
  </si>
  <si>
    <t>kiko</t>
  </si>
  <si>
    <t>TATA</t>
  </si>
  <si>
    <t>SUPERMERCADO DEL PASO</t>
  </si>
  <si>
    <t>14/5</t>
  </si>
  <si>
    <t xml:space="preserve">agua 10 lt    </t>
  </si>
  <si>
    <t>fideos</t>
  </si>
  <si>
    <t>TIENDA INGLESA</t>
  </si>
  <si>
    <t>$ 20 a descontar por puntos acumulados</t>
  </si>
  <si>
    <t>chicle top line</t>
  </si>
  <si>
    <t>BOLSAS ROMY</t>
  </si>
  <si>
    <t>ESCOLARES y MANTENIMIENTO CASA</t>
  </si>
  <si>
    <t>debia mama de mandados</t>
  </si>
  <si>
    <t>merienda nenes</t>
  </si>
  <si>
    <t>fotos escuela</t>
  </si>
  <si>
    <t>lentes nenes</t>
  </si>
  <si>
    <t>mac donals</t>
  </si>
  <si>
    <t>protector celulares 2</t>
  </si>
  <si>
    <t>perfume san roque</t>
  </si>
  <si>
    <t>28/5</t>
  </si>
  <si>
    <t>pago salida paseo</t>
  </si>
  <si>
    <t xml:space="preserve">SALIDAS </t>
  </si>
  <si>
    <t>PROMOCIONES DE HELADO FLURRY MAC DONALS</t>
  </si>
  <si>
    <t>LENTES MARCE</t>
  </si>
  <si>
    <t>bolsas para merienda</t>
  </si>
  <si>
    <t>manzana acaramelada</t>
  </si>
  <si>
    <t>algodon de azucar</t>
  </si>
  <si>
    <t>max donals helados</t>
  </si>
  <si>
    <t>SALDO INICIAL</t>
  </si>
  <si>
    <t>INGRESOS MARCE</t>
  </si>
  <si>
    <t>INGRESOS CLAU</t>
  </si>
  <si>
    <t>licencia</t>
  </si>
  <si>
    <t>GASTOS</t>
  </si>
  <si>
    <t>SALDO FINAL</t>
  </si>
  <si>
    <t>DIFERENCIA ENTRE</t>
  </si>
  <si>
    <t>MARZO-23</t>
  </si>
  <si>
    <t>ABRIL-23</t>
  </si>
  <si>
    <t>MES ACTUAL Y ANTERIOR</t>
  </si>
  <si>
    <t>INPUESTOS  AUTOS</t>
  </si>
  <si>
    <t>NAFTA AUTOS</t>
  </si>
  <si>
    <t>EL CLON</t>
  </si>
  <si>
    <t>BOLSAS ROMMY</t>
  </si>
  <si>
    <t>SALIDA (MC DONALS)</t>
  </si>
  <si>
    <t>ESCOLARES  (COPISER)</t>
  </si>
  <si>
    <t>6/4</t>
  </si>
  <si>
    <t>levadura fresca 500 gr</t>
  </si>
  <si>
    <t>avena laminada 3 kilos puritas</t>
  </si>
  <si>
    <t xml:space="preserve">pack sapolio slicona x 3  </t>
  </si>
  <si>
    <t>ingresado en mantenimiento autos $299</t>
  </si>
  <si>
    <t xml:space="preserve">6/4 </t>
  </si>
  <si>
    <t>arveja petitosa 200 grs</t>
  </si>
  <si>
    <t>8</t>
  </si>
  <si>
    <t>64</t>
  </si>
  <si>
    <t>pulpade ley</t>
  </si>
  <si>
    <t>mayonesa uruguay 2,9 kgs</t>
  </si>
  <si>
    <t>este mes no se compro nuggets</t>
  </si>
  <si>
    <t>harina cañuelas 000 5 kilos</t>
  </si>
  <si>
    <t>pan rallado 5 kgs-</t>
  </si>
  <si>
    <t>huevos x 30</t>
  </si>
  <si>
    <t>papel hunion 12 x 50 metros</t>
  </si>
  <si>
    <t>0,920</t>
  </si>
  <si>
    <t>queso dambo granja pocha media horma</t>
  </si>
  <si>
    <t>1,820</t>
  </si>
  <si>
    <t>paleta azul sarubbi</t>
  </si>
  <si>
    <t>2,120</t>
  </si>
  <si>
    <t>jabon bull dog 200 grs</t>
  </si>
  <si>
    <t>salame milan sarubbi</t>
  </si>
  <si>
    <t>0,500</t>
  </si>
  <si>
    <t>helado oferta 5 lt</t>
  </si>
  <si>
    <t>sapolio jabon polvo 5 kilos</t>
  </si>
  <si>
    <t>10/4</t>
  </si>
  <si>
    <t>19/4</t>
  </si>
  <si>
    <t>manteca</t>
  </si>
  <si>
    <t>0,430</t>
  </si>
  <si>
    <t>yogur</t>
  </si>
  <si>
    <t>jarra electrica</t>
  </si>
  <si>
    <t>arroz blue patna 5 kilos</t>
  </si>
  <si>
    <t>descuentos 10 de mauro</t>
  </si>
  <si>
    <t>arvejas suset 300 grs</t>
  </si>
  <si>
    <t>5</t>
  </si>
  <si>
    <t>azucar leader price</t>
  </si>
  <si>
    <t>bombonera garoto</t>
  </si>
  <si>
    <t>oferta comprando dos unidades</t>
  </si>
  <si>
    <t>crema de peinar sedal 300 grs</t>
  </si>
  <si>
    <t>cereal bruggen chocolate</t>
  </si>
  <si>
    <t>cereal nutry x 3</t>
  </si>
  <si>
    <t>cerveza brahama</t>
  </si>
  <si>
    <t>coca 3 lts</t>
  </si>
  <si>
    <t>espiral tax x 10</t>
  </si>
  <si>
    <t>bombacha hotkini bronzini</t>
  </si>
  <si>
    <t>no entro en el descuento de la ropa interior</t>
  </si>
  <si>
    <t>hue.kin.</t>
  </si>
  <si>
    <t>leche descremada</t>
  </si>
  <si>
    <t>maquina de afeitar 4 x 3 bic</t>
  </si>
  <si>
    <t>4,664</t>
  </si>
  <si>
    <t>pan americano grande los sorchantes</t>
  </si>
  <si>
    <t xml:space="preserve">pack desodorante rexona x 2 </t>
  </si>
  <si>
    <t>insecticida raid aerosol x 2</t>
  </si>
  <si>
    <t>pack led philips x 2</t>
  </si>
  <si>
    <t>pack desodorante rexona x 2 mujer</t>
  </si>
  <si>
    <t>pack medias hombre x 3</t>
  </si>
  <si>
    <t>ropa interior descuentos dias jueves</t>
  </si>
  <si>
    <t>papas baston mc cain 2 kilos</t>
  </si>
  <si>
    <t>ketchup oderich 1 kilo</t>
  </si>
  <si>
    <t>set de 6 vasos vidrio</t>
  </si>
  <si>
    <t>soutin bronzini  (promo dia jueves ropa interior)</t>
  </si>
  <si>
    <t>tortuga x 6</t>
  </si>
  <si>
    <t>trix nestle</t>
  </si>
  <si>
    <t>17/4</t>
  </si>
  <si>
    <t>cable celu lauti, yerba, pan membrillo, leche</t>
  </si>
  <si>
    <t>7/4</t>
  </si>
  <si>
    <t>macro mercado</t>
  </si>
  <si>
    <t>coca 2 lt envase retornable</t>
  </si>
  <si>
    <t>devolucion de envases 225</t>
  </si>
  <si>
    <t>fanta naranja 2 lts</t>
  </si>
  <si>
    <t>gastamos en total $ 54 en los dos refrescos</t>
  </si>
  <si>
    <t>devolucion de envases $25 c/u</t>
  </si>
  <si>
    <t>23/4</t>
  </si>
  <si>
    <t>bondiola</t>
  </si>
  <si>
    <t>0,936</t>
  </si>
  <si>
    <t>chorizo cherad morron</t>
  </si>
  <si>
    <t>chorizo parrillero camposur</t>
  </si>
  <si>
    <t>chupetin pico dulce</t>
  </si>
  <si>
    <t>coca retornable 2 lt</t>
  </si>
  <si>
    <t>PAN LOS SORCHANTES</t>
  </si>
  <si>
    <t>mentitas</t>
  </si>
  <si>
    <t>powerade 600 ml bebida nenes</t>
  </si>
  <si>
    <t>yogur colonial 1 lt</t>
  </si>
  <si>
    <t>3/4</t>
  </si>
  <si>
    <t>manzanas oferta</t>
  </si>
  <si>
    <t>2,060</t>
  </si>
  <si>
    <t>alma natural</t>
  </si>
  <si>
    <t>zanahoria</t>
  </si>
  <si>
    <t>0,365</t>
  </si>
  <si>
    <t>12/4</t>
  </si>
  <si>
    <t xml:space="preserve">huevos x 30      </t>
  </si>
  <si>
    <t>tomate cherry</t>
  </si>
  <si>
    <t>cereales de colores 0,500 grs</t>
  </si>
  <si>
    <t>lentejas sueltas</t>
  </si>
  <si>
    <t>pimenton 0,500</t>
  </si>
  <si>
    <t>condimento verde 25 grs</t>
  </si>
  <si>
    <t>14/4</t>
  </si>
  <si>
    <t>mandarina y perejil</t>
  </si>
  <si>
    <t>20/4</t>
  </si>
  <si>
    <t>alma natural mandarinas</t>
  </si>
  <si>
    <t>24/4</t>
  </si>
  <si>
    <t xml:space="preserve">medallones </t>
  </si>
  <si>
    <t>picada</t>
  </si>
  <si>
    <t>7,540</t>
  </si>
  <si>
    <t>papas fritas 2,5 kg</t>
  </si>
  <si>
    <t>medallones 2 y papas 1</t>
  </si>
  <si>
    <t>pimenton 25 grs</t>
  </si>
  <si>
    <t>queso rallado 50 grs</t>
  </si>
  <si>
    <t>pan congelado</t>
  </si>
  <si>
    <t>cereales frutales</t>
  </si>
  <si>
    <t>cereales chocolate</t>
  </si>
  <si>
    <t xml:space="preserve">beldent </t>
  </si>
  <si>
    <t>leche</t>
  </si>
  <si>
    <t>Pan, leche</t>
  </si>
  <si>
    <t>pan leche</t>
  </si>
  <si>
    <t>le debo el pan a mamá</t>
  </si>
  <si>
    <t>28/4</t>
  </si>
  <si>
    <t>membrillo/ leche/ pan</t>
  </si>
  <si>
    <t>8/4</t>
  </si>
  <si>
    <t>cafe nescafe fuerte            (puesto izquierda)</t>
  </si>
  <si>
    <t>aceite canola            (puesto izquierda)</t>
  </si>
  <si>
    <t>huevos x 30    (calle derecha casi a el final) venden solo huevos</t>
  </si>
  <si>
    <t>lado derecho</t>
  </si>
  <si>
    <t xml:space="preserve">mirra </t>
  </si>
  <si>
    <t>jabon dove x 6 unidades</t>
  </si>
  <si>
    <t>lado derecho al principio de la calle pasando el puesto de mahia queda en frente</t>
  </si>
  <si>
    <t>pasta de dientes 180 grs colgate</t>
  </si>
  <si>
    <t>jabon y pasta en el mismo local</t>
  </si>
  <si>
    <t>aceite canola  (calle derecha a la mitad) ambos puestos mas baratos del lado</t>
  </si>
  <si>
    <t>calle derecha a mitad de la calle</t>
  </si>
  <si>
    <t>de la calle de la suegra de mahia a las 5 ya estaban comenzando a desarmar</t>
  </si>
  <si>
    <t>pastillas mosquitos</t>
  </si>
  <si>
    <t>fideos thiago</t>
  </si>
  <si>
    <t>seca platos, servilletero</t>
  </si>
  <si>
    <t>FIDEOS CONSIGLIORI  1 KG</t>
  </si>
  <si>
    <t>FIDEOS INSTANTANEOS FORTALEZA</t>
  </si>
  <si>
    <t>GALLETAS DE CAMPAÑA</t>
  </si>
  <si>
    <t>pepsi 500 cc</t>
  </si>
  <si>
    <t>pan flauta</t>
  </si>
  <si>
    <t>15/4</t>
  </si>
  <si>
    <t>yerbera</t>
  </si>
  <si>
    <t>coca 2 lt retornable</t>
  </si>
  <si>
    <t>mix chocolate</t>
  </si>
  <si>
    <t>mani con descuento cupon</t>
  </si>
  <si>
    <t>11/4</t>
  </si>
  <si>
    <t xml:space="preserve">puntales </t>
  </si>
  <si>
    <t>electrodos</t>
  </si>
  <si>
    <t>0,485</t>
  </si>
  <si>
    <t>cierrra para hierro</t>
  </si>
  <si>
    <t>7 chapas 100 tornillos y 100 tacos para chapa y madera</t>
  </si>
  <si>
    <t>bloques</t>
  </si>
  <si>
    <t>100</t>
  </si>
  <si>
    <t xml:space="preserve">contado no por debito </t>
  </si>
  <si>
    <t>porland</t>
  </si>
  <si>
    <t>silicona neutra 300 cc</t>
  </si>
  <si>
    <t>arena bolsas 10 tachos</t>
  </si>
  <si>
    <t>10</t>
  </si>
  <si>
    <t>10 tachos son 10 bolsas equivale a 1/4 viaje de arena</t>
  </si>
  <si>
    <t>22/4</t>
  </si>
  <si>
    <t>berazategui</t>
  </si>
  <si>
    <t xml:space="preserve">silicona </t>
  </si>
  <si>
    <t>poliuritano</t>
  </si>
  <si>
    <t>tanza</t>
  </si>
  <si>
    <t>cinta aisladora</t>
  </si>
  <si>
    <t>articor</t>
  </si>
  <si>
    <t>27/4</t>
  </si>
  <si>
    <t>clon botellas- libretas-  regalo cartas- veneno hormigas</t>
  </si>
  <si>
    <t>regalo cumple amigo lauti</t>
  </si>
  <si>
    <t>pilas relojes nenes</t>
  </si>
  <si>
    <t>mac donals 2 promociones de helado por la app</t>
  </si>
  <si>
    <t xml:space="preserve">graviti 1 hora </t>
  </si>
  <si>
    <t>mac donals nenes hamburguesas promocion</t>
  </si>
  <si>
    <t>4/4</t>
  </si>
  <si>
    <t>7-10</t>
  </si>
  <si>
    <t>OK</t>
  </si>
  <si>
    <t>4-10</t>
  </si>
  <si>
    <t>30,515</t>
  </si>
  <si>
    <t>premium 74,12</t>
  </si>
  <si>
    <t>13,491</t>
  </si>
  <si>
    <t>nafta corsa</t>
  </si>
  <si>
    <t>nafta jac</t>
  </si>
  <si>
    <t xml:space="preserve">pack sapolio slicona x 3 </t>
  </si>
  <si>
    <t>compras garzon</t>
  </si>
  <si>
    <t>6-12</t>
  </si>
  <si>
    <t>se desconto adelanto no quedo con beneficios</t>
  </si>
  <si>
    <t>18/4</t>
  </si>
  <si>
    <t>Sodero $215</t>
  </si>
  <si>
    <r>
      <rPr>
        <sz val="11"/>
        <color theme="1"/>
        <rFont val="Calibri"/>
        <charset val="134"/>
        <scheme val="minor"/>
      </rPr>
      <t>12 BIDONES $</t>
    </r>
    <r>
      <rPr>
        <sz val="11"/>
        <color rgb="FFFF0000"/>
        <rFont val="Calibri"/>
        <charset val="134"/>
        <scheme val="minor"/>
      </rPr>
      <t xml:space="preserve">215 </t>
    </r>
    <r>
      <rPr>
        <sz val="11"/>
        <color theme="1"/>
        <rFont val="Calibri"/>
        <charset val="134"/>
        <scheme val="minor"/>
      </rPr>
      <t>CADA UNIDAD SE DESCONTO220 QUE TENIA A FAVOR</t>
    </r>
  </si>
  <si>
    <t>5/4</t>
  </si>
  <si>
    <t xml:space="preserve">ok </t>
  </si>
  <si>
    <t>2-3</t>
  </si>
  <si>
    <t>PROT. SOLAR</t>
  </si>
  <si>
    <t>EMOLIN</t>
  </si>
  <si>
    <r>
      <rPr>
        <sz val="10"/>
        <rFont val="Microsoft Sans Serif"/>
        <charset val="134"/>
      </rPr>
      <t xml:space="preserve">PASTILLAS                          </t>
    </r>
    <r>
      <rPr>
        <sz val="10"/>
        <color rgb="FFFF0000"/>
        <rFont val="Microsoft Sans Serif"/>
        <charset val="134"/>
      </rPr>
      <t xml:space="preserve">                 orden $377</t>
    </r>
  </si>
  <si>
    <t>RECARGA   QUEDA SIN COLOCAR POR EL MOMENTO</t>
  </si>
  <si>
    <t xml:space="preserve">NUMERO </t>
  </si>
  <si>
    <t>POS</t>
  </si>
  <si>
    <t>DE VUELO</t>
  </si>
  <si>
    <t>PROGRAMADO</t>
  </si>
  <si>
    <t>FILTO</t>
  </si>
  <si>
    <t xml:space="preserve">ES IGUAL </t>
  </si>
  <si>
    <t>A</t>
  </si>
  <si>
    <t>VACIAS</t>
  </si>
  <si>
    <t xml:space="preserve">SEGUN LA COLUMNA QUE FILTES ES EL RANGO </t>
  </si>
  <si>
    <t>NOMBRE</t>
  </si>
  <si>
    <t>MAT</t>
  </si>
  <si>
    <t>HORARIO</t>
  </si>
  <si>
    <t>CCAWR</t>
  </si>
  <si>
    <t>A320</t>
  </si>
  <si>
    <t>JA</t>
  </si>
  <si>
    <t>SCL</t>
  </si>
  <si>
    <t>34B</t>
  </si>
  <si>
    <t>32B</t>
  </si>
  <si>
    <t>LVCET</t>
  </si>
  <si>
    <t>E190</t>
  </si>
  <si>
    <t>AR</t>
  </si>
  <si>
    <t>AEP</t>
  </si>
  <si>
    <t>CRJ2</t>
  </si>
  <si>
    <t>ZP</t>
  </si>
  <si>
    <t>ASU</t>
  </si>
  <si>
    <t>B738</t>
  </si>
  <si>
    <t>CM</t>
  </si>
  <si>
    <t>PTY</t>
  </si>
  <si>
    <t>33B</t>
  </si>
  <si>
    <t>B332</t>
  </si>
  <si>
    <t>QT</t>
  </si>
  <si>
    <t>MIA</t>
  </si>
  <si>
    <t>FORMATO CONDICIONAL</t>
  </si>
  <si>
    <t>19/05/2023</t>
  </si>
  <si>
    <t>RESALTAR REGLAS DE CELDAS</t>
  </si>
  <si>
    <t>IGUAL A</t>
  </si>
  <si>
    <t>CON</t>
  </si>
  <si>
    <t>FORMATO PERSONALIZADO</t>
  </si>
  <si>
    <t>EN ESTE CASO CELDA RELLENA DE COLOR SALMON</t>
  </si>
  <si>
    <t>EZE</t>
  </si>
  <si>
    <t>O  CON COLOR DE LA CELDA</t>
  </si>
  <si>
    <t>LA</t>
  </si>
  <si>
    <t>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</si>
</sst>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;\-&quot;$&quot;#,##0.0"/>
    <numFmt numFmtId="169" formatCode="&quot;$&quot;#,##0;\-&quot;$&quot;#,##0"/>
    <numFmt numFmtId="170" formatCode="m/d/yyyy;@"/>
    <numFmt numFmtId="171" formatCode="&quot;$&quot;#,##0_);[Red]\(&quot;$&quot;#,##0\)"/>
    <numFmt numFmtId="172" formatCode="&quot;$&quot;#,##0.00_);[Red]\(&quot;$&quot;#,##0.00\)"/>
  </numFmts>
  <fonts count="20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name val="Arial"/>
      <charset val="134"/>
    </font>
    <font>
      <sz val="12"/>
      <name val="Arial"/>
      <charset val="134"/>
    </font>
    <font>
      <sz val="10"/>
      <name val="Microsoft Sans Serif"/>
      <charset val="134"/>
    </font>
    <font>
      <b/>
      <sz val="11"/>
      <name val="Arial"/>
      <charset val="134"/>
    </font>
    <font>
      <sz val="11"/>
      <name val="Arial"/>
      <charset val="134"/>
    </font>
    <font>
      <b/>
      <sz val="10"/>
      <color rgb="FFFF0000"/>
      <name val="Microsoft Sans Serif"/>
      <charset val="134"/>
    </font>
    <font>
      <b/>
      <sz val="11"/>
      <name val="Calibri"/>
      <charset val="134"/>
      <scheme val="minor"/>
    </font>
    <font>
      <sz val="22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20"/>
      <color rgb="FFFF0000"/>
      <name val="Microsoft Sans Serif"/>
      <charset val="134"/>
    </font>
    <font>
      <b/>
      <sz val="20"/>
      <name val="Microsoft Sans Serif"/>
      <charset val="134"/>
    </font>
    <font>
      <b/>
      <sz val="10"/>
      <name val="Microsoft Sans Serif"/>
      <charset val="134"/>
    </font>
    <font>
      <b/>
      <sz val="16"/>
      <name val="Microsoft Sans Serif"/>
      <charset val="134"/>
    </font>
    <font>
      <b/>
      <sz val="12"/>
      <name val="Microsoft Sans Serif"/>
      <charset val="134"/>
    </font>
    <font>
      <sz val="10"/>
      <color rgb="FFFF0000"/>
      <name val="Microsoft Sans Serif"/>
      <charset val="134"/>
    </font>
    <font>
      <b/>
      <sz val="10"/>
      <color theme="1"/>
      <name val="Microsoft Sans Serif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380F8"/>
        <bgColor indexed="64"/>
      </patternFill>
    </fill>
    <fill>
      <patternFill patternType="solid">
        <fgColor rgb="FFFCBFC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E090C3"/>
      </left>
      <right/>
      <top style="medium">
        <color rgb="FFE090C3"/>
      </top>
      <bottom style="medium">
        <color rgb="FFE090C3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double">
        <color rgb="FFE090C3"/>
      </left>
      <right style="double">
        <color rgb="FFE090C3"/>
      </right>
      <top/>
      <bottom style="double">
        <color rgb="FFE090C3"/>
      </bottom>
      <diagonal/>
    </border>
    <border>
      <left style="double">
        <color rgb="FFE090C3"/>
      </left>
      <right style="double">
        <color rgb="FFE090C3"/>
      </right>
      <top style="double">
        <color rgb="FFE090C3"/>
      </top>
      <bottom style="double">
        <color rgb="FFE090C3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 diagonalUp="1"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 style="medium">
        <color rgb="FF00B0F0"/>
      </diagonal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E090C3"/>
      </left>
      <right style="double">
        <color rgb="FFE090C3"/>
      </right>
      <top/>
      <bottom style="double">
        <color rgb="FFE090C3"/>
      </bottom>
      <diagonal/>
    </border>
    <border>
      <left style="medium">
        <color rgb="FFE090C3"/>
      </left>
      <right style="double">
        <color rgb="FFE090C3"/>
      </right>
      <top style="double">
        <color rgb="FFE090C3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E090C3"/>
      </left>
      <right style="medium">
        <color auto="1"/>
      </right>
      <top/>
      <bottom style="double">
        <color rgb="FFE090C3"/>
      </bottom>
      <diagonal/>
    </border>
    <border>
      <left style="medium">
        <color rgb="FFE090C3"/>
      </left>
      <right style="medium">
        <color auto="1"/>
      </right>
      <top style="double">
        <color rgb="FFE090C3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6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1" fillId="5" borderId="7" xfId="0" applyFont="1" applyFill="1" applyBorder="1">
      <alignment vertical="center"/>
    </xf>
    <xf numFmtId="0" fontId="1" fillId="2" borderId="0" xfId="0" applyFont="1" applyFill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20" fontId="0" fillId="3" borderId="9" xfId="0" applyNumberFormat="1" applyFill="1" applyBorder="1">
      <alignment vertical="center"/>
    </xf>
    <xf numFmtId="0" fontId="0" fillId="3" borderId="10" xfId="0" applyFill="1" applyBorder="1">
      <alignment vertical="center"/>
    </xf>
    <xf numFmtId="0" fontId="0" fillId="3" borderId="9" xfId="0" applyFill="1" applyBorder="1">
      <alignment vertical="center"/>
    </xf>
    <xf numFmtId="0" fontId="0" fillId="2" borderId="11" xfId="0" applyFill="1" applyBorder="1" applyAlignment="1">
      <alignment horizontal="center" vertical="center"/>
    </xf>
    <xf numFmtId="20" fontId="0" fillId="2" borderId="3" xfId="0" applyNumberFormat="1" applyFill="1" applyBorder="1">
      <alignment vertical="center"/>
    </xf>
    <xf numFmtId="20" fontId="0" fillId="2" borderId="4" xfId="0" applyNumberFormat="1" applyFill="1" applyBorder="1">
      <alignment vertical="center"/>
    </xf>
    <xf numFmtId="20" fontId="0" fillId="2" borderId="12" xfId="0" applyNumberFormat="1" applyFill="1" applyBorder="1">
      <alignment vertical="center"/>
    </xf>
    <xf numFmtId="0" fontId="0" fillId="2" borderId="13" xfId="0" applyFill="1" applyBorder="1">
      <alignment vertical="center"/>
    </xf>
    <xf numFmtId="0" fontId="0" fillId="2" borderId="1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12" xfId="0" applyFill="1" applyBorder="1">
      <alignment vertical="center"/>
    </xf>
    <xf numFmtId="0" fontId="0" fillId="2" borderId="14" xfId="0" applyFill="1" applyBorder="1" applyAlignment="1">
      <alignment horizontal="center" vertical="center"/>
    </xf>
    <xf numFmtId="20" fontId="0" fillId="2" borderId="5" xfId="0" applyNumberFormat="1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1" fillId="2" borderId="7" xfId="0" applyFont="1" applyFill="1" applyBorder="1">
      <alignment vertical="center"/>
    </xf>
    <xf numFmtId="0" fontId="0" fillId="2" borderId="8" xfId="0" applyFill="1" applyBorder="1">
      <alignment vertical="center"/>
    </xf>
    <xf numFmtId="20" fontId="0" fillId="2" borderId="1" xfId="0" applyNumberForma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20" xfId="0" applyFill="1" applyBorder="1">
      <alignment vertical="center"/>
    </xf>
    <xf numFmtId="0" fontId="2" fillId="2" borderId="0" xfId="0" applyFont="1" applyFill="1">
      <alignment vertical="center"/>
    </xf>
    <xf numFmtId="0" fontId="1" fillId="2" borderId="17" xfId="0" applyFont="1" applyFill="1" applyBorder="1">
      <alignment vertical="center"/>
    </xf>
    <xf numFmtId="0" fontId="1" fillId="2" borderId="18" xfId="0" applyFont="1" applyFill="1" applyBorder="1">
      <alignment vertical="center"/>
    </xf>
    <xf numFmtId="0" fontId="1" fillId="2" borderId="19" xfId="0" applyFont="1" applyFill="1" applyBorder="1">
      <alignment vertical="center"/>
    </xf>
    <xf numFmtId="0" fontId="3" fillId="7" borderId="7" xfId="0" applyFont="1" applyFill="1" applyBorder="1">
      <alignment vertical="center"/>
    </xf>
    <xf numFmtId="49" fontId="3" fillId="7" borderId="7" xfId="0" applyNumberFormat="1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center" vertical="center"/>
    </xf>
    <xf numFmtId="49" fontId="3" fillId="7" borderId="7" xfId="0" applyNumberFormat="1" applyFont="1" applyFill="1" applyBorder="1">
      <alignment vertical="center"/>
    </xf>
    <xf numFmtId="164" fontId="5" fillId="7" borderId="7" xfId="0" applyNumberFormat="1" applyFont="1" applyFill="1" applyBorder="1" applyAlignment="1">
      <alignment horizontal="right" vertical="center"/>
    </xf>
    <xf numFmtId="0" fontId="3" fillId="7" borderId="7" xfId="0" applyFont="1" applyFill="1" applyBorder="1" applyAlignment="1">
      <alignment horizontal="center" vertical="center"/>
    </xf>
    <xf numFmtId="49" fontId="0" fillId="0" borderId="27" xfId="0" applyNumberFormat="1" applyBorder="1">
      <alignment vertical="center"/>
    </xf>
    <xf numFmtId="0" fontId="6" fillId="0" borderId="28" xfId="0" applyFont="1" applyBorder="1" applyAlignment="1">
      <alignment horizontal="left"/>
    </xf>
    <xf numFmtId="49" fontId="0" fillId="0" borderId="28" xfId="0" applyNumberFormat="1" applyBorder="1" applyAlignment="1">
      <alignment horizontal="center" vertical="center"/>
    </xf>
    <xf numFmtId="164" fontId="6" fillId="0" borderId="28" xfId="0" applyNumberFormat="1" applyFont="1" applyBorder="1" applyAlignment="1"/>
    <xf numFmtId="0" fontId="0" fillId="0" borderId="28" xfId="0" applyBorder="1">
      <alignment vertical="center"/>
    </xf>
    <xf numFmtId="49" fontId="0" fillId="0" borderId="29" xfId="0" applyNumberFormat="1" applyBorder="1">
      <alignment vertical="center"/>
    </xf>
    <xf numFmtId="0" fontId="6" fillId="0" borderId="29" xfId="0" applyFont="1" applyBorder="1" applyAlignment="1">
      <alignment horizontal="left"/>
    </xf>
    <xf numFmtId="49" fontId="0" fillId="0" borderId="29" xfId="0" applyNumberFormat="1" applyBorder="1" applyAlignment="1">
      <alignment horizontal="center" vertical="center"/>
    </xf>
    <xf numFmtId="164" fontId="6" fillId="0" borderId="29" xfId="0" applyNumberFormat="1" applyFont="1" applyBorder="1" applyAlignment="1"/>
    <xf numFmtId="0" fontId="0" fillId="0" borderId="29" xfId="0" applyBorder="1">
      <alignment vertical="center"/>
    </xf>
    <xf numFmtId="0" fontId="6" fillId="8" borderId="29" xfId="0" applyFont="1" applyFill="1" applyBorder="1" applyAlignment="1">
      <alignment horizontal="left"/>
    </xf>
    <xf numFmtId="0" fontId="0" fillId="8" borderId="29" xfId="0" applyFill="1" applyBorder="1">
      <alignment vertical="center"/>
    </xf>
    <xf numFmtId="164" fontId="0" fillId="0" borderId="29" xfId="0" applyNumberFormat="1" applyBorder="1">
      <alignment vertical="center"/>
    </xf>
    <xf numFmtId="49" fontId="0" fillId="0" borderId="30" xfId="0" applyNumberFormat="1" applyBorder="1">
      <alignment vertical="center"/>
    </xf>
    <xf numFmtId="0" fontId="0" fillId="0" borderId="30" xfId="0" applyBorder="1">
      <alignment vertical="center"/>
    </xf>
    <xf numFmtId="164" fontId="0" fillId="0" borderId="30" xfId="0" applyNumberFormat="1" applyBorder="1">
      <alignment vertical="center"/>
    </xf>
    <xf numFmtId="49" fontId="3" fillId="7" borderId="7" xfId="0" applyNumberFormat="1" applyFont="1" applyFill="1" applyBorder="1" applyAlignment="1">
      <alignment horizontal="center" vertical="center"/>
    </xf>
    <xf numFmtId="49" fontId="0" fillId="0" borderId="28" xfId="0" applyNumberFormat="1" applyBorder="1">
      <alignment vertical="center"/>
    </xf>
    <xf numFmtId="0" fontId="6" fillId="0" borderId="28" xfId="0" applyFont="1" applyBorder="1" applyAlignment="1"/>
    <xf numFmtId="0" fontId="6" fillId="0" borderId="29" xfId="0" applyFont="1" applyBorder="1" applyAlignment="1">
      <alignment horizontal="right"/>
    </xf>
    <xf numFmtId="164" fontId="6" fillId="0" borderId="29" xfId="0" applyNumberFormat="1" applyFont="1" applyBorder="1" applyAlignment="1">
      <alignment horizontal="right"/>
    </xf>
    <xf numFmtId="0" fontId="6" fillId="0" borderId="30" xfId="0" applyFont="1" applyBorder="1" applyAlignment="1">
      <alignment horizontal="left"/>
    </xf>
    <xf numFmtId="164" fontId="6" fillId="0" borderId="30" xfId="0" applyNumberFormat="1" applyFont="1" applyBorder="1" applyAlignment="1"/>
    <xf numFmtId="0" fontId="6" fillId="0" borderId="30" xfId="0" applyFont="1" applyBorder="1" applyAlignment="1"/>
    <xf numFmtId="0" fontId="7" fillId="7" borderId="7" xfId="0" applyFont="1" applyFill="1" applyBorder="1" applyAlignment="1">
      <alignment horizontal="center" vertical="center"/>
    </xf>
    <xf numFmtId="164" fontId="8" fillId="7" borderId="7" xfId="0" applyNumberFormat="1" applyFont="1" applyFill="1" applyBorder="1" applyAlignment="1">
      <alignment horizontal="right" vertical="center"/>
    </xf>
    <xf numFmtId="0" fontId="8" fillId="0" borderId="27" xfId="0" applyFont="1" applyBorder="1" applyAlignment="1"/>
    <xf numFmtId="164" fontId="8" fillId="0" borderId="27" xfId="0" applyNumberFormat="1" applyFont="1" applyBorder="1" applyAlignment="1"/>
    <xf numFmtId="0" fontId="0" fillId="0" borderId="27" xfId="0" applyBorder="1">
      <alignment vertical="center"/>
    </xf>
    <xf numFmtId="0" fontId="9" fillId="0" borderId="29" xfId="0" applyFont="1" applyBorder="1" applyAlignment="1">
      <alignment horizontal="left"/>
    </xf>
    <xf numFmtId="49" fontId="0" fillId="0" borderId="3" xfId="0" applyNumberFormat="1" applyBorder="1">
      <alignment vertical="center"/>
    </xf>
    <xf numFmtId="0" fontId="0" fillId="0" borderId="4" xfId="0" applyBorder="1">
      <alignment vertical="center"/>
    </xf>
    <xf numFmtId="49" fontId="0" fillId="0" borderId="4" xfId="0" applyNumberFormat="1" applyBorder="1">
      <alignment vertical="center"/>
    </xf>
    <xf numFmtId="164" fontId="0" fillId="0" borderId="4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3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5" xfId="0" applyBorder="1">
      <alignment vertical="center"/>
    </xf>
    <xf numFmtId="49" fontId="0" fillId="0" borderId="27" xfId="0" applyNumberForma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34" xfId="0" applyBorder="1">
      <alignment vertical="center"/>
    </xf>
    <xf numFmtId="0" fontId="0" fillId="0" borderId="13" xfId="0" applyBorder="1">
      <alignment vertical="center"/>
    </xf>
    <xf numFmtId="164" fontId="0" fillId="0" borderId="0" xfId="0" applyNumberFormat="1">
      <alignment vertical="center"/>
    </xf>
    <xf numFmtId="49" fontId="0" fillId="0" borderId="27" xfId="0" applyNumberFormat="1" applyBorder="1" applyAlignment="1">
      <alignment horizontal="right" vertical="center"/>
    </xf>
    <xf numFmtId="49" fontId="0" fillId="8" borderId="27" xfId="0" applyNumberFormat="1" applyFill="1" applyBorder="1">
      <alignment vertical="center"/>
    </xf>
    <xf numFmtId="0" fontId="6" fillId="8" borderId="28" xfId="0" applyFont="1" applyFill="1" applyBorder="1" applyAlignment="1">
      <alignment horizontal="left"/>
    </xf>
    <xf numFmtId="0" fontId="0" fillId="8" borderId="28" xfId="0" applyFill="1" applyBorder="1">
      <alignment vertical="center"/>
    </xf>
    <xf numFmtId="49" fontId="0" fillId="0" borderId="29" xfId="0" applyNumberFormat="1" applyBorder="1" applyAlignment="1">
      <alignment horizontal="right" vertical="center"/>
    </xf>
    <xf numFmtId="49" fontId="0" fillId="8" borderId="29" xfId="0" applyNumberFormat="1" applyFill="1" applyBorder="1">
      <alignment vertical="center"/>
    </xf>
    <xf numFmtId="49" fontId="3" fillId="7" borderId="7" xfId="0" applyNumberFormat="1" applyFont="1" applyFill="1" applyBorder="1" applyAlignment="1">
      <alignment horizontal="right" vertical="center"/>
    </xf>
    <xf numFmtId="49" fontId="0" fillId="0" borderId="28" xfId="0" applyNumberFormat="1" applyBorder="1" applyAlignment="1">
      <alignment horizontal="right" vertical="center"/>
    </xf>
    <xf numFmtId="49" fontId="0" fillId="7" borderId="29" xfId="0" applyNumberFormat="1" applyFill="1" applyBorder="1" applyAlignment="1">
      <alignment horizontal="right" vertical="center"/>
    </xf>
    <xf numFmtId="0" fontId="6" fillId="8" borderId="29" xfId="0" applyFont="1" applyFill="1" applyBorder="1" applyAlignment="1"/>
    <xf numFmtId="0" fontId="6" fillId="0" borderId="29" xfId="0" applyFont="1" applyBorder="1" applyAlignment="1"/>
    <xf numFmtId="49" fontId="0" fillId="8" borderId="29" xfId="0" applyNumberFormat="1" applyFill="1" applyBorder="1" applyAlignment="1">
      <alignment horizontal="center" vertical="center"/>
    </xf>
    <xf numFmtId="164" fontId="6" fillId="8" borderId="29" xfId="0" applyNumberFormat="1" applyFont="1" applyFill="1" applyBorder="1" applyAlignment="1"/>
    <xf numFmtId="0" fontId="8" fillId="0" borderId="28" xfId="0" applyFont="1" applyBorder="1" applyAlignment="1"/>
    <xf numFmtId="164" fontId="8" fillId="0" borderId="28" xfId="0" applyNumberFormat="1" applyFont="1" applyBorder="1" applyAlignment="1"/>
    <xf numFmtId="49" fontId="0" fillId="0" borderId="30" xfId="0" applyNumberFormat="1" applyBorder="1" applyAlignment="1">
      <alignment horizontal="right" vertical="center"/>
    </xf>
    <xf numFmtId="164" fontId="8" fillId="7" borderId="7" xfId="0" applyNumberFormat="1" applyFont="1" applyFill="1" applyBorder="1" applyAlignment="1"/>
    <xf numFmtId="49" fontId="0" fillId="0" borderId="35" xfId="0" applyNumberFormat="1" applyBorder="1">
      <alignment vertical="center"/>
    </xf>
    <xf numFmtId="0" fontId="6" fillId="8" borderId="35" xfId="0" applyFont="1" applyFill="1" applyBorder="1" applyAlignment="1"/>
    <xf numFmtId="49" fontId="0" fillId="0" borderId="0" xfId="0" applyNumberFormat="1">
      <alignment vertical="center"/>
    </xf>
    <xf numFmtId="0" fontId="6" fillId="0" borderId="0" xfId="0" applyFont="1" applyAlignment="1"/>
    <xf numFmtId="164" fontId="6" fillId="0" borderId="0" xfId="0" applyNumberFormat="1" applyFont="1" applyAlignment="1"/>
    <xf numFmtId="0" fontId="0" fillId="7" borderId="0" xfId="0" applyFill="1">
      <alignment vertical="center"/>
    </xf>
    <xf numFmtId="0" fontId="0" fillId="9" borderId="0" xfId="0" applyFill="1">
      <alignment vertical="center"/>
    </xf>
    <xf numFmtId="0" fontId="10" fillId="7" borderId="1" xfId="0" applyFont="1" applyFill="1" applyBorder="1">
      <alignment vertical="center"/>
    </xf>
    <xf numFmtId="169" fontId="10" fillId="0" borderId="9" xfId="0" applyNumberFormat="1" applyFont="1" applyBorder="1">
      <alignment vertical="center"/>
    </xf>
    <xf numFmtId="0" fontId="3" fillId="7" borderId="10" xfId="0" applyFont="1" applyFill="1" applyBorder="1">
      <alignment vertical="center"/>
    </xf>
    <xf numFmtId="169" fontId="3" fillId="0" borderId="9" xfId="0" applyNumberFormat="1" applyFont="1" applyBorder="1">
      <alignment vertical="center"/>
    </xf>
    <xf numFmtId="0" fontId="3" fillId="7" borderId="3" xfId="0" applyFont="1" applyFill="1" applyBorder="1">
      <alignment vertical="center"/>
    </xf>
    <xf numFmtId="169" fontId="1" fillId="0" borderId="12" xfId="0" applyNumberFormat="1" applyFont="1" applyBorder="1">
      <alignment vertical="center"/>
    </xf>
    <xf numFmtId="0" fontId="3" fillId="7" borderId="13" xfId="0" applyFont="1" applyFill="1" applyBorder="1">
      <alignment vertical="center"/>
    </xf>
    <xf numFmtId="169" fontId="3" fillId="0" borderId="12" xfId="0" applyNumberFormat="1" applyFont="1" applyBorder="1">
      <alignment vertical="center"/>
    </xf>
    <xf numFmtId="0" fontId="3" fillId="8" borderId="13" xfId="0" applyFont="1" applyFill="1" applyBorder="1">
      <alignment vertical="center"/>
    </xf>
    <xf numFmtId="169" fontId="3" fillId="8" borderId="12" xfId="0" applyNumberFormat="1" applyFont="1" applyFill="1" applyBorder="1">
      <alignment vertical="center"/>
    </xf>
    <xf numFmtId="0" fontId="3" fillId="7" borderId="5" xfId="0" applyFont="1" applyFill="1" applyBorder="1">
      <alignment vertical="center"/>
    </xf>
    <xf numFmtId="169" fontId="1" fillId="0" borderId="15" xfId="0" applyNumberFormat="1" applyFont="1" applyBorder="1">
      <alignment vertical="center"/>
    </xf>
    <xf numFmtId="0" fontId="3" fillId="7" borderId="16" xfId="0" applyFont="1" applyFill="1" applyBorder="1">
      <alignment vertical="center"/>
    </xf>
    <xf numFmtId="0" fontId="3" fillId="7" borderId="24" xfId="0" applyFont="1" applyFill="1" applyBorder="1">
      <alignment vertical="center"/>
    </xf>
    <xf numFmtId="169" fontId="3" fillId="0" borderId="36" xfId="0" applyNumberFormat="1" applyFont="1" applyBorder="1">
      <alignment vertical="center"/>
    </xf>
    <xf numFmtId="0" fontId="3" fillId="9" borderId="23" xfId="0" applyFont="1" applyFill="1" applyBorder="1">
      <alignment vertical="center"/>
    </xf>
    <xf numFmtId="169" fontId="1" fillId="7" borderId="17" xfId="0" applyNumberFormat="1" applyFont="1" applyFill="1" applyBorder="1" applyAlignment="1">
      <alignment horizontal="center" vertical="center"/>
    </xf>
    <xf numFmtId="169" fontId="1" fillId="7" borderId="21" xfId="0" applyNumberFormat="1" applyFont="1" applyFill="1" applyBorder="1" applyAlignment="1">
      <alignment horizontal="center" vertical="center"/>
    </xf>
    <xf numFmtId="164" fontId="1" fillId="7" borderId="7" xfId="0" applyNumberFormat="1" applyFont="1" applyFill="1" applyBorder="1" applyAlignment="1">
      <alignment horizontal="center" vertical="center"/>
    </xf>
    <xf numFmtId="0" fontId="3" fillId="9" borderId="26" xfId="0" applyFont="1" applyFill="1" applyBorder="1">
      <alignment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3" fillId="7" borderId="36" xfId="0" applyFont="1" applyFill="1" applyBorder="1" applyAlignment="1">
      <alignment horizontal="center" vertical="center"/>
    </xf>
    <xf numFmtId="0" fontId="3" fillId="9" borderId="0" xfId="0" applyFont="1" applyFill="1">
      <alignment vertical="center"/>
    </xf>
    <xf numFmtId="0" fontId="0" fillId="7" borderId="21" xfId="0" applyFill="1" applyBorder="1">
      <alignment vertical="center"/>
    </xf>
    <xf numFmtId="0" fontId="0" fillId="7" borderId="40" xfId="0" applyFill="1" applyBorder="1">
      <alignment vertical="center"/>
    </xf>
    <xf numFmtId="0" fontId="0" fillId="7" borderId="37" xfId="0" applyFill="1" applyBorder="1">
      <alignment vertical="center"/>
    </xf>
    <xf numFmtId="169" fontId="3" fillId="9" borderId="27" xfId="0" applyNumberFormat="1" applyFont="1" applyFill="1" applyBorder="1">
      <alignment vertical="center"/>
    </xf>
    <xf numFmtId="0" fontId="3" fillId="0" borderId="41" xfId="0" applyFont="1" applyBorder="1">
      <alignment vertical="center"/>
    </xf>
    <xf numFmtId="169" fontId="0" fillId="0" borderId="40" xfId="0" applyNumberFormat="1" applyBorder="1" applyAlignment="1">
      <alignment horizontal="left" vertical="center"/>
    </xf>
    <xf numFmtId="169" fontId="0" fillId="0" borderId="42" xfId="0" applyNumberFormat="1" applyBorder="1" applyAlignment="1">
      <alignment horizontal="left" vertical="center"/>
    </xf>
    <xf numFmtId="0" fontId="3" fillId="0" borderId="43" xfId="0" applyFont="1" applyBorder="1">
      <alignment vertical="center"/>
    </xf>
    <xf numFmtId="169" fontId="0" fillId="0" borderId="27" xfId="0" applyNumberFormat="1" applyBorder="1" applyAlignment="1">
      <alignment horizontal="left" vertical="center"/>
    </xf>
    <xf numFmtId="0" fontId="3" fillId="9" borderId="29" xfId="0" applyFont="1" applyFill="1" applyBorder="1">
      <alignment vertical="center"/>
    </xf>
    <xf numFmtId="0" fontId="0" fillId="7" borderId="34" xfId="0" applyFill="1" applyBorder="1">
      <alignment vertical="center"/>
    </xf>
    <xf numFmtId="169" fontId="0" fillId="7" borderId="43" xfId="0" applyNumberFormat="1" applyFill="1" applyBorder="1" applyAlignment="1">
      <alignment horizontal="left" vertical="center"/>
    </xf>
    <xf numFmtId="0" fontId="3" fillId="7" borderId="43" xfId="0" applyFont="1" applyFill="1" applyBorder="1">
      <alignment vertical="center"/>
    </xf>
    <xf numFmtId="169" fontId="0" fillId="7" borderId="29" xfId="0" applyNumberFormat="1" applyFill="1" applyBorder="1" applyAlignment="1">
      <alignment horizontal="left" vertical="center"/>
    </xf>
    <xf numFmtId="0" fontId="3" fillId="0" borderId="34" xfId="0" applyFont="1" applyBorder="1">
      <alignment vertical="center"/>
    </xf>
    <xf numFmtId="169" fontId="0" fillId="0" borderId="43" xfId="0" applyNumberFormat="1" applyBorder="1" applyAlignment="1">
      <alignment horizontal="left" vertical="center"/>
    </xf>
    <xf numFmtId="169" fontId="0" fillId="0" borderId="29" xfId="0" applyNumberFormat="1" applyBorder="1" applyAlignment="1">
      <alignment horizontal="left" vertical="center"/>
    </xf>
    <xf numFmtId="0" fontId="0" fillId="7" borderId="44" xfId="0" applyFill="1" applyBorder="1">
      <alignment vertical="center"/>
    </xf>
    <xf numFmtId="169" fontId="0" fillId="7" borderId="45" xfId="0" applyNumberFormat="1" applyFill="1" applyBorder="1" applyAlignment="1">
      <alignment horizontal="left" vertical="center"/>
    </xf>
    <xf numFmtId="0" fontId="0" fillId="7" borderId="45" xfId="0" applyFill="1" applyBorder="1">
      <alignment vertical="center"/>
    </xf>
    <xf numFmtId="169" fontId="0" fillId="7" borderId="30" xfId="0" applyNumberFormat="1" applyFill="1" applyBorder="1" applyAlignment="1">
      <alignment horizontal="left" vertical="center"/>
    </xf>
    <xf numFmtId="0" fontId="3" fillId="0" borderId="13" xfId="0" applyFont="1" applyBorder="1">
      <alignment vertical="center"/>
    </xf>
    <xf numFmtId="169" fontId="0" fillId="0" borderId="4" xfId="0" applyNumberFormat="1" applyBorder="1" applyAlignment="1">
      <alignment horizontal="left" vertical="center"/>
    </xf>
    <xf numFmtId="169" fontId="0" fillId="0" borderId="12" xfId="0" applyNumberFormat="1" applyBorder="1" applyAlignment="1">
      <alignment horizontal="left" vertical="center"/>
    </xf>
    <xf numFmtId="0" fontId="0" fillId="7" borderId="13" xfId="0" applyFill="1" applyBorder="1">
      <alignment vertical="center"/>
    </xf>
    <xf numFmtId="169" fontId="0" fillId="7" borderId="4" xfId="0" applyNumberFormat="1" applyFill="1" applyBorder="1" applyAlignment="1">
      <alignment horizontal="left" vertical="center"/>
    </xf>
    <xf numFmtId="169" fontId="0" fillId="7" borderId="12" xfId="0" applyNumberFormat="1" applyFill="1" applyBorder="1" applyAlignment="1">
      <alignment horizontal="left" vertical="center"/>
    </xf>
    <xf numFmtId="169" fontId="3" fillId="7" borderId="12" xfId="0" applyNumberFormat="1" applyFont="1" applyFill="1" applyBorder="1" applyAlignment="1">
      <alignment horizontal="left" vertical="center"/>
    </xf>
    <xf numFmtId="0" fontId="3" fillId="9" borderId="30" xfId="0" applyFont="1" applyFill="1" applyBorder="1">
      <alignment vertical="center"/>
    </xf>
    <xf numFmtId="0" fontId="0" fillId="7" borderId="46" xfId="0" applyFill="1" applyBorder="1">
      <alignment vertical="center"/>
    </xf>
    <xf numFmtId="0" fontId="0" fillId="7" borderId="4" xfId="0" applyFill="1" applyBorder="1">
      <alignment vertical="center"/>
    </xf>
    <xf numFmtId="0" fontId="3" fillId="7" borderId="46" xfId="0" applyFont="1" applyFill="1" applyBorder="1">
      <alignment vertical="center"/>
    </xf>
    <xf numFmtId="169" fontId="0" fillId="7" borderId="33" xfId="0" applyNumberFormat="1" applyFill="1" applyBorder="1" applyAlignment="1">
      <alignment horizontal="left" vertical="center"/>
    </xf>
    <xf numFmtId="0" fontId="0" fillId="9" borderId="4" xfId="0" applyFill="1" applyBorder="1">
      <alignment vertical="center"/>
    </xf>
    <xf numFmtId="164" fontId="0" fillId="7" borderId="15" xfId="0" applyNumberFormat="1" applyFill="1" applyBorder="1">
      <alignment vertical="center"/>
    </xf>
    <xf numFmtId="164" fontId="6" fillId="10" borderId="28" xfId="0" applyNumberFormat="1" applyFont="1" applyFill="1" applyBorder="1" applyAlignment="1"/>
    <xf numFmtId="0" fontId="11" fillId="0" borderId="4" xfId="0" applyFont="1" applyBorder="1">
      <alignment vertical="center"/>
    </xf>
    <xf numFmtId="0" fontId="0" fillId="11" borderId="0" xfId="0" applyFill="1">
      <alignment vertical="center"/>
    </xf>
    <xf numFmtId="16" fontId="0" fillId="0" borderId="29" xfId="0" applyNumberFormat="1" applyBorder="1">
      <alignment vertical="center"/>
    </xf>
    <xf numFmtId="164" fontId="6" fillId="3" borderId="28" xfId="0" applyNumberFormat="1" applyFont="1" applyFill="1" applyBorder="1" applyAlignment="1"/>
    <xf numFmtId="170" fontId="0" fillId="0" borderId="4" xfId="0" applyNumberFormat="1" applyBorder="1">
      <alignment vertical="center"/>
    </xf>
    <xf numFmtId="164" fontId="6" fillId="3" borderId="29" xfId="0" applyNumberFormat="1" applyFont="1" applyFill="1" applyBorder="1" applyAlignment="1"/>
    <xf numFmtId="0" fontId="0" fillId="0" borderId="46" xfId="0" applyBorder="1">
      <alignment vertical="center"/>
    </xf>
    <xf numFmtId="49" fontId="3" fillId="11" borderId="38" xfId="0" applyNumberFormat="1" applyFont="1" applyFill="1" applyBorder="1">
      <alignment vertical="center"/>
    </xf>
    <xf numFmtId="49" fontId="0" fillId="11" borderId="4" xfId="0" applyNumberFormat="1" applyFill="1" applyBorder="1" applyAlignment="1">
      <alignment horizontal="left" vertical="center"/>
    </xf>
    <xf numFmtId="0" fontId="5" fillId="11" borderId="4" xfId="0" applyFont="1" applyFill="1" applyBorder="1" applyAlignment="1">
      <alignment horizontal="left" vertical="center"/>
    </xf>
    <xf numFmtId="49" fontId="3" fillId="11" borderId="4" xfId="0" applyNumberFormat="1" applyFont="1" applyFill="1" applyBorder="1">
      <alignment vertical="center"/>
    </xf>
    <xf numFmtId="164" fontId="5" fillId="11" borderId="4" xfId="0" applyNumberFormat="1" applyFont="1" applyFill="1" applyBorder="1" applyAlignment="1">
      <alignment horizontal="right" vertical="center"/>
    </xf>
    <xf numFmtId="0" fontId="3" fillId="11" borderId="4" xfId="0" applyFont="1" applyFill="1" applyBorder="1" applyAlignment="1">
      <alignment horizontal="center" vertical="center"/>
    </xf>
    <xf numFmtId="0" fontId="0" fillId="11" borderId="4" xfId="0" applyFill="1" applyBorder="1">
      <alignment vertical="center"/>
    </xf>
    <xf numFmtId="49" fontId="3" fillId="7" borderId="36" xfId="0" applyNumberFormat="1" applyFont="1" applyFill="1" applyBorder="1" applyAlignment="1">
      <alignment horizontal="center" vertical="center"/>
    </xf>
    <xf numFmtId="0" fontId="4" fillId="7" borderId="36" xfId="0" applyFont="1" applyFill="1" applyBorder="1" applyAlignment="1">
      <alignment horizontal="center" vertical="center"/>
    </xf>
    <xf numFmtId="49" fontId="3" fillId="7" borderId="36" xfId="0" applyNumberFormat="1" applyFont="1" applyFill="1" applyBorder="1">
      <alignment vertical="center"/>
    </xf>
    <xf numFmtId="164" fontId="5" fillId="7" borderId="36" xfId="0" applyNumberFormat="1" applyFont="1" applyFill="1" applyBorder="1" applyAlignment="1">
      <alignment horizontal="right" vertical="center"/>
    </xf>
    <xf numFmtId="0" fontId="0" fillId="0" borderId="49" xfId="0" applyBorder="1">
      <alignment vertical="center"/>
    </xf>
    <xf numFmtId="0" fontId="0" fillId="0" borderId="20" xfId="0" applyBorder="1">
      <alignment vertical="center"/>
    </xf>
    <xf numFmtId="164" fontId="8" fillId="3" borderId="7" xfId="0" applyNumberFormat="1" applyFont="1" applyFill="1" applyBorder="1" applyAlignment="1">
      <alignment horizontal="right" vertical="center"/>
    </xf>
    <xf numFmtId="164" fontId="6" fillId="0" borderId="43" xfId="0" applyNumberFormat="1" applyFont="1" applyBorder="1" applyAlignment="1"/>
    <xf numFmtId="0" fontId="12" fillId="10" borderId="4" xfId="0" applyFont="1" applyFill="1" applyBorder="1">
      <alignment vertical="center"/>
    </xf>
    <xf numFmtId="164" fontId="0" fillId="0" borderId="45" xfId="0" applyNumberFormat="1" applyBorder="1">
      <alignment vertical="center"/>
    </xf>
    <xf numFmtId="0" fontId="6" fillId="0" borderId="35" xfId="0" applyFont="1" applyBorder="1" applyAlignment="1"/>
    <xf numFmtId="49" fontId="0" fillId="0" borderId="17" xfId="0" applyNumberFormat="1" applyBorder="1">
      <alignment vertical="center"/>
    </xf>
    <xf numFmtId="49" fontId="0" fillId="0" borderId="18" xfId="0" applyNumberFormat="1" applyBorder="1">
      <alignment vertical="center"/>
    </xf>
    <xf numFmtId="0" fontId="0" fillId="0" borderId="18" xfId="0" applyBorder="1">
      <alignment vertical="center"/>
    </xf>
    <xf numFmtId="164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0" fontId="11" fillId="0" borderId="13" xfId="0" applyFont="1" applyBorder="1">
      <alignment vertical="center"/>
    </xf>
    <xf numFmtId="0" fontId="12" fillId="0" borderId="0" xfId="0" applyFont="1">
      <alignment vertical="center"/>
    </xf>
    <xf numFmtId="0" fontId="13" fillId="7" borderId="7" xfId="0" applyFont="1" applyFill="1" applyBorder="1" applyAlignment="1"/>
    <xf numFmtId="0" fontId="6" fillId="0" borderId="50" xfId="0" applyFont="1" applyBorder="1" applyAlignment="1"/>
    <xf numFmtId="14" fontId="6" fillId="0" borderId="51" xfId="0" applyNumberFormat="1" applyFont="1" applyBorder="1" applyAlignment="1"/>
    <xf numFmtId="0" fontId="6" fillId="0" borderId="51" xfId="0" applyFont="1" applyBorder="1" applyAlignment="1"/>
    <xf numFmtId="0" fontId="14" fillId="0" borderId="52" xfId="0" applyFont="1" applyBorder="1" applyAlignment="1"/>
    <xf numFmtId="0" fontId="14" fillId="0" borderId="53" xfId="0" applyFont="1" applyBorder="1" applyAlignment="1"/>
    <xf numFmtId="0" fontId="15" fillId="7" borderId="21" xfId="0" applyFont="1" applyFill="1" applyBorder="1" applyAlignment="1"/>
    <xf numFmtId="0" fontId="15" fillId="7" borderId="22" xfId="0" applyFont="1" applyFill="1" applyBorder="1" applyAlignment="1"/>
    <xf numFmtId="0" fontId="6" fillId="7" borderId="23" xfId="0" applyFont="1" applyFill="1" applyBorder="1" applyAlignment="1"/>
    <xf numFmtId="0" fontId="15" fillId="7" borderId="24" xfId="0" applyFont="1" applyFill="1" applyBorder="1" applyAlignment="1"/>
    <xf numFmtId="0" fontId="15" fillId="7" borderId="25" xfId="0" applyFont="1" applyFill="1" applyBorder="1" applyAlignment="1"/>
    <xf numFmtId="0" fontId="6" fillId="7" borderId="26" xfId="0" applyFont="1" applyFill="1" applyBorder="1" applyAlignment="1"/>
    <xf numFmtId="0" fontId="15" fillId="0" borderId="0" xfId="0" applyFont="1" applyAlignment="1"/>
    <xf numFmtId="0" fontId="6" fillId="0" borderId="39" xfId="0" applyFont="1" applyBorder="1" applyAlignment="1"/>
    <xf numFmtId="0" fontId="15" fillId="0" borderId="29" xfId="0" applyFont="1" applyBorder="1" applyAlignment="1"/>
    <xf numFmtId="16" fontId="9" fillId="7" borderId="7" xfId="0" applyNumberFormat="1" applyFont="1" applyFill="1" applyBorder="1" applyAlignment="1"/>
    <xf numFmtId="0" fontId="15" fillId="0" borderId="28" xfId="0" applyFont="1" applyBorder="1" applyAlignment="1"/>
    <xf numFmtId="0" fontId="15" fillId="7" borderId="29" xfId="0" applyFont="1" applyFill="1" applyBorder="1" applyAlignment="1"/>
    <xf numFmtId="2" fontId="15" fillId="0" borderId="29" xfId="0" applyNumberFormat="1" applyFont="1" applyBorder="1" applyAlignment="1"/>
    <xf numFmtId="0" fontId="12" fillId="7" borderId="13" xfId="0" applyFont="1" applyFill="1" applyBorder="1">
      <alignment vertical="center"/>
    </xf>
    <xf numFmtId="0" fontId="12" fillId="7" borderId="4" xfId="0" applyFont="1" applyFill="1" applyBorder="1">
      <alignment vertical="center"/>
    </xf>
    <xf numFmtId="0" fontId="12" fillId="0" borderId="11" xfId="0" applyFont="1" applyBorder="1">
      <alignment vertical="center"/>
    </xf>
    <xf numFmtId="0" fontId="15" fillId="0" borderId="35" xfId="0" applyFont="1" applyBorder="1" applyAlignment="1"/>
    <xf numFmtId="0" fontId="15" fillId="0" borderId="58" xfId="0" applyFont="1" applyBorder="1" applyAlignment="1"/>
    <xf numFmtId="2" fontId="9" fillId="0" borderId="35" xfId="0" applyNumberFormat="1" applyFont="1" applyBorder="1" applyAlignment="1"/>
    <xf numFmtId="0" fontId="12" fillId="0" borderId="13" xfId="0" applyFont="1" applyBorder="1">
      <alignment vertical="center"/>
    </xf>
    <xf numFmtId="0" fontId="12" fillId="0" borderId="4" xfId="0" applyFont="1" applyBorder="1">
      <alignment vertical="center"/>
    </xf>
    <xf numFmtId="0" fontId="15" fillId="0" borderId="30" xfId="0" applyFont="1" applyBorder="1" applyAlignment="1"/>
    <xf numFmtId="0" fontId="16" fillId="7" borderId="54" xfId="0" applyFont="1" applyFill="1" applyBorder="1" applyAlignment="1"/>
    <xf numFmtId="0" fontId="16" fillId="7" borderId="1" xfId="0" applyFont="1" applyFill="1" applyBorder="1" applyAlignment="1">
      <alignment horizontal="center"/>
    </xf>
    <xf numFmtId="0" fontId="16" fillId="7" borderId="2" xfId="0" applyFont="1" applyFill="1" applyBorder="1" applyAlignment="1">
      <alignment horizontal="left"/>
    </xf>
    <xf numFmtId="171" fontId="15" fillId="0" borderId="61" xfId="0" applyNumberFormat="1" applyFont="1" applyBorder="1" applyAlignment="1">
      <alignment horizontal="left" vertical="center" indent="1"/>
    </xf>
    <xf numFmtId="0" fontId="15" fillId="0" borderId="3" xfId="0" applyFont="1" applyBorder="1" applyAlignment="1">
      <alignment horizontal="left" vertical="center" indent="1"/>
    </xf>
    <xf numFmtId="0" fontId="6" fillId="0" borderId="3" xfId="0" applyFont="1" applyBorder="1" applyAlignment="1">
      <alignment vertical="center" wrapText="1" indent="1"/>
    </xf>
    <xf numFmtId="0" fontId="6" fillId="0" borderId="4" xfId="0" applyFont="1" applyBorder="1" applyAlignment="1">
      <alignment vertical="center" wrapText="1" indent="1"/>
    </xf>
    <xf numFmtId="0" fontId="6" fillId="0" borderId="12" xfId="0" applyFont="1" applyBorder="1" applyAlignment="1">
      <alignment vertical="center" indent="1"/>
    </xf>
    <xf numFmtId="0" fontId="6" fillId="0" borderId="3" xfId="0" applyFont="1" applyBorder="1" applyAlignment="1">
      <alignment horizontal="left" vertical="center" indent="1"/>
    </xf>
    <xf numFmtId="171" fontId="15" fillId="0" borderId="12" xfId="0" applyNumberFormat="1" applyFont="1" applyBorder="1" applyAlignment="1">
      <alignment horizontal="left" vertical="center" indent="1"/>
    </xf>
    <xf numFmtId="0" fontId="15" fillId="0" borderId="7" xfId="0" applyFont="1" applyBorder="1" applyAlignment="1">
      <alignment horizontal="left" vertical="center" wrapText="1" indent="1"/>
    </xf>
    <xf numFmtId="0" fontId="15" fillId="0" borderId="13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indent="1"/>
    </xf>
    <xf numFmtId="171" fontId="15" fillId="7" borderId="12" xfId="0" applyNumberFormat="1" applyFont="1" applyFill="1" applyBorder="1" applyAlignment="1">
      <alignment horizontal="left" vertical="center" indent="1"/>
    </xf>
    <xf numFmtId="171" fontId="17" fillId="0" borderId="15" xfId="0" applyNumberFormat="1" applyFont="1" applyBorder="1" applyAlignment="1">
      <alignment horizontal="left" vertical="center" indent="1"/>
    </xf>
    <xf numFmtId="0" fontId="1" fillId="3" borderId="38" xfId="0" applyFont="1" applyFill="1" applyBorder="1">
      <alignment vertical="center"/>
    </xf>
    <xf numFmtId="0" fontId="18" fillId="0" borderId="60" xfId="0" applyFont="1" applyBorder="1" applyAlignment="1">
      <alignment horizontal="center" vertical="center" wrapText="1" indent="1"/>
    </xf>
    <xf numFmtId="0" fontId="18" fillId="0" borderId="20" xfId="0" applyFont="1" applyBorder="1" applyAlignment="1">
      <alignment horizontal="center" vertical="center" wrapText="1" indent="1"/>
    </xf>
    <xf numFmtId="0" fontId="6" fillId="0" borderId="61" xfId="0" applyFont="1" applyBorder="1" applyAlignment="1">
      <alignment horizontal="center" vertical="center" wrapText="1" indent="1"/>
    </xf>
    <xf numFmtId="0" fontId="15" fillId="7" borderId="3" xfId="0" applyFont="1" applyFill="1" applyBorder="1" applyAlignment="1">
      <alignment horizontal="left" vertical="center" indent="1"/>
    </xf>
    <xf numFmtId="0" fontId="6" fillId="7" borderId="4" xfId="0" applyFont="1" applyFill="1" applyBorder="1" applyAlignment="1">
      <alignment horizontal="left" vertical="center" indent="1"/>
    </xf>
    <xf numFmtId="0" fontId="15" fillId="7" borderId="2" xfId="0" applyFont="1" applyFill="1" applyBorder="1" applyAlignment="1"/>
    <xf numFmtId="171" fontId="15" fillId="0" borderId="4" xfId="0" applyNumberFormat="1" applyFont="1" applyBorder="1" applyAlignment="1">
      <alignment horizontal="left" vertical="center" indent="1"/>
    </xf>
    <xf numFmtId="0" fontId="15" fillId="0" borderId="4" xfId="0" applyFont="1" applyBorder="1" applyAlignment="1">
      <alignment horizontal="left" vertical="center" indent="1"/>
    </xf>
    <xf numFmtId="171" fontId="15" fillId="7" borderId="4" xfId="0" applyNumberFormat="1" applyFont="1" applyFill="1" applyBorder="1" applyAlignment="1">
      <alignment horizontal="left" vertical="center" indent="1"/>
    </xf>
    <xf numFmtId="171" fontId="17" fillId="0" borderId="6" xfId="0" applyNumberFormat="1" applyFont="1" applyBorder="1" applyAlignment="1">
      <alignment horizontal="center" vertical="center" indent="1"/>
    </xf>
    <xf numFmtId="0" fontId="1" fillId="3" borderId="0" xfId="0" applyFont="1" applyFill="1">
      <alignment vertical="center"/>
    </xf>
    <xf numFmtId="0" fontId="9" fillId="7" borderId="4" xfId="0" applyFont="1" applyFill="1" applyBorder="1" applyAlignment="1">
      <alignment horizontal="left" vertical="center" indent="1"/>
    </xf>
    <xf numFmtId="0" fontId="12" fillId="7" borderId="7" xfId="0" applyFont="1" applyFill="1" applyBorder="1">
      <alignment vertical="center"/>
    </xf>
    <xf numFmtId="0" fontId="16" fillId="7" borderId="59" xfId="0" applyFont="1" applyFill="1" applyBorder="1" applyAlignment="1">
      <alignment horizontal="center"/>
    </xf>
    <xf numFmtId="0" fontId="16" fillId="7" borderId="19" xfId="0" applyFont="1" applyFill="1" applyBorder="1" applyAlignment="1">
      <alignment horizontal="center"/>
    </xf>
    <xf numFmtId="0" fontId="15" fillId="7" borderId="54" xfId="0" applyFont="1" applyFill="1" applyBorder="1" applyAlignment="1">
      <alignment horizontal="left" vertical="center" wrapText="1" indent="1"/>
    </xf>
    <xf numFmtId="0" fontId="15" fillId="7" borderId="56" xfId="0" applyFont="1" applyFill="1" applyBorder="1" applyAlignment="1">
      <alignment horizontal="left" vertical="center" wrapText="1" indent="1"/>
    </xf>
    <xf numFmtId="0" fontId="15" fillId="7" borderId="63" xfId="0" applyFont="1" applyFill="1" applyBorder="1" applyAlignment="1">
      <alignment horizontal="left" vertical="center" wrapText="1" indent="1"/>
    </xf>
    <xf numFmtId="0" fontId="15" fillId="7" borderId="67" xfId="0" applyFont="1" applyFill="1" applyBorder="1" applyAlignment="1">
      <alignment horizontal="left" vertical="center" wrapText="1" indent="1"/>
    </xf>
    <xf numFmtId="0" fontId="15" fillId="0" borderId="60" xfId="0" applyFont="1" applyBorder="1" applyAlignment="1">
      <alignment horizontal="left" vertical="center" wrapText="1" indent="1"/>
    </xf>
    <xf numFmtId="0" fontId="15" fillId="0" borderId="20" xfId="0" applyFont="1" applyBorder="1" applyAlignment="1">
      <alignment horizontal="left" vertical="center" wrapText="1" indent="1"/>
    </xf>
    <xf numFmtId="9" fontId="15" fillId="0" borderId="4" xfId="0" applyNumberFormat="1" applyFont="1" applyBorder="1" applyAlignment="1">
      <alignment horizontal="left" vertical="center" indent="1"/>
    </xf>
    <xf numFmtId="0" fontId="15" fillId="7" borderId="54" xfId="0" applyFont="1" applyFill="1" applyBorder="1" applyAlignment="1">
      <alignment horizontal="center" vertical="center" wrapText="1"/>
    </xf>
    <xf numFmtId="0" fontId="15" fillId="7" borderId="56" xfId="0" applyFont="1" applyFill="1" applyBorder="1" applyAlignment="1">
      <alignment horizontal="center" vertical="center" wrapText="1"/>
    </xf>
    <xf numFmtId="172" fontId="9" fillId="7" borderId="54" xfId="0" applyNumberFormat="1" applyFont="1" applyFill="1" applyBorder="1" applyAlignment="1">
      <alignment horizontal="left" vertical="center" wrapText="1" indent="1"/>
    </xf>
    <xf numFmtId="172" fontId="9" fillId="7" borderId="56" xfId="0" applyNumberFormat="1" applyFont="1" applyFill="1" applyBorder="1" applyAlignment="1">
      <alignment horizontal="left" vertical="center" wrapText="1" indent="1"/>
    </xf>
    <xf numFmtId="0" fontId="15" fillId="0" borderId="4" xfId="0" applyFont="1" applyBorder="1" applyAlignment="1">
      <alignment horizontal="center" vertical="center" indent="1"/>
    </xf>
    <xf numFmtId="0" fontId="15" fillId="0" borderId="4" xfId="0" applyFont="1" applyBorder="1" applyAlignment="1">
      <alignment horizontal="left" vertical="center" wrapText="1" indent="1"/>
    </xf>
    <xf numFmtId="172" fontId="15" fillId="0" borderId="20" xfId="0" applyNumberFormat="1" applyFont="1" applyBorder="1" applyAlignment="1">
      <alignment horizontal="left" vertical="center" wrapText="1" indent="1"/>
    </xf>
    <xf numFmtId="172" fontId="15" fillId="0" borderId="61" xfId="0" applyNumberFormat="1" applyFont="1" applyBorder="1" applyAlignment="1">
      <alignment horizontal="left" vertical="center" wrapText="1" indent="1"/>
    </xf>
    <xf numFmtId="0" fontId="15" fillId="0" borderId="3" xfId="0" applyFont="1" applyBorder="1" applyAlignment="1">
      <alignment horizontal="left" vertical="center" wrapText="1" indent="1"/>
    </xf>
    <xf numFmtId="172" fontId="15" fillId="0" borderId="4" xfId="0" applyNumberFormat="1" applyFont="1" applyBorder="1" applyAlignment="1">
      <alignment horizontal="left" vertical="center" wrapText="1" indent="1"/>
    </xf>
    <xf numFmtId="172" fontId="15" fillId="0" borderId="12" xfId="0" applyNumberFormat="1" applyFont="1" applyBorder="1" applyAlignment="1">
      <alignment horizontal="left" vertical="center" wrapText="1" indent="1"/>
    </xf>
    <xf numFmtId="0" fontId="6" fillId="0" borderId="31" xfId="0" applyFont="1" applyBorder="1" applyAlignment="1">
      <alignment horizontal="center" vertical="center" wrapText="1" indent="1"/>
    </xf>
    <xf numFmtId="0" fontId="6" fillId="0" borderId="4" xfId="0" applyFont="1" applyBorder="1" applyAlignment="1">
      <alignment horizontal="center" vertical="center" wrapText="1" indent="1"/>
    </xf>
    <xf numFmtId="0" fontId="6" fillId="0" borderId="12" xfId="0" applyFont="1" applyBorder="1" applyAlignment="1">
      <alignment horizontal="center" vertical="center" wrapText="1" indent="1"/>
    </xf>
    <xf numFmtId="10" fontId="15" fillId="0" borderId="4" xfId="0" applyNumberFormat="1" applyFont="1" applyBorder="1" applyAlignment="1">
      <alignment horizontal="left" vertical="center" indent="1"/>
    </xf>
    <xf numFmtId="0" fontId="6" fillId="0" borderId="60" xfId="0" applyFont="1" applyBorder="1" applyAlignment="1">
      <alignment horizontal="center" vertical="center" wrapText="1" indent="1"/>
    </xf>
    <xf numFmtId="0" fontId="19" fillId="0" borderId="4" xfId="0" applyFont="1" applyBorder="1" applyAlignment="1">
      <alignment horizontal="left" vertical="center" wrapText="1" indent="1"/>
    </xf>
    <xf numFmtId="172" fontId="19" fillId="0" borderId="4" xfId="0" applyNumberFormat="1" applyFont="1" applyBorder="1" applyAlignment="1">
      <alignment horizontal="left" vertical="center" wrapText="1" indent="1"/>
    </xf>
    <xf numFmtId="172" fontId="19" fillId="0" borderId="12" xfId="0" applyNumberFormat="1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center" vertical="center" wrapText="1" indent="1"/>
    </xf>
    <xf numFmtId="0" fontId="6" fillId="0" borderId="4" xfId="0" applyFont="1" applyBorder="1" applyAlignment="1">
      <alignment horizontal="center" vertical="center" indent="1"/>
    </xf>
    <xf numFmtId="0" fontId="18" fillId="0" borderId="4" xfId="0" applyFont="1" applyBorder="1" applyAlignment="1">
      <alignment horizontal="left" vertical="center" wrapText="1" indent="1"/>
    </xf>
    <xf numFmtId="172" fontId="18" fillId="0" borderId="4" xfId="0" applyNumberFormat="1" applyFont="1" applyBorder="1" applyAlignment="1">
      <alignment horizontal="left" vertical="center" wrapText="1" indent="1"/>
    </xf>
    <xf numFmtId="172" fontId="18" fillId="0" borderId="12" xfId="0" applyNumberFormat="1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wrapText="1" indent="1"/>
    </xf>
    <xf numFmtId="172" fontId="6" fillId="0" borderId="4" xfId="0" applyNumberFormat="1" applyFont="1" applyBorder="1" applyAlignment="1">
      <alignment horizontal="left" vertical="center" wrapText="1" indent="1"/>
    </xf>
    <xf numFmtId="172" fontId="6" fillId="0" borderId="12" xfId="0" applyNumberFormat="1" applyFont="1" applyBorder="1" applyAlignment="1">
      <alignment horizontal="left" vertical="center" wrapText="1" indent="1"/>
    </xf>
    <xf numFmtId="0" fontId="15" fillId="0" borderId="5" xfId="0" applyFont="1" applyBorder="1" applyAlignment="1">
      <alignment horizontal="left" vertical="center" wrapText="1" indent="1"/>
    </xf>
    <xf numFmtId="0" fontId="15" fillId="0" borderId="6" xfId="0" applyFont="1" applyBorder="1" applyAlignment="1">
      <alignment horizontal="left" vertical="center" wrapText="1" indent="1"/>
    </xf>
    <xf numFmtId="0" fontId="15" fillId="0" borderId="5" xfId="0" applyFont="1" applyBorder="1" applyAlignment="1">
      <alignment horizontal="left" vertical="center" indent="1"/>
    </xf>
    <xf numFmtId="0" fontId="15" fillId="0" borderId="6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wrapText="1" indent="1"/>
    </xf>
    <xf numFmtId="172" fontId="6" fillId="0" borderId="6" xfId="0" applyNumberFormat="1" applyFont="1" applyBorder="1" applyAlignment="1">
      <alignment horizontal="left" vertical="center" wrapText="1" indent="1"/>
    </xf>
    <xf numFmtId="172" fontId="6" fillId="0" borderId="15" xfId="0" applyNumberFormat="1" applyFont="1" applyBorder="1" applyAlignment="1">
      <alignment horizontal="left" vertical="center" wrapText="1" indent="1"/>
    </xf>
    <xf numFmtId="0" fontId="9" fillId="3" borderId="65" xfId="0" applyFont="1" applyFill="1" applyBorder="1" applyAlignment="1">
      <alignment horizontal="left" vertical="center" wrapText="1" indent="1"/>
    </xf>
    <xf numFmtId="172" fontId="9" fillId="3" borderId="65" xfId="0" applyNumberFormat="1" applyFont="1" applyFill="1" applyBorder="1" applyAlignment="1">
      <alignment horizontal="left" vertical="center" wrapText="1" indent="1"/>
    </xf>
    <xf numFmtId="172" fontId="9" fillId="3" borderId="68" xfId="0" applyNumberFormat="1" applyFont="1" applyFill="1" applyBorder="1" applyAlignment="1">
      <alignment horizontal="left" vertical="center" wrapText="1" indent="1"/>
    </xf>
    <xf numFmtId="0" fontId="9" fillId="3" borderId="66" xfId="0" applyFont="1" applyFill="1" applyBorder="1" applyAlignment="1">
      <alignment horizontal="left" vertical="center" wrapText="1" indent="1"/>
    </xf>
    <xf numFmtId="172" fontId="9" fillId="3" borderId="66" xfId="0" applyNumberFormat="1" applyFont="1" applyFill="1" applyBorder="1" applyAlignment="1">
      <alignment horizontal="left" vertical="center" wrapText="1" indent="1"/>
    </xf>
    <xf numFmtId="172" fontId="9" fillId="3" borderId="69" xfId="0" applyNumberFormat="1" applyFont="1" applyFill="1" applyBorder="1" applyAlignment="1">
      <alignment horizontal="left" vertical="center" wrapText="1" indent="1"/>
    </xf>
    <xf numFmtId="0" fontId="15" fillId="7" borderId="4" xfId="0" applyFont="1" applyFill="1" applyBorder="1" applyAlignment="1">
      <alignment horizontal="center" vertical="center" indent="1"/>
    </xf>
    <xf numFmtId="0" fontId="6" fillId="7" borderId="4" xfId="0" applyFont="1" applyFill="1" applyBorder="1" applyAlignment="1">
      <alignment horizontal="left" vertical="center" indent="1"/>
    </xf>
    <xf numFmtId="0" fontId="15" fillId="7" borderId="62" xfId="0" applyFont="1" applyFill="1" applyBorder="1" applyAlignment="1">
      <alignment horizontal="center" vertical="center" wrapText="1"/>
    </xf>
    <xf numFmtId="0" fontId="15" fillId="7" borderId="63" xfId="0" applyFont="1" applyFill="1" applyBorder="1" applyAlignment="1">
      <alignment horizontal="center" vertical="center" wrapText="1"/>
    </xf>
    <xf numFmtId="0" fontId="15" fillId="7" borderId="64" xfId="0" applyFont="1" applyFill="1" applyBorder="1" applyAlignment="1">
      <alignment horizontal="center" vertical="center" wrapText="1"/>
    </xf>
    <xf numFmtId="0" fontId="15" fillId="7" borderId="49" xfId="0" applyFont="1" applyFill="1" applyBorder="1" applyAlignment="1">
      <alignment horizontal="center" vertical="center" wrapText="1"/>
    </xf>
    <xf numFmtId="0" fontId="15" fillId="7" borderId="22" xfId="0" applyFont="1" applyFill="1" applyBorder="1" applyAlignment="1">
      <alignment horizontal="center" vertical="center" wrapText="1"/>
    </xf>
    <xf numFmtId="0" fontId="15" fillId="7" borderId="57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center" vertical="center"/>
    </xf>
    <xf numFmtId="0" fontId="1" fillId="7" borderId="54" xfId="0" applyFont="1" applyFill="1" applyBorder="1" applyAlignment="1">
      <alignment horizontal="center" vertical="center"/>
    </xf>
    <xf numFmtId="0" fontId="1" fillId="7" borderId="55" xfId="0" applyFont="1" applyFill="1" applyBorder="1" applyAlignment="1">
      <alignment horizontal="center" vertical="center"/>
    </xf>
    <xf numFmtId="0" fontId="1" fillId="7" borderId="56" xfId="0" applyFont="1" applyFill="1" applyBorder="1" applyAlignment="1">
      <alignment horizontal="center" vertical="center"/>
    </xf>
    <xf numFmtId="0" fontId="14" fillId="7" borderId="24" xfId="0" applyFont="1" applyFill="1" applyBorder="1" applyAlignment="1">
      <alignment horizontal="center"/>
    </xf>
    <xf numFmtId="0" fontId="14" fillId="7" borderId="26" xfId="0" applyFont="1" applyFill="1" applyBorder="1" applyAlignment="1">
      <alignment horizontal="center"/>
    </xf>
    <xf numFmtId="0" fontId="14" fillId="7" borderId="54" xfId="0" applyFont="1" applyFill="1" applyBorder="1" applyAlignment="1">
      <alignment horizontal="center"/>
    </xf>
    <xf numFmtId="0" fontId="14" fillId="7" borderId="56" xfId="0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7" borderId="39" xfId="0" applyFont="1" applyFill="1" applyBorder="1" applyAlignment="1">
      <alignment vertical="center"/>
    </xf>
    <xf numFmtId="0" fontId="1" fillId="12" borderId="7" xfId="0" applyFont="1" applyFill="1" applyBorder="1">
      <alignment vertical="center"/>
    </xf>
    <xf numFmtId="0" fontId="1" fillId="12" borderId="17" xfId="0" applyFont="1" applyFill="1" applyBorder="1">
      <alignment vertical="center"/>
    </xf>
    <xf numFmtId="0" fontId="1" fillId="12" borderId="18" xfId="0" applyFont="1" applyFill="1" applyBorder="1">
      <alignment vertical="center"/>
    </xf>
    <xf numFmtId="0" fontId="1" fillId="12" borderId="19" xfId="0" applyFont="1" applyFill="1" applyBorder="1">
      <alignment vertical="center"/>
    </xf>
    <xf numFmtId="0" fontId="1" fillId="13" borderId="21" xfId="0" applyFont="1" applyFill="1" applyBorder="1">
      <alignment vertical="center"/>
    </xf>
    <xf numFmtId="0" fontId="1" fillId="13" borderId="22" xfId="0" applyFont="1" applyFill="1" applyBorder="1">
      <alignment vertical="center"/>
    </xf>
    <xf numFmtId="0" fontId="1" fillId="13" borderId="23" xfId="0" applyFont="1" applyFill="1" applyBorder="1">
      <alignment vertical="center"/>
    </xf>
    <xf numFmtId="0" fontId="1" fillId="13" borderId="24" xfId="0" applyFont="1" applyFill="1" applyBorder="1">
      <alignment vertical="center"/>
    </xf>
    <xf numFmtId="0" fontId="1" fillId="13" borderId="25" xfId="0" applyFont="1" applyFill="1" applyBorder="1">
      <alignment vertical="center"/>
    </xf>
    <xf numFmtId="0" fontId="1" fillId="13" borderId="26" xfId="0" applyFont="1" applyFill="1" applyBorder="1">
      <alignment vertical="center"/>
    </xf>
  </cellXfs>
  <cellStyles count="1">
    <cellStyle name="Normal" xfId="0" builtinId="0"/>
  </cellStyles>
  <dxfs count="5">
    <dxf>
      <numFmt numFmtId="173" formatCode="h:mm:ss;@"/>
    </dxf>
    <dxf>
      <numFmt numFmtId="173" formatCode="h:mm:ss;@"/>
      <fill>
        <patternFill patternType="solid">
          <bgColor rgb="FFFFC000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5" tint="0.59999389629810485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colors>
    <mruColors>
      <color rgb="FFFCBFC9"/>
      <color rgb="FFE38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"/>
  <sheetViews>
    <sheetView topLeftCell="A33" workbookViewId="0">
      <selection activeCell="G16" sqref="G16:I16"/>
    </sheetView>
  </sheetViews>
  <sheetFormatPr defaultColWidth="8.875" defaultRowHeight="14.45"/>
  <cols>
    <col min="1" max="1" width="8.875" style="218"/>
    <col min="2" max="2" width="13.75" style="218" customWidth="1"/>
    <col min="3" max="3" width="56.625" style="218" customWidth="1"/>
    <col min="4" max="4" width="13.75" style="218" customWidth="1"/>
    <col min="5" max="6" width="8.875" style="218"/>
    <col min="7" max="7" width="45.125" style="218" customWidth="1"/>
    <col min="8" max="9" width="8.875" style="218"/>
    <col min="10" max="10" width="27.125" style="218" customWidth="1"/>
    <col min="11" max="11" width="8.875" style="218"/>
    <col min="12" max="12" width="10.5" style="218" customWidth="1"/>
    <col min="13" max="16384" width="8.875" style="218"/>
  </cols>
  <sheetData>
    <row r="1" spans="2:22" ht="14.45" customHeight="1"/>
    <row r="2" spans="2:22" ht="14.45" customHeight="1"/>
    <row r="3" spans="2:22" ht="16.7" customHeight="1"/>
    <row r="4" spans="2:22" ht="24.4" customHeight="1">
      <c r="B4" s="247" t="s">
        <v>0</v>
      </c>
      <c r="C4" s="276" t="s">
        <v>1</v>
      </c>
      <c r="D4" s="277"/>
      <c r="G4" s="248" t="s">
        <v>0</v>
      </c>
      <c r="H4" s="249" t="s">
        <v>2</v>
      </c>
      <c r="I4" s="268"/>
      <c r="J4" s="268"/>
      <c r="K4" s="328" t="s">
        <v>3</v>
      </c>
      <c r="L4" s="329"/>
      <c r="M4" s="328" t="s">
        <v>4</v>
      </c>
      <c r="N4" s="329"/>
      <c r="O4" s="328" t="s">
        <v>5</v>
      </c>
      <c r="P4" s="332"/>
      <c r="Q4" s="278" t="s">
        <v>6</v>
      </c>
      <c r="R4" s="279"/>
      <c r="S4" s="280" t="s">
        <v>7</v>
      </c>
      <c r="T4" s="281"/>
      <c r="U4" s="123"/>
      <c r="V4" s="123"/>
    </row>
    <row r="5" spans="2:22" ht="30.95" customHeight="1">
      <c r="B5" s="282" t="s">
        <v>8</v>
      </c>
      <c r="C5" s="283"/>
      <c r="D5" s="250">
        <v>60140</v>
      </c>
      <c r="G5" s="251" t="s">
        <v>9</v>
      </c>
      <c r="H5" s="284">
        <v>0.03</v>
      </c>
      <c r="I5" s="284"/>
      <c r="J5" s="269">
        <f>+D11*0.03</f>
        <v>1946.8026990000001</v>
      </c>
      <c r="K5" s="330"/>
      <c r="L5" s="331"/>
      <c r="M5" s="330"/>
      <c r="N5" s="331"/>
      <c r="O5" s="330"/>
      <c r="P5" s="333"/>
      <c r="Q5" s="285">
        <f>SUM(Q6:R11)</f>
        <v>5.49</v>
      </c>
      <c r="R5" s="286"/>
      <c r="S5" s="287">
        <f>SUM(S6:T16)</f>
        <v>2751.4232999999999</v>
      </c>
      <c r="T5" s="288"/>
      <c r="U5" s="123"/>
      <c r="V5" s="123"/>
    </row>
    <row r="6" spans="2:22" ht="18.95" customHeight="1">
      <c r="B6" s="252"/>
      <c r="C6" s="253"/>
      <c r="D6" s="254"/>
      <c r="G6" s="255"/>
      <c r="H6" s="289"/>
      <c r="I6" s="289"/>
      <c r="J6" s="270"/>
      <c r="K6" s="290" t="s">
        <v>10</v>
      </c>
      <c r="L6" s="290"/>
      <c r="M6" s="290">
        <v>4</v>
      </c>
      <c r="N6" s="290"/>
      <c r="O6" s="290">
        <v>5</v>
      </c>
      <c r="P6" s="290"/>
      <c r="Q6" s="283">
        <f t="shared" ref="Q6:Q11" si="0">+O6-M6</f>
        <v>1</v>
      </c>
      <c r="R6" s="283"/>
      <c r="S6" s="291">
        <f t="shared" ref="S6:S11" si="1">+Q6*$B$9</f>
        <v>501.17</v>
      </c>
      <c r="T6" s="292"/>
      <c r="U6" s="123"/>
      <c r="V6" s="123"/>
    </row>
    <row r="7" spans="2:22" ht="20.45" customHeight="1">
      <c r="B7" s="293" t="s">
        <v>11</v>
      </c>
      <c r="C7" s="290"/>
      <c r="D7" s="256">
        <v>2002</v>
      </c>
      <c r="G7" s="251" t="s">
        <v>12</v>
      </c>
      <c r="H7" s="284">
        <v>0.15</v>
      </c>
      <c r="I7" s="284"/>
      <c r="J7" s="269">
        <f>+D11*0.15</f>
        <v>9734.0134949999992</v>
      </c>
      <c r="K7" s="290" t="s">
        <v>13</v>
      </c>
      <c r="L7" s="290"/>
      <c r="M7" s="290">
        <v>4</v>
      </c>
      <c r="N7" s="290"/>
      <c r="O7" s="290">
        <v>4.5</v>
      </c>
      <c r="P7" s="290"/>
      <c r="Q7" s="290">
        <f t="shared" si="0"/>
        <v>0.5</v>
      </c>
      <c r="R7" s="290"/>
      <c r="S7" s="294">
        <f t="shared" si="1"/>
        <v>250.58500000000001</v>
      </c>
      <c r="T7" s="295"/>
      <c r="U7" s="123"/>
      <c r="V7" s="123"/>
    </row>
    <row r="8" spans="2:22" ht="20.45" customHeight="1">
      <c r="B8" s="296"/>
      <c r="C8" s="297"/>
      <c r="D8" s="298"/>
      <c r="G8" s="255"/>
      <c r="H8" s="289"/>
      <c r="I8" s="289"/>
      <c r="J8" s="270"/>
      <c r="K8" s="290" t="s">
        <v>14</v>
      </c>
      <c r="L8" s="290"/>
      <c r="M8" s="290">
        <v>4</v>
      </c>
      <c r="N8" s="290"/>
      <c r="O8" s="290">
        <v>4.45</v>
      </c>
      <c r="P8" s="290"/>
      <c r="Q8" s="290">
        <f t="shared" si="0"/>
        <v>0.45</v>
      </c>
      <c r="R8" s="290"/>
      <c r="S8" s="294">
        <f t="shared" si="1"/>
        <v>225.5265</v>
      </c>
      <c r="T8" s="295"/>
      <c r="U8" s="123"/>
      <c r="V8" s="123"/>
    </row>
    <row r="9" spans="2:22" ht="24.6" customHeight="1">
      <c r="B9" s="257">
        <v>501.17</v>
      </c>
      <c r="C9" s="258" t="s">
        <v>15</v>
      </c>
      <c r="D9" s="256">
        <f>+S5</f>
        <v>2751.4232999999999</v>
      </c>
      <c r="G9" s="251" t="s">
        <v>16</v>
      </c>
      <c r="H9" s="299">
        <v>1E-3</v>
      </c>
      <c r="I9" s="299"/>
      <c r="J9" s="269">
        <f>+D11*0.001</f>
        <v>64.893423299999995</v>
      </c>
      <c r="K9" s="290" t="s">
        <v>17</v>
      </c>
      <c r="L9" s="290"/>
      <c r="M9" s="290">
        <v>4</v>
      </c>
      <c r="N9" s="290"/>
      <c r="O9" s="290">
        <v>5.24</v>
      </c>
      <c r="P9" s="290"/>
      <c r="Q9" s="290">
        <f t="shared" si="0"/>
        <v>1.24</v>
      </c>
      <c r="R9" s="290"/>
      <c r="S9" s="294">
        <f t="shared" si="1"/>
        <v>621.45079999999996</v>
      </c>
      <c r="T9" s="295"/>
      <c r="U9" s="123"/>
      <c r="V9" s="123"/>
    </row>
    <row r="10" spans="2:22" ht="20.45" customHeight="1">
      <c r="B10" s="300"/>
      <c r="C10" s="297"/>
      <c r="D10" s="298"/>
      <c r="G10" s="255"/>
      <c r="H10" s="289"/>
      <c r="I10" s="289"/>
      <c r="J10" s="270"/>
      <c r="K10" s="301" t="s">
        <v>18</v>
      </c>
      <c r="L10" s="301"/>
      <c r="M10" s="301">
        <v>4</v>
      </c>
      <c r="N10" s="301"/>
      <c r="O10" s="301">
        <v>5.3</v>
      </c>
      <c r="P10" s="301"/>
      <c r="Q10" s="301">
        <f t="shared" si="0"/>
        <v>1.3</v>
      </c>
      <c r="R10" s="301"/>
      <c r="S10" s="302">
        <f t="shared" si="1"/>
        <v>651.52099999999996</v>
      </c>
      <c r="T10" s="303"/>
      <c r="U10" s="123"/>
      <c r="V10" s="123"/>
    </row>
    <row r="11" spans="2:22" ht="15.95" customHeight="1">
      <c r="B11" s="293" t="s">
        <v>19</v>
      </c>
      <c r="C11" s="290"/>
      <c r="D11" s="256">
        <f>+D5+D7+D9</f>
        <v>64893.423300000002</v>
      </c>
      <c r="G11" s="251" t="s">
        <v>20</v>
      </c>
      <c r="H11" s="284">
        <v>0.05</v>
      </c>
      <c r="I11" s="284"/>
      <c r="J11" s="269">
        <f>+D11*0.05</f>
        <v>3244.6711650000002</v>
      </c>
      <c r="K11" s="301" t="s">
        <v>21</v>
      </c>
      <c r="L11" s="301"/>
      <c r="M11" s="301">
        <v>4</v>
      </c>
      <c r="N11" s="301"/>
      <c r="O11" s="301">
        <v>5</v>
      </c>
      <c r="P11" s="301"/>
      <c r="Q11" s="301">
        <f t="shared" si="0"/>
        <v>1</v>
      </c>
      <c r="R11" s="301"/>
      <c r="S11" s="302">
        <f t="shared" si="1"/>
        <v>501.17</v>
      </c>
      <c r="T11" s="303"/>
      <c r="U11" s="123"/>
      <c r="V11" s="123"/>
    </row>
    <row r="12" spans="2:22" ht="20.45" customHeight="1">
      <c r="B12" s="304"/>
      <c r="C12" s="297"/>
      <c r="D12" s="298"/>
      <c r="G12" s="255"/>
      <c r="H12" s="305"/>
      <c r="I12" s="305"/>
      <c r="J12" s="270"/>
      <c r="K12" s="306"/>
      <c r="L12" s="306"/>
      <c r="M12" s="306"/>
      <c r="N12" s="306"/>
      <c r="O12" s="306"/>
      <c r="P12" s="306"/>
      <c r="Q12" s="306"/>
      <c r="R12" s="306"/>
      <c r="S12" s="307"/>
      <c r="T12" s="308"/>
      <c r="U12" s="123"/>
      <c r="V12" s="123"/>
    </row>
    <row r="13" spans="2:22" ht="23.45" customHeight="1">
      <c r="B13" s="293" t="s">
        <v>22</v>
      </c>
      <c r="C13" s="290"/>
      <c r="D13" s="256">
        <f>+D11-J16</f>
        <v>47684.0425177</v>
      </c>
      <c r="G13" s="251" t="s">
        <v>23</v>
      </c>
      <c r="H13" s="309"/>
      <c r="I13" s="309"/>
      <c r="J13" s="271">
        <v>2219</v>
      </c>
      <c r="K13" s="306"/>
      <c r="L13" s="306"/>
      <c r="M13" s="306"/>
      <c r="N13" s="306"/>
      <c r="O13" s="306"/>
      <c r="P13" s="306"/>
      <c r="Q13" s="306"/>
      <c r="R13" s="306"/>
      <c r="S13" s="307"/>
      <c r="T13" s="308"/>
      <c r="U13" s="123"/>
      <c r="V13" s="123"/>
    </row>
    <row r="14" spans="2:22">
      <c r="B14" s="304"/>
      <c r="C14" s="297"/>
      <c r="D14" s="298"/>
      <c r="G14" s="251"/>
      <c r="H14" s="289"/>
      <c r="I14" s="289"/>
      <c r="J14" s="259"/>
      <c r="K14" s="306"/>
      <c r="L14" s="306"/>
      <c r="M14" s="306"/>
      <c r="N14" s="306"/>
      <c r="O14" s="306"/>
      <c r="P14" s="306"/>
      <c r="Q14" s="306"/>
      <c r="R14" s="306"/>
      <c r="S14" s="307"/>
      <c r="T14" s="308"/>
      <c r="U14" s="123"/>
      <c r="V14" s="123"/>
    </row>
    <row r="15" spans="2:22" ht="18.95" customHeight="1">
      <c r="B15" s="293" t="s">
        <v>24</v>
      </c>
      <c r="C15" s="290"/>
      <c r="D15" s="260">
        <v>0</v>
      </c>
      <c r="G15" s="251"/>
      <c r="H15" s="309"/>
      <c r="I15" s="309"/>
      <c r="J15" s="259"/>
      <c r="K15" s="310"/>
      <c r="L15" s="310"/>
      <c r="M15" s="310"/>
      <c r="N15" s="310"/>
      <c r="O15" s="310"/>
      <c r="P15" s="310"/>
      <c r="Q15" s="310"/>
      <c r="R15" s="310"/>
      <c r="S15" s="311"/>
      <c r="T15" s="312"/>
      <c r="U15" s="123"/>
      <c r="V15" s="123"/>
    </row>
    <row r="16" spans="2:22" ht="30" customHeight="1">
      <c r="B16" s="313" t="s">
        <v>25</v>
      </c>
      <c r="C16" s="314"/>
      <c r="D16" s="261">
        <f>+D13+D15</f>
        <v>47684.0425177</v>
      </c>
      <c r="G16" s="315" t="s">
        <v>26</v>
      </c>
      <c r="H16" s="316"/>
      <c r="I16" s="316"/>
      <c r="J16" s="272">
        <f>SUM(J5:J15)</f>
        <v>17209.380782299999</v>
      </c>
      <c r="K16" s="317"/>
      <c r="L16" s="317"/>
      <c r="M16" s="317"/>
      <c r="N16" s="317"/>
      <c r="O16" s="317"/>
      <c r="P16" s="317"/>
      <c r="Q16" s="317"/>
      <c r="R16" s="317"/>
      <c r="S16" s="318"/>
      <c r="T16" s="319"/>
      <c r="U16" s="123"/>
      <c r="V16" s="123"/>
    </row>
    <row r="17" spans="1:21" ht="15.2">
      <c r="H17" s="262" t="s">
        <v>27</v>
      </c>
      <c r="I17" s="273"/>
      <c r="J17" s="273"/>
      <c r="K17" s="320" t="s">
        <v>28</v>
      </c>
      <c r="L17" s="320"/>
      <c r="M17" s="320">
        <v>4</v>
      </c>
      <c r="N17" s="320"/>
      <c r="O17" s="320">
        <v>5.3</v>
      </c>
      <c r="P17" s="320"/>
      <c r="Q17" s="320">
        <f>+O17-M17</f>
        <v>1.3</v>
      </c>
      <c r="R17" s="320"/>
      <c r="S17" s="321">
        <f>+Q17*$B$9</f>
        <v>651.52099999999996</v>
      </c>
      <c r="T17" s="322"/>
    </row>
    <row r="18" spans="1:21" ht="15.95">
      <c r="A18" s="306"/>
      <c r="B18" s="306"/>
      <c r="C18" s="306"/>
      <c r="D18" s="306"/>
      <c r="E18" s="306"/>
      <c r="F18" s="306"/>
      <c r="G18" s="306"/>
      <c r="H18" s="306"/>
      <c r="I18" s="307"/>
      <c r="J18" s="308"/>
      <c r="K18" s="323" t="s">
        <v>29</v>
      </c>
      <c r="L18" s="323"/>
      <c r="M18" s="323">
        <v>4</v>
      </c>
      <c r="N18" s="323"/>
      <c r="O18" s="323">
        <v>5</v>
      </c>
      <c r="P18" s="323"/>
      <c r="Q18" s="323">
        <f>+O18-M18</f>
        <v>1</v>
      </c>
      <c r="R18" s="323"/>
      <c r="S18" s="324">
        <f>+Q18*$B$9</f>
        <v>501.17</v>
      </c>
      <c r="T18" s="325"/>
    </row>
    <row r="20" spans="1:21" ht="15.2"/>
    <row r="21" spans="1:21" ht="20.65">
      <c r="B21" s="247" t="s">
        <v>30</v>
      </c>
      <c r="C21" s="276" t="s">
        <v>1</v>
      </c>
      <c r="D21" s="277"/>
      <c r="G21" s="248" t="str">
        <f>+B21</f>
        <v>ABRIL</v>
      </c>
      <c r="H21" s="249" t="s">
        <v>2</v>
      </c>
      <c r="I21" s="268"/>
      <c r="J21" s="268"/>
      <c r="K21" s="328" t="s">
        <v>3</v>
      </c>
      <c r="L21" s="329"/>
      <c r="M21" s="328" t="s">
        <v>4</v>
      </c>
      <c r="N21" s="329"/>
      <c r="O21" s="328" t="s">
        <v>5</v>
      </c>
      <c r="P21" s="332"/>
      <c r="Q21" s="278" t="s">
        <v>6</v>
      </c>
      <c r="R21" s="279"/>
      <c r="S21" s="280" t="s">
        <v>7</v>
      </c>
      <c r="T21" s="281"/>
    </row>
    <row r="22" spans="1:21" ht="15.2">
      <c r="B22" s="282" t="s">
        <v>31</v>
      </c>
      <c r="C22" s="283"/>
      <c r="D22" s="250">
        <f>18*2005</f>
        <v>36090</v>
      </c>
      <c r="G22" s="251" t="s">
        <v>9</v>
      </c>
      <c r="H22" s="284">
        <v>0.03</v>
      </c>
      <c r="I22" s="284"/>
      <c r="J22" s="269">
        <f>+D28*0.03</f>
        <v>2038.35</v>
      </c>
      <c r="K22" s="330"/>
      <c r="L22" s="331"/>
      <c r="M22" s="330"/>
      <c r="N22" s="331"/>
      <c r="O22" s="330"/>
      <c r="P22" s="333"/>
      <c r="Q22" s="285">
        <f>SUM(Q23:R28)</f>
        <v>2.2999999999999998</v>
      </c>
      <c r="R22" s="286"/>
      <c r="S22" s="287">
        <f>SUM(S23:T33)</f>
        <v>1152.691</v>
      </c>
      <c r="T22" s="288"/>
    </row>
    <row r="23" spans="1:21" ht="15.2">
      <c r="B23" s="252"/>
      <c r="C23" s="253"/>
      <c r="D23" s="254"/>
      <c r="G23" s="255"/>
      <c r="H23" s="289"/>
      <c r="I23" s="289"/>
      <c r="J23" s="270"/>
      <c r="K23" s="320" t="s">
        <v>28</v>
      </c>
      <c r="L23" s="320"/>
      <c r="M23" s="320">
        <v>4</v>
      </c>
      <c r="N23" s="320"/>
      <c r="O23" s="320">
        <v>5.3</v>
      </c>
      <c r="P23" s="320"/>
      <c r="Q23" s="320">
        <f>+O23-M23</f>
        <v>1.3</v>
      </c>
      <c r="R23" s="320"/>
      <c r="S23" s="321">
        <f>+Q23*$B$9</f>
        <v>651.52099999999996</v>
      </c>
      <c r="T23" s="322"/>
      <c r="U23" s="275" t="s">
        <v>32</v>
      </c>
    </row>
    <row r="24" spans="1:21" ht="15.95">
      <c r="B24" s="293" t="s">
        <v>11</v>
      </c>
      <c r="C24" s="290"/>
      <c r="D24" s="256">
        <v>2002</v>
      </c>
      <c r="G24" s="251" t="s">
        <v>12</v>
      </c>
      <c r="H24" s="284">
        <v>0.15</v>
      </c>
      <c r="I24" s="284"/>
      <c r="J24" s="269">
        <f>+D28*0.15</f>
        <v>10191.75</v>
      </c>
      <c r="K24" s="323" t="s">
        <v>29</v>
      </c>
      <c r="L24" s="323"/>
      <c r="M24" s="323">
        <v>4</v>
      </c>
      <c r="N24" s="323"/>
      <c r="O24" s="323">
        <v>5</v>
      </c>
      <c r="P24" s="323"/>
      <c r="Q24" s="323">
        <f>+O24-M24</f>
        <v>1</v>
      </c>
      <c r="R24" s="323"/>
      <c r="S24" s="324">
        <f>+Q24*$B$9</f>
        <v>501.17</v>
      </c>
      <c r="T24" s="325"/>
    </row>
    <row r="25" spans="1:21" ht="15.2">
      <c r="B25" s="296"/>
      <c r="C25" s="297"/>
      <c r="D25" s="298"/>
      <c r="G25" s="255"/>
      <c r="H25" s="289"/>
      <c r="I25" s="289"/>
      <c r="J25" s="270"/>
      <c r="K25" s="306"/>
      <c r="L25" s="306"/>
      <c r="M25" s="306"/>
      <c r="N25" s="306"/>
      <c r="O25" s="306"/>
      <c r="P25" s="306"/>
      <c r="Q25" s="306"/>
      <c r="R25" s="306"/>
      <c r="S25" s="307"/>
      <c r="T25" s="308"/>
    </row>
    <row r="26" spans="1:21" ht="15.2">
      <c r="B26" s="257">
        <v>501.17</v>
      </c>
      <c r="C26" s="258" t="s">
        <v>15</v>
      </c>
      <c r="D26" s="256">
        <v>2882</v>
      </c>
      <c r="G26" s="251" t="s">
        <v>16</v>
      </c>
      <c r="H26" s="299">
        <v>1E-3</v>
      </c>
      <c r="I26" s="299"/>
      <c r="J26" s="269">
        <f>+D28*0.001</f>
        <v>67.944999999999993</v>
      </c>
      <c r="K26" s="306"/>
      <c r="L26" s="306"/>
      <c r="M26" s="306"/>
      <c r="N26" s="306"/>
      <c r="O26" s="306"/>
      <c r="P26" s="306"/>
      <c r="Q26" s="306"/>
      <c r="R26" s="306"/>
      <c r="S26" s="307"/>
      <c r="T26" s="308"/>
    </row>
    <row r="27" spans="1:21">
      <c r="B27" s="263" t="s">
        <v>33</v>
      </c>
      <c r="C27" s="264" t="s">
        <v>34</v>
      </c>
      <c r="D27" s="265">
        <v>26.971</v>
      </c>
      <c r="G27" s="255"/>
      <c r="H27" s="289"/>
      <c r="I27" s="289"/>
      <c r="J27" s="270"/>
      <c r="K27" s="306"/>
      <c r="L27" s="306"/>
      <c r="M27" s="306"/>
      <c r="N27" s="306"/>
      <c r="O27" s="306"/>
      <c r="P27" s="306"/>
      <c r="Q27" s="306"/>
      <c r="R27" s="306"/>
      <c r="S27" s="307"/>
      <c r="T27" s="308"/>
    </row>
    <row r="28" spans="1:21">
      <c r="B28" s="293" t="s">
        <v>19</v>
      </c>
      <c r="C28" s="290"/>
      <c r="D28" s="256">
        <v>67945</v>
      </c>
      <c r="G28" s="251" t="s">
        <v>20</v>
      </c>
      <c r="H28" s="284">
        <v>0.05</v>
      </c>
      <c r="I28" s="284"/>
      <c r="J28" s="269">
        <f>+D28*0.05</f>
        <v>3397.25</v>
      </c>
      <c r="K28" s="306"/>
      <c r="L28" s="306"/>
      <c r="M28" s="306"/>
      <c r="N28" s="306"/>
      <c r="O28" s="306"/>
      <c r="P28" s="306"/>
      <c r="Q28" s="306"/>
      <c r="R28" s="306"/>
      <c r="S28" s="307"/>
      <c r="T28" s="308"/>
    </row>
    <row r="29" spans="1:21">
      <c r="B29" s="304"/>
      <c r="C29" s="297"/>
      <c r="D29" s="298"/>
      <c r="G29" s="255"/>
      <c r="H29" s="305"/>
      <c r="I29" s="305"/>
      <c r="J29" s="270"/>
      <c r="K29" s="306"/>
      <c r="L29" s="306"/>
      <c r="M29" s="306"/>
      <c r="N29" s="306"/>
      <c r="O29" s="306"/>
      <c r="P29" s="306"/>
      <c r="Q29" s="306"/>
      <c r="R29" s="306"/>
      <c r="S29" s="307"/>
      <c r="T29" s="308"/>
    </row>
    <row r="30" spans="1:21">
      <c r="B30" s="293" t="s">
        <v>22</v>
      </c>
      <c r="C30" s="290"/>
      <c r="D30" s="256">
        <v>38060</v>
      </c>
      <c r="G30" s="251" t="s">
        <v>35</v>
      </c>
      <c r="H30" s="309"/>
      <c r="I30" s="309"/>
      <c r="J30" s="271">
        <v>12787</v>
      </c>
      <c r="K30" s="306"/>
      <c r="L30" s="306"/>
      <c r="M30" s="306"/>
      <c r="N30" s="306"/>
      <c r="O30" s="306"/>
      <c r="P30" s="306"/>
      <c r="Q30" s="306"/>
      <c r="R30" s="306"/>
      <c r="S30" s="307"/>
      <c r="T30" s="308"/>
    </row>
    <row r="31" spans="1:21">
      <c r="B31" s="304"/>
      <c r="C31" s="297"/>
      <c r="D31" s="298"/>
      <c r="G31" s="266" t="s">
        <v>36</v>
      </c>
      <c r="H31" s="326" t="s">
        <v>37</v>
      </c>
      <c r="I31" s="326"/>
      <c r="J31" s="267">
        <v>856.99</v>
      </c>
      <c r="K31" s="306"/>
      <c r="L31" s="306"/>
      <c r="M31" s="306"/>
      <c r="N31" s="306"/>
      <c r="O31" s="306"/>
      <c r="P31" s="306"/>
      <c r="Q31" s="306"/>
      <c r="R31" s="306"/>
      <c r="S31" s="307"/>
      <c r="T31" s="308"/>
    </row>
    <row r="32" spans="1:21">
      <c r="B32" s="293"/>
      <c r="C32" s="290"/>
      <c r="D32" s="260"/>
      <c r="G32" s="266" t="s">
        <v>38</v>
      </c>
      <c r="H32" s="327" t="s">
        <v>39</v>
      </c>
      <c r="I32" s="327"/>
      <c r="J32" s="274">
        <v>546.13</v>
      </c>
      <c r="K32" s="310"/>
      <c r="L32" s="310"/>
      <c r="M32" s="310"/>
      <c r="N32" s="310"/>
      <c r="O32" s="310"/>
      <c r="P32" s="310"/>
      <c r="Q32" s="310"/>
      <c r="R32" s="310"/>
      <c r="S32" s="311"/>
      <c r="T32" s="312"/>
    </row>
    <row r="33" spans="2:20" ht="16.350000000000001">
      <c r="B33" s="313" t="s">
        <v>40</v>
      </c>
      <c r="C33" s="314"/>
      <c r="D33" s="261">
        <f>+D30+D32</f>
        <v>38060</v>
      </c>
      <c r="E33" s="218">
        <v>38060</v>
      </c>
      <c r="G33" s="315" t="s">
        <v>41</v>
      </c>
      <c r="H33" s="316"/>
      <c r="I33" s="316"/>
      <c r="J33" s="272">
        <f>SUM(J22:J32)</f>
        <v>29885.415000000001</v>
      </c>
      <c r="K33" s="317"/>
      <c r="L33" s="317"/>
      <c r="M33" s="317"/>
      <c r="N33" s="317"/>
      <c r="O33" s="317"/>
      <c r="P33" s="317"/>
      <c r="Q33" s="317"/>
      <c r="R33" s="317"/>
      <c r="S33" s="318"/>
      <c r="T33" s="319"/>
    </row>
    <row r="35" spans="2:20" ht="15.2"/>
    <row r="36" spans="2:20" ht="20.65">
      <c r="B36" s="247" t="s">
        <v>42</v>
      </c>
      <c r="C36" s="276" t="s">
        <v>43</v>
      </c>
      <c r="D36" s="277"/>
      <c r="G36" s="248" t="str">
        <f>+B36</f>
        <v>70% mas</v>
      </c>
      <c r="H36" s="249" t="s">
        <v>2</v>
      </c>
      <c r="I36" s="268"/>
      <c r="J36" s="268"/>
    </row>
    <row r="37" spans="2:20">
      <c r="B37" s="282"/>
      <c r="C37" s="283"/>
      <c r="D37" s="250"/>
      <c r="E37" s="218">
        <v>49543</v>
      </c>
      <c r="G37" s="251"/>
      <c r="H37" s="284"/>
      <c r="I37" s="284"/>
      <c r="J37" s="269"/>
    </row>
    <row r="38" spans="2:20">
      <c r="B38" s="252"/>
      <c r="C38" s="253"/>
      <c r="D38" s="254"/>
      <c r="G38" s="255"/>
      <c r="H38" s="289"/>
      <c r="I38" s="289"/>
      <c r="J38" s="270"/>
    </row>
    <row r="39" spans="2:20">
      <c r="B39" s="293" t="s">
        <v>44</v>
      </c>
      <c r="C39" s="290"/>
      <c r="D39" s="256">
        <v>29616</v>
      </c>
      <c r="G39" s="251"/>
      <c r="H39" s="284"/>
      <c r="I39" s="284"/>
      <c r="J39" s="269"/>
    </row>
    <row r="40" spans="2:20" ht="15.2">
      <c r="B40" s="296"/>
      <c r="C40" s="297"/>
      <c r="D40" s="298"/>
      <c r="G40" s="255"/>
      <c r="H40" s="289"/>
      <c r="I40" s="289"/>
      <c r="J40" s="270"/>
    </row>
    <row r="41" spans="2:20" ht="15.2">
      <c r="B41" s="257"/>
      <c r="C41" s="258" t="s">
        <v>45</v>
      </c>
      <c r="D41" s="256">
        <v>21029</v>
      </c>
      <c r="G41" s="251"/>
      <c r="H41" s="299"/>
      <c r="I41" s="299"/>
      <c r="J41" s="269"/>
    </row>
    <row r="42" spans="2:20">
      <c r="B42" s="300"/>
      <c r="C42" s="297"/>
      <c r="D42" s="298"/>
      <c r="G42" s="255"/>
      <c r="H42" s="289"/>
      <c r="I42" s="289"/>
      <c r="J42" s="270"/>
    </row>
    <row r="43" spans="2:20">
      <c r="B43" s="293" t="s">
        <v>19</v>
      </c>
      <c r="C43" s="290"/>
      <c r="D43" s="256">
        <f>+D37+D39+D41</f>
        <v>50645</v>
      </c>
      <c r="G43" s="251"/>
      <c r="H43" s="284"/>
      <c r="I43" s="284"/>
      <c r="J43" s="269"/>
    </row>
    <row r="44" spans="2:20">
      <c r="B44" s="304"/>
      <c r="C44" s="297"/>
      <c r="D44" s="298"/>
      <c r="G44" s="255"/>
      <c r="H44" s="305"/>
      <c r="I44" s="305"/>
      <c r="J44" s="270"/>
    </row>
    <row r="45" spans="2:20">
      <c r="B45" s="293" t="s">
        <v>22</v>
      </c>
      <c r="C45" s="290"/>
      <c r="D45" s="256">
        <f>+D43-J48</f>
        <v>49543</v>
      </c>
      <c r="G45" s="251" t="s">
        <v>23</v>
      </c>
      <c r="H45" s="309"/>
      <c r="I45" s="309"/>
      <c r="J45" s="271">
        <v>1102</v>
      </c>
    </row>
    <row r="46" spans="2:20">
      <c r="B46" s="304"/>
      <c r="C46" s="297"/>
      <c r="D46" s="298"/>
      <c r="G46" s="251"/>
      <c r="H46" s="289"/>
      <c r="I46" s="289"/>
      <c r="J46" s="259"/>
    </row>
    <row r="47" spans="2:20">
      <c r="B47" s="293"/>
      <c r="C47" s="290"/>
      <c r="D47" s="260"/>
      <c r="G47" s="251"/>
      <c r="H47" s="289"/>
      <c r="I47" s="289"/>
      <c r="J47" s="259"/>
    </row>
    <row r="48" spans="2:20" ht="16.350000000000001">
      <c r="B48" s="313" t="s">
        <v>46</v>
      </c>
      <c r="C48" s="314"/>
      <c r="D48" s="261">
        <f>+D45+D47</f>
        <v>49543</v>
      </c>
      <c r="G48" s="315" t="s">
        <v>41</v>
      </c>
      <c r="H48" s="316"/>
      <c r="I48" s="316"/>
      <c r="J48" s="272">
        <f>SUM(J37:J47)</f>
        <v>1102</v>
      </c>
    </row>
  </sheetData>
  <mergeCells count="207">
    <mergeCell ref="B47:C47"/>
    <mergeCell ref="H47:I47"/>
    <mergeCell ref="B48:C48"/>
    <mergeCell ref="G48:I48"/>
    <mergeCell ref="K4:L5"/>
    <mergeCell ref="M4:N5"/>
    <mergeCell ref="O4:P5"/>
    <mergeCell ref="K21:L22"/>
    <mergeCell ref="M21:N22"/>
    <mergeCell ref="O21:P22"/>
    <mergeCell ref="B42:D42"/>
    <mergeCell ref="H42:I42"/>
    <mergeCell ref="B43:C43"/>
    <mergeCell ref="H43:I43"/>
    <mergeCell ref="B44:D44"/>
    <mergeCell ref="H44:I44"/>
    <mergeCell ref="B45:C45"/>
    <mergeCell ref="H45:I45"/>
    <mergeCell ref="B46:D46"/>
    <mergeCell ref="H46:I46"/>
    <mergeCell ref="C36:D36"/>
    <mergeCell ref="B37:C37"/>
    <mergeCell ref="H37:I37"/>
    <mergeCell ref="H38:I38"/>
    <mergeCell ref="B39:C39"/>
    <mergeCell ref="H39:I39"/>
    <mergeCell ref="B40:D40"/>
    <mergeCell ref="H40:I40"/>
    <mergeCell ref="H41:I41"/>
    <mergeCell ref="B32:C32"/>
    <mergeCell ref="H32:I32"/>
    <mergeCell ref="K32:L32"/>
    <mergeCell ref="M32:N32"/>
    <mergeCell ref="O32:P32"/>
    <mergeCell ref="Q32:R32"/>
    <mergeCell ref="S32:T32"/>
    <mergeCell ref="B33:C33"/>
    <mergeCell ref="G33:I33"/>
    <mergeCell ref="K33:L33"/>
    <mergeCell ref="M33:N33"/>
    <mergeCell ref="O33:P33"/>
    <mergeCell ref="Q33:R33"/>
    <mergeCell ref="S33:T33"/>
    <mergeCell ref="B30:C30"/>
    <mergeCell ref="H30:I30"/>
    <mergeCell ref="K30:L30"/>
    <mergeCell ref="M30:N30"/>
    <mergeCell ref="O30:P30"/>
    <mergeCell ref="Q30:R30"/>
    <mergeCell ref="S30:T30"/>
    <mergeCell ref="B31:D31"/>
    <mergeCell ref="H31:I31"/>
    <mergeCell ref="K31:L31"/>
    <mergeCell ref="M31:N31"/>
    <mergeCell ref="O31:P31"/>
    <mergeCell ref="Q31:R31"/>
    <mergeCell ref="S31:T31"/>
    <mergeCell ref="B28:C28"/>
    <mergeCell ref="H28:I28"/>
    <mergeCell ref="K28:L28"/>
    <mergeCell ref="M28:N28"/>
    <mergeCell ref="O28:P28"/>
    <mergeCell ref="Q28:R28"/>
    <mergeCell ref="S28:T28"/>
    <mergeCell ref="B29:D29"/>
    <mergeCell ref="H29:I29"/>
    <mergeCell ref="K29:L29"/>
    <mergeCell ref="M29:N29"/>
    <mergeCell ref="O29:P29"/>
    <mergeCell ref="Q29:R29"/>
    <mergeCell ref="S29:T29"/>
    <mergeCell ref="H26:I26"/>
    <mergeCell ref="K26:L26"/>
    <mergeCell ref="M26:N26"/>
    <mergeCell ref="O26:P26"/>
    <mergeCell ref="Q26:R26"/>
    <mergeCell ref="S26:T26"/>
    <mergeCell ref="H27:I27"/>
    <mergeCell ref="K27:L27"/>
    <mergeCell ref="M27:N27"/>
    <mergeCell ref="O27:P27"/>
    <mergeCell ref="Q27:R27"/>
    <mergeCell ref="S27:T27"/>
    <mergeCell ref="B24:C24"/>
    <mergeCell ref="H24:I24"/>
    <mergeCell ref="K24:L24"/>
    <mergeCell ref="M24:N24"/>
    <mergeCell ref="O24:P24"/>
    <mergeCell ref="Q24:R24"/>
    <mergeCell ref="S24:T24"/>
    <mergeCell ref="B25:D25"/>
    <mergeCell ref="H25:I25"/>
    <mergeCell ref="K25:L25"/>
    <mergeCell ref="M25:N25"/>
    <mergeCell ref="O25:P25"/>
    <mergeCell ref="Q25:R25"/>
    <mergeCell ref="S25:T25"/>
    <mergeCell ref="C21:D21"/>
    <mergeCell ref="Q21:R21"/>
    <mergeCell ref="S21:T21"/>
    <mergeCell ref="B22:C22"/>
    <mergeCell ref="H22:I22"/>
    <mergeCell ref="Q22:R22"/>
    <mergeCell ref="S22:T22"/>
    <mergeCell ref="H23:I23"/>
    <mergeCell ref="K23:L23"/>
    <mergeCell ref="M23:N23"/>
    <mergeCell ref="O23:P23"/>
    <mergeCell ref="Q23:R23"/>
    <mergeCell ref="S23:T23"/>
    <mergeCell ref="K17:L17"/>
    <mergeCell ref="M17:N17"/>
    <mergeCell ref="O17:P17"/>
    <mergeCell ref="Q17:R17"/>
    <mergeCell ref="S17:T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B15:C15"/>
    <mergeCell ref="H15:I15"/>
    <mergeCell ref="K15:L15"/>
    <mergeCell ref="M15:N15"/>
    <mergeCell ref="O15:P15"/>
    <mergeCell ref="Q15:R15"/>
    <mergeCell ref="S15:T15"/>
    <mergeCell ref="B16:C16"/>
    <mergeCell ref="G16:I16"/>
    <mergeCell ref="K16:L16"/>
    <mergeCell ref="M16:N16"/>
    <mergeCell ref="O16:P16"/>
    <mergeCell ref="Q16:R16"/>
    <mergeCell ref="S16:T16"/>
    <mergeCell ref="B13:C13"/>
    <mergeCell ref="H13:I13"/>
    <mergeCell ref="K13:L13"/>
    <mergeCell ref="M13:N13"/>
    <mergeCell ref="O13:P13"/>
    <mergeCell ref="Q13:R13"/>
    <mergeCell ref="S13:T13"/>
    <mergeCell ref="B14:D14"/>
    <mergeCell ref="H14:I14"/>
    <mergeCell ref="K14:L14"/>
    <mergeCell ref="M14:N14"/>
    <mergeCell ref="O14:P14"/>
    <mergeCell ref="Q14:R14"/>
    <mergeCell ref="S14:T14"/>
    <mergeCell ref="B11:C11"/>
    <mergeCell ref="H11:I11"/>
    <mergeCell ref="K11:L11"/>
    <mergeCell ref="M11:N11"/>
    <mergeCell ref="O11:P11"/>
    <mergeCell ref="Q11:R11"/>
    <mergeCell ref="S11:T11"/>
    <mergeCell ref="B12:D12"/>
    <mergeCell ref="H12:I12"/>
    <mergeCell ref="K12:L12"/>
    <mergeCell ref="M12:N12"/>
    <mergeCell ref="O12:P12"/>
    <mergeCell ref="Q12:R12"/>
    <mergeCell ref="S12:T12"/>
    <mergeCell ref="H9:I9"/>
    <mergeCell ref="K9:L9"/>
    <mergeCell ref="M9:N9"/>
    <mergeCell ref="O9:P9"/>
    <mergeCell ref="Q9:R9"/>
    <mergeCell ref="S9:T9"/>
    <mergeCell ref="B10:D10"/>
    <mergeCell ref="H10:I10"/>
    <mergeCell ref="K10:L10"/>
    <mergeCell ref="M10:N10"/>
    <mergeCell ref="O10:P10"/>
    <mergeCell ref="Q10:R10"/>
    <mergeCell ref="S10:T10"/>
    <mergeCell ref="B7:C7"/>
    <mergeCell ref="H7:I7"/>
    <mergeCell ref="K7:L7"/>
    <mergeCell ref="M7:N7"/>
    <mergeCell ref="O7:P7"/>
    <mergeCell ref="Q7:R7"/>
    <mergeCell ref="S7:T7"/>
    <mergeCell ref="B8:D8"/>
    <mergeCell ref="H8:I8"/>
    <mergeCell ref="K8:L8"/>
    <mergeCell ref="M8:N8"/>
    <mergeCell ref="O8:P8"/>
    <mergeCell ref="Q8:R8"/>
    <mergeCell ref="S8:T8"/>
    <mergeCell ref="C4:D4"/>
    <mergeCell ref="Q4:R4"/>
    <mergeCell ref="S4:T4"/>
    <mergeCell ref="B5:C5"/>
    <mergeCell ref="H5:I5"/>
    <mergeCell ref="Q5:R5"/>
    <mergeCell ref="S5:T5"/>
    <mergeCell ref="H6:I6"/>
    <mergeCell ref="K6:L6"/>
    <mergeCell ref="M6:N6"/>
    <mergeCell ref="O6:P6"/>
    <mergeCell ref="Q6:R6"/>
    <mergeCell ref="S6:T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2"/>
  <sheetViews>
    <sheetView topLeftCell="A60" workbookViewId="0">
      <pane ySplit="1116" topLeftCell="A153" activePane="bottomLeft"/>
      <selection pane="bottomLeft" activeCell="C177" sqref="C177"/>
    </sheetView>
  </sheetViews>
  <sheetFormatPr defaultColWidth="8.875" defaultRowHeight="14.45"/>
  <cols>
    <col min="1" max="1" width="8.875" style="218"/>
    <col min="2" max="2" width="16.5" style="218" customWidth="1"/>
    <col min="3" max="3" width="15.125" style="218" customWidth="1"/>
    <col min="4" max="4" width="12.875" style="218"/>
    <col min="5" max="5" width="8.875" style="218"/>
    <col min="6" max="6" width="14.875" style="218" customWidth="1"/>
    <col min="7" max="7" width="15.875" style="218" customWidth="1"/>
    <col min="8" max="8" width="10.5" style="218" customWidth="1"/>
    <col min="9" max="16384" width="8.875" style="218"/>
  </cols>
  <sheetData>
    <row r="1" spans="1:13" ht="25.35">
      <c r="A1" s="123"/>
      <c r="B1" s="219" t="s">
        <v>47</v>
      </c>
      <c r="C1" s="123"/>
      <c r="D1" s="123"/>
      <c r="E1" s="123"/>
      <c r="F1" s="123"/>
      <c r="G1" s="219" t="s">
        <v>48</v>
      </c>
      <c r="H1" s="123"/>
      <c r="I1" s="225" t="s">
        <v>49</v>
      </c>
      <c r="J1" s="226"/>
      <c r="K1" s="226"/>
      <c r="L1" s="226"/>
      <c r="M1" s="227"/>
    </row>
    <row r="2" spans="1:13" ht="15.2">
      <c r="A2" s="123"/>
      <c r="B2" s="123"/>
      <c r="C2" s="123"/>
      <c r="D2" s="123"/>
      <c r="E2" s="123"/>
      <c r="F2" s="123"/>
      <c r="G2" s="123"/>
      <c r="H2" s="123"/>
      <c r="I2" s="228" t="s">
        <v>50</v>
      </c>
      <c r="J2" s="229"/>
      <c r="K2" s="229"/>
      <c r="L2" s="229"/>
      <c r="M2" s="230"/>
    </row>
    <row r="3" spans="1:13" ht="15.2">
      <c r="A3" s="123"/>
      <c r="B3" s="220" t="s">
        <v>3</v>
      </c>
      <c r="C3" s="221">
        <v>45079</v>
      </c>
      <c r="D3" s="123"/>
      <c r="E3" s="123"/>
      <c r="F3" s="123"/>
      <c r="G3" s="220" t="s">
        <v>3</v>
      </c>
      <c r="H3" s="222" t="s">
        <v>51</v>
      </c>
      <c r="I3" s="123"/>
      <c r="J3" s="123"/>
      <c r="K3" s="123"/>
      <c r="L3" s="123"/>
      <c r="M3" s="123"/>
    </row>
    <row r="4" spans="1:13" ht="15.2">
      <c r="A4" s="123"/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</row>
    <row r="5" spans="1:13" ht="15.2">
      <c r="A5" s="123"/>
      <c r="B5" s="220" t="s">
        <v>52</v>
      </c>
      <c r="C5" s="222" t="s">
        <v>53</v>
      </c>
      <c r="D5" s="123"/>
      <c r="E5" s="123"/>
      <c r="F5" s="123"/>
      <c r="G5" s="220" t="s">
        <v>52</v>
      </c>
      <c r="H5" s="222" t="s">
        <v>53</v>
      </c>
      <c r="I5" s="123"/>
      <c r="J5" s="123"/>
      <c r="K5" s="123"/>
      <c r="L5" s="123"/>
      <c r="M5" s="123"/>
    </row>
    <row r="6" spans="1:13" ht="15.2">
      <c r="A6" s="123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</row>
    <row r="7" spans="1:13" ht="15.2">
      <c r="A7" s="123"/>
      <c r="B7" s="220" t="s">
        <v>53</v>
      </c>
      <c r="C7" s="222">
        <v>74.12</v>
      </c>
      <c r="D7" s="123"/>
      <c r="E7" s="123"/>
      <c r="F7" s="123"/>
      <c r="G7" s="220" t="s">
        <v>53</v>
      </c>
      <c r="H7" s="222">
        <v>74.12</v>
      </c>
      <c r="I7" s="123"/>
      <c r="J7" s="123"/>
      <c r="K7" s="123"/>
      <c r="L7" s="123"/>
      <c r="M7" s="123"/>
    </row>
    <row r="8" spans="1:13" ht="15.2">
      <c r="A8" s="123"/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</row>
    <row r="9" spans="1:13" ht="15.2">
      <c r="A9" s="123"/>
      <c r="B9" s="220" t="s">
        <v>54</v>
      </c>
      <c r="C9" s="222">
        <v>39.69</v>
      </c>
      <c r="D9" s="123"/>
      <c r="E9" s="123"/>
      <c r="F9" s="123"/>
      <c r="G9" s="220" t="s">
        <v>54</v>
      </c>
      <c r="H9" s="222">
        <v>13.5</v>
      </c>
      <c r="I9" s="231" t="s">
        <v>55</v>
      </c>
      <c r="J9" s="231"/>
      <c r="K9" s="231"/>
      <c r="L9" s="231"/>
      <c r="M9" s="123"/>
    </row>
    <row r="10" spans="1:13" ht="15.2">
      <c r="A10" s="123"/>
      <c r="B10" s="123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</row>
    <row r="11" spans="1:13" ht="15.2">
      <c r="A11" s="123"/>
      <c r="B11" s="220" t="s">
        <v>56</v>
      </c>
      <c r="C11" s="222">
        <v>2941.82</v>
      </c>
      <c r="D11" s="123"/>
      <c r="E11" s="123"/>
      <c r="F11" s="123"/>
      <c r="G11" s="220" t="s">
        <v>56</v>
      </c>
      <c r="H11" s="222">
        <v>1000.62</v>
      </c>
      <c r="I11" s="123"/>
      <c r="J11" s="123"/>
      <c r="K11" s="123"/>
      <c r="L11" s="123"/>
      <c r="M11" s="123"/>
    </row>
    <row r="12" spans="1:13" ht="15.2">
      <c r="A12" s="123"/>
      <c r="B12" s="123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</row>
    <row r="13" spans="1:13" ht="15.2">
      <c r="A13" s="123"/>
      <c r="B13" s="220" t="s">
        <v>57</v>
      </c>
      <c r="C13" s="222"/>
      <c r="D13" s="123"/>
      <c r="E13" s="123"/>
      <c r="F13" s="123"/>
      <c r="G13" s="220" t="s">
        <v>57</v>
      </c>
      <c r="H13" s="222"/>
      <c r="I13" s="123"/>
      <c r="J13" s="123"/>
      <c r="K13" s="123"/>
      <c r="L13" s="123"/>
      <c r="M13" s="123"/>
    </row>
    <row r="14" spans="1:13" ht="15.2">
      <c r="A14" s="123"/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</row>
    <row r="15" spans="1:13" ht="15.2">
      <c r="A15" s="123"/>
      <c r="B15" s="220" t="s">
        <v>58</v>
      </c>
      <c r="C15" s="222">
        <v>171.15600000000001</v>
      </c>
      <c r="D15" s="123"/>
      <c r="E15" s="123"/>
      <c r="F15" s="123"/>
      <c r="G15" s="220" t="s">
        <v>58</v>
      </c>
      <c r="H15" s="222">
        <v>59.725999999999999</v>
      </c>
      <c r="I15" s="123"/>
      <c r="J15" s="123"/>
      <c r="K15" s="123"/>
      <c r="L15" s="123"/>
      <c r="M15" s="123"/>
    </row>
    <row r="16" spans="1:13" ht="15.2">
      <c r="A16" s="123"/>
      <c r="B16" s="123"/>
      <c r="C16" s="123"/>
      <c r="D16" s="123"/>
      <c r="E16" s="123"/>
      <c r="F16" s="123"/>
      <c r="G16" s="123"/>
      <c r="H16" s="123"/>
      <c r="I16" s="123"/>
      <c r="J16" s="123"/>
      <c r="K16" s="123"/>
      <c r="L16" s="123"/>
      <c r="M16" s="123"/>
    </row>
    <row r="17" spans="1:13" ht="15.2">
      <c r="A17" s="123"/>
      <c r="B17" s="220" t="s">
        <v>59</v>
      </c>
      <c r="C17" s="222">
        <v>171.15600000000001</v>
      </c>
      <c r="D17" s="123"/>
      <c r="E17" s="123"/>
      <c r="F17" s="123"/>
      <c r="G17" s="220" t="s">
        <v>59</v>
      </c>
      <c r="H17" s="222">
        <v>59.725999999999999</v>
      </c>
      <c r="I17" s="123"/>
      <c r="J17" s="123"/>
      <c r="K17" s="123"/>
      <c r="L17" s="123"/>
      <c r="M17" s="123"/>
    </row>
    <row r="18" spans="1:13" ht="15.2">
      <c r="A18" s="123"/>
      <c r="B18" s="123"/>
      <c r="C18" s="123"/>
      <c r="D18" s="123"/>
      <c r="E18" s="123"/>
      <c r="F18" s="123"/>
      <c r="G18" s="123"/>
      <c r="H18" s="123"/>
      <c r="I18" s="123"/>
      <c r="J18" s="123"/>
      <c r="K18" s="123"/>
      <c r="L18" s="123"/>
      <c r="M18" s="123"/>
    </row>
    <row r="19" spans="1:13" ht="15.2">
      <c r="A19" s="123"/>
      <c r="B19" s="220" t="s">
        <v>60</v>
      </c>
      <c r="C19" s="222">
        <v>4.3099999999999996</v>
      </c>
      <c r="D19" s="123"/>
      <c r="E19" s="123"/>
      <c r="F19" s="123"/>
      <c r="G19" s="220" t="s">
        <v>60</v>
      </c>
      <c r="H19" s="222">
        <v>4.42</v>
      </c>
      <c r="I19" s="123"/>
      <c r="J19" s="123"/>
      <c r="K19" s="123"/>
      <c r="L19" s="123"/>
      <c r="M19" s="123"/>
    </row>
    <row r="20" spans="1:13">
      <c r="A20" s="123"/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</row>
    <row r="21" spans="1:13">
      <c r="A21" s="123"/>
      <c r="B21" s="123"/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3"/>
    </row>
    <row r="22" spans="1:13" ht="15.2">
      <c r="A22" s="123"/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</row>
    <row r="23" spans="1:13" ht="15.2">
      <c r="A23" s="123"/>
      <c r="B23" s="334" t="s">
        <v>61</v>
      </c>
      <c r="C23" s="335"/>
      <c r="D23" s="335"/>
      <c r="E23" s="335"/>
      <c r="F23" s="335"/>
      <c r="G23" s="335"/>
      <c r="H23" s="336"/>
      <c r="I23" s="123"/>
      <c r="J23" s="123"/>
      <c r="K23" s="123"/>
      <c r="L23" s="123"/>
      <c r="M23" s="123"/>
    </row>
    <row r="24" spans="1:13" ht="25.35">
      <c r="A24" s="123"/>
      <c r="B24" s="223" t="s">
        <v>47</v>
      </c>
      <c r="C24" s="123"/>
      <c r="D24" s="123"/>
      <c r="E24" s="123"/>
      <c r="F24" s="123"/>
      <c r="G24" s="223" t="s">
        <v>48</v>
      </c>
      <c r="H24" s="123"/>
      <c r="I24" s="123"/>
      <c r="J24" s="123"/>
      <c r="K24" s="123"/>
      <c r="L24" s="123"/>
      <c r="M24" s="123"/>
    </row>
    <row r="25" spans="1:13" ht="15.95">
      <c r="A25" s="123"/>
      <c r="B25" s="123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</row>
    <row r="26" spans="1:13" ht="15.2">
      <c r="A26" s="123"/>
      <c r="B26" s="220" t="s">
        <v>3</v>
      </c>
      <c r="C26" s="221">
        <v>44960</v>
      </c>
      <c r="D26" s="123"/>
      <c r="E26" s="123"/>
      <c r="F26" s="123"/>
      <c r="G26" s="220" t="s">
        <v>3</v>
      </c>
      <c r="H26" s="221">
        <v>44960</v>
      </c>
      <c r="I26" s="123"/>
      <c r="J26" s="123"/>
      <c r="K26" s="123"/>
      <c r="L26" s="123"/>
      <c r="M26" s="123"/>
    </row>
    <row r="27" spans="1:13" ht="15.2">
      <c r="A27" s="123"/>
      <c r="B27" s="123"/>
      <c r="C27" s="123"/>
      <c r="D27" s="123"/>
      <c r="E27" s="123"/>
      <c r="F27" s="123"/>
      <c r="G27" s="123"/>
      <c r="H27" s="123"/>
      <c r="I27" s="123"/>
      <c r="J27" s="123"/>
      <c r="K27" s="123"/>
      <c r="L27" s="123"/>
      <c r="M27" s="123"/>
    </row>
    <row r="28" spans="1:13" ht="15.2">
      <c r="A28" s="123"/>
      <c r="B28" s="220" t="s">
        <v>52</v>
      </c>
      <c r="C28" s="222" t="s">
        <v>53</v>
      </c>
      <c r="D28" s="123"/>
      <c r="E28" s="123"/>
      <c r="F28" s="123"/>
      <c r="G28" s="220" t="s">
        <v>52</v>
      </c>
      <c r="H28" s="222" t="s">
        <v>53</v>
      </c>
      <c r="I28" s="123"/>
      <c r="J28" s="123"/>
      <c r="K28" s="123"/>
      <c r="L28" s="123"/>
      <c r="M28" s="123"/>
    </row>
    <row r="29" spans="1:13" ht="15.2">
      <c r="A29" s="123"/>
      <c r="B29" s="123"/>
      <c r="C29" s="123"/>
      <c r="D29" s="123"/>
      <c r="E29" s="123"/>
      <c r="F29" s="123"/>
      <c r="G29" s="123"/>
      <c r="H29" s="123"/>
      <c r="I29" s="123"/>
      <c r="J29" s="123"/>
      <c r="K29" s="123"/>
      <c r="L29" s="123"/>
      <c r="M29" s="123"/>
    </row>
    <row r="30" spans="1:13" ht="15.2">
      <c r="A30" s="123"/>
      <c r="B30" s="220" t="s">
        <v>53</v>
      </c>
      <c r="C30" s="222">
        <v>74.12</v>
      </c>
      <c r="D30" s="123"/>
      <c r="E30" s="123"/>
      <c r="F30" s="123"/>
      <c r="G30" s="220" t="s">
        <v>53</v>
      </c>
      <c r="H30" s="222">
        <v>74.12</v>
      </c>
      <c r="I30" s="123"/>
      <c r="J30" s="123"/>
      <c r="K30" s="123"/>
      <c r="L30" s="123"/>
      <c r="M30" s="123"/>
    </row>
    <row r="31" spans="1:13" ht="15.2">
      <c r="A31" s="123"/>
      <c r="B31" s="123"/>
      <c r="C31" s="123"/>
      <c r="D31" s="123"/>
      <c r="E31" s="123"/>
      <c r="F31" s="123"/>
      <c r="G31" s="123"/>
      <c r="H31" s="123"/>
      <c r="I31" s="123"/>
      <c r="J31" s="123"/>
      <c r="K31" s="123"/>
      <c r="L31" s="123"/>
      <c r="M31" s="123"/>
    </row>
    <row r="32" spans="1:13" ht="15.2">
      <c r="A32" s="123"/>
      <c r="B32" s="220" t="s">
        <v>54</v>
      </c>
      <c r="C32" s="222">
        <v>41.567</v>
      </c>
      <c r="D32" s="123"/>
      <c r="E32" s="123"/>
      <c r="F32" s="123"/>
      <c r="G32" s="220" t="s">
        <v>54</v>
      </c>
      <c r="H32" s="222">
        <v>32.11</v>
      </c>
      <c r="I32" s="123"/>
      <c r="J32" s="123"/>
      <c r="K32" s="123"/>
      <c r="L32" s="123"/>
      <c r="M32" s="123"/>
    </row>
    <row r="33" spans="1:13" ht="15.2">
      <c r="A33" s="123"/>
      <c r="B33" s="123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</row>
    <row r="34" spans="1:13" ht="15.2">
      <c r="A34" s="123"/>
      <c r="B34" s="220" t="s">
        <v>56</v>
      </c>
      <c r="C34" s="222">
        <v>3081</v>
      </c>
      <c r="D34" s="123"/>
      <c r="E34" s="123"/>
      <c r="F34" s="123"/>
      <c r="G34" s="220" t="s">
        <v>56</v>
      </c>
      <c r="H34" s="222">
        <v>2379.9899999999998</v>
      </c>
      <c r="I34" s="123"/>
      <c r="J34" s="123"/>
      <c r="K34" s="123"/>
      <c r="L34" s="123"/>
      <c r="M34" s="123"/>
    </row>
    <row r="35" spans="1:13" ht="15.2">
      <c r="A35" s="123"/>
      <c r="B35" s="123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</row>
    <row r="36" spans="1:13" ht="15.2">
      <c r="A36" s="123"/>
      <c r="B36" s="220" t="s">
        <v>57</v>
      </c>
      <c r="C36" s="222">
        <v>171.15600000000001</v>
      </c>
      <c r="D36" s="123"/>
      <c r="E36" s="123"/>
      <c r="F36" s="123"/>
      <c r="G36" s="220" t="s">
        <v>57</v>
      </c>
      <c r="H36" s="222">
        <v>59726</v>
      </c>
      <c r="I36" s="123"/>
      <c r="J36" s="123"/>
      <c r="K36" s="123"/>
      <c r="L36" s="123"/>
      <c r="M36" s="123"/>
    </row>
    <row r="37" spans="1:13" ht="15.2">
      <c r="A37" s="123"/>
      <c r="B37" s="123"/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</row>
    <row r="38" spans="1:13" ht="15.2">
      <c r="A38" s="123"/>
      <c r="B38" s="220" t="s">
        <v>58</v>
      </c>
      <c r="C38" s="222">
        <v>171.80799999999999</v>
      </c>
      <c r="D38" s="123"/>
      <c r="E38" s="123"/>
      <c r="F38" s="123"/>
      <c r="G38" s="220" t="s">
        <v>58</v>
      </c>
      <c r="H38" s="222">
        <v>59902</v>
      </c>
      <c r="I38" s="123" t="s">
        <v>62</v>
      </c>
      <c r="J38" s="123"/>
      <c r="K38" s="123"/>
      <c r="L38" s="123"/>
      <c r="M38" s="123"/>
    </row>
    <row r="39" spans="1:13" ht="15.2">
      <c r="A39" s="123"/>
      <c r="B39" s="123"/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123"/>
    </row>
    <row r="40" spans="1:13" ht="15.2">
      <c r="A40" s="123"/>
      <c r="B40" s="220" t="s">
        <v>59</v>
      </c>
      <c r="C40" s="222">
        <v>0.65200000000000002</v>
      </c>
      <c r="D40" s="123"/>
      <c r="E40" s="123"/>
      <c r="F40" s="123"/>
      <c r="G40" s="220" t="s">
        <v>59</v>
      </c>
      <c r="H40" s="222">
        <v>176</v>
      </c>
      <c r="I40" s="123"/>
      <c r="J40" s="123"/>
      <c r="K40" s="123"/>
      <c r="L40" s="123"/>
      <c r="M40" s="123"/>
    </row>
    <row r="41" spans="1:13" ht="15.2">
      <c r="A41" s="123"/>
      <c r="B41" s="123"/>
      <c r="C41" s="123"/>
      <c r="D41" s="123"/>
      <c r="E41" s="123"/>
      <c r="F41" s="123"/>
      <c r="G41" s="123"/>
      <c r="H41" s="123"/>
      <c r="I41" s="123"/>
      <c r="J41" s="123"/>
      <c r="K41" s="123"/>
      <c r="L41" s="123"/>
      <c r="M41" s="123"/>
    </row>
    <row r="42" spans="1:13" ht="15.2">
      <c r="A42" s="123"/>
      <c r="B42" s="220" t="s">
        <v>60</v>
      </c>
      <c r="C42" s="222">
        <v>15.62</v>
      </c>
      <c r="D42" s="123"/>
      <c r="E42" s="123"/>
      <c r="F42" s="123"/>
      <c r="G42" s="220" t="s">
        <v>60</v>
      </c>
      <c r="H42" s="222">
        <v>5.48</v>
      </c>
      <c r="I42" s="123" t="s">
        <v>63</v>
      </c>
      <c r="J42" s="123"/>
      <c r="K42" s="123"/>
      <c r="L42" s="123"/>
      <c r="M42" s="123"/>
    </row>
    <row r="43" spans="1:13">
      <c r="A43" s="123"/>
      <c r="B43" s="123"/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3"/>
    </row>
    <row r="44" spans="1:13">
      <c r="A44" s="123"/>
      <c r="B44" s="123"/>
      <c r="C44" s="123"/>
      <c r="D44" s="123"/>
      <c r="E44" s="123"/>
      <c r="F44" s="123"/>
      <c r="G44" s="123"/>
      <c r="H44" s="123"/>
      <c r="I44" s="123"/>
      <c r="J44" s="123"/>
      <c r="K44" s="123"/>
      <c r="L44" s="123"/>
      <c r="M44" s="123"/>
    </row>
    <row r="45" spans="1:13" ht="15.2">
      <c r="A45" s="123"/>
      <c r="B45" s="123"/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</row>
    <row r="46" spans="1:13" ht="26.1">
      <c r="A46" s="123"/>
      <c r="B46" s="224" t="s">
        <v>47</v>
      </c>
      <c r="C46" s="123"/>
      <c r="D46" s="123"/>
      <c r="E46" s="123"/>
      <c r="F46" s="123"/>
      <c r="I46" s="123"/>
      <c r="J46" s="123"/>
      <c r="K46" s="123"/>
      <c r="L46" s="123"/>
      <c r="M46" s="123"/>
    </row>
    <row r="47" spans="1:13" ht="15.95">
      <c r="A47" s="123"/>
      <c r="B47" s="123"/>
      <c r="C47" s="123"/>
      <c r="D47" s="123"/>
      <c r="E47" s="123"/>
      <c r="F47" s="123"/>
      <c r="I47" s="123"/>
      <c r="J47" s="123"/>
      <c r="K47" s="123"/>
      <c r="L47" s="123"/>
      <c r="M47" s="123"/>
    </row>
    <row r="48" spans="1:13" ht="15.2">
      <c r="A48" s="123"/>
      <c r="B48" s="220" t="s">
        <v>3</v>
      </c>
      <c r="C48" s="222" t="s">
        <v>64</v>
      </c>
      <c r="D48" s="123"/>
      <c r="E48" s="123"/>
      <c r="F48" s="123"/>
      <c r="I48" s="123"/>
      <c r="J48" s="123"/>
      <c r="K48" s="123"/>
      <c r="L48" s="123"/>
      <c r="M48" s="123"/>
    </row>
    <row r="49" spans="1:13" ht="15.2">
      <c r="A49" s="123"/>
      <c r="B49" s="123"/>
      <c r="C49" s="123"/>
      <c r="D49" s="123"/>
      <c r="E49" s="123"/>
      <c r="F49" s="123"/>
      <c r="I49" s="123"/>
      <c r="J49" s="123"/>
      <c r="K49" s="123"/>
      <c r="L49" s="123"/>
      <c r="M49" s="123"/>
    </row>
    <row r="50" spans="1:13" ht="15.2">
      <c r="A50" s="123"/>
      <c r="B50" s="220" t="s">
        <v>52</v>
      </c>
      <c r="C50" s="222" t="s">
        <v>53</v>
      </c>
      <c r="D50" s="123"/>
      <c r="E50" s="123"/>
      <c r="F50" s="123"/>
      <c r="I50" s="123"/>
      <c r="J50" s="123"/>
      <c r="K50" s="123"/>
      <c r="L50" s="123"/>
      <c r="M50" s="123"/>
    </row>
    <row r="51" spans="1:13" ht="15.2">
      <c r="A51" s="123"/>
      <c r="B51" s="123"/>
      <c r="C51" s="123"/>
      <c r="D51" s="123"/>
      <c r="E51" s="123"/>
      <c r="F51" s="123"/>
      <c r="I51" s="123"/>
      <c r="J51" s="123"/>
      <c r="K51" s="123"/>
      <c r="L51" s="123"/>
      <c r="M51" s="123"/>
    </row>
    <row r="52" spans="1:13" ht="15.2">
      <c r="A52" s="123"/>
      <c r="B52" s="220" t="s">
        <v>53</v>
      </c>
      <c r="C52" s="222">
        <v>74.12</v>
      </c>
      <c r="D52" s="123"/>
      <c r="E52" s="123"/>
      <c r="F52" s="123"/>
      <c r="I52" s="123"/>
      <c r="J52" s="123"/>
      <c r="K52" s="123"/>
      <c r="L52" s="123"/>
      <c r="M52" s="123"/>
    </row>
    <row r="53" spans="1:13" ht="15.2">
      <c r="A53" s="123"/>
      <c r="B53" s="123"/>
      <c r="C53" s="123"/>
      <c r="D53" s="123"/>
      <c r="E53" s="123"/>
      <c r="F53" s="123"/>
      <c r="I53" s="123"/>
      <c r="J53" s="123"/>
      <c r="K53" s="123"/>
      <c r="L53" s="123"/>
      <c r="M53" s="123"/>
    </row>
    <row r="54" spans="1:13" ht="15.2">
      <c r="A54" s="123"/>
      <c r="B54" s="220" t="s">
        <v>54</v>
      </c>
      <c r="C54" s="222">
        <v>20.239999999999998</v>
      </c>
      <c r="D54" s="123" t="s">
        <v>65</v>
      </c>
      <c r="E54" s="123"/>
      <c r="F54" s="123"/>
      <c r="I54" s="123"/>
      <c r="J54" s="123"/>
      <c r="K54" s="123"/>
      <c r="L54" s="123"/>
      <c r="M54" s="123"/>
    </row>
    <row r="55" spans="1:13" ht="15.2">
      <c r="A55" s="123"/>
      <c r="B55" s="123"/>
      <c r="C55" s="123"/>
      <c r="D55" s="123"/>
      <c r="E55" s="123"/>
      <c r="F55" s="123"/>
      <c r="I55" s="123"/>
      <c r="J55" s="123"/>
      <c r="K55" s="123"/>
      <c r="L55" s="123"/>
      <c r="M55" s="123"/>
    </row>
    <row r="56" spans="1:13" ht="15.2">
      <c r="A56" s="123"/>
      <c r="B56" s="220" t="s">
        <v>56</v>
      </c>
      <c r="C56" s="222">
        <v>1500.19</v>
      </c>
      <c r="D56" s="123"/>
      <c r="E56" s="123"/>
      <c r="F56" s="123"/>
      <c r="I56" s="123"/>
      <c r="J56" s="123"/>
      <c r="K56" s="123"/>
      <c r="L56" s="123"/>
      <c r="M56" s="123"/>
    </row>
    <row r="57" spans="1:13" ht="15.2">
      <c r="A57" s="123"/>
      <c r="B57" s="123"/>
      <c r="C57" s="123"/>
      <c r="D57" s="123"/>
      <c r="E57" s="123"/>
      <c r="F57" s="123"/>
      <c r="I57" s="123"/>
      <c r="J57" s="123"/>
      <c r="K57" s="123"/>
      <c r="L57" s="123"/>
      <c r="M57" s="123"/>
    </row>
    <row r="58" spans="1:13" ht="15.2">
      <c r="A58" s="123"/>
      <c r="B58" s="220" t="s">
        <v>57</v>
      </c>
      <c r="C58" s="222">
        <v>171.80799999999999</v>
      </c>
      <c r="D58" s="123"/>
      <c r="E58" s="123"/>
      <c r="F58" s="123"/>
      <c r="I58" s="123"/>
      <c r="J58" s="123"/>
      <c r="K58" s="123"/>
      <c r="L58" s="123"/>
      <c r="M58" s="123"/>
    </row>
    <row r="59" spans="1:13" ht="15.2">
      <c r="A59" s="123"/>
      <c r="B59" s="123"/>
      <c r="C59" s="123"/>
      <c r="D59" s="123"/>
      <c r="E59" s="123"/>
      <c r="F59" s="123"/>
      <c r="I59" s="123"/>
      <c r="J59" s="123"/>
      <c r="K59" s="123"/>
      <c r="L59" s="123"/>
      <c r="M59" s="123"/>
    </row>
    <row r="60" spans="1:13" ht="15.2">
      <c r="A60" s="123"/>
      <c r="B60" s="220" t="s">
        <v>58</v>
      </c>
      <c r="C60" s="222">
        <v>172.42500000000001</v>
      </c>
      <c r="D60" s="123"/>
      <c r="E60" s="123"/>
      <c r="F60" s="123"/>
      <c r="I60" s="123"/>
      <c r="J60" s="123"/>
      <c r="K60" s="123"/>
      <c r="L60" s="123"/>
      <c r="M60" s="123"/>
    </row>
    <row r="61" spans="1:13" ht="15.2">
      <c r="A61" s="123"/>
      <c r="B61" s="123"/>
      <c r="C61" s="123"/>
      <c r="D61" s="123"/>
      <c r="E61" s="123"/>
      <c r="F61" s="123"/>
      <c r="I61" s="123"/>
      <c r="J61" s="123"/>
      <c r="K61" s="123"/>
      <c r="L61" s="123"/>
      <c r="M61" s="123"/>
    </row>
    <row r="62" spans="1:13" ht="15.2">
      <c r="A62" s="123"/>
      <c r="B62" s="220" t="s">
        <v>59</v>
      </c>
      <c r="C62" s="222">
        <v>0.61699999999999999</v>
      </c>
      <c r="D62" s="123"/>
      <c r="E62" s="123"/>
      <c r="F62" s="123"/>
      <c r="I62" s="123"/>
      <c r="J62" s="123"/>
      <c r="K62" s="123"/>
      <c r="L62" s="123"/>
      <c r="M62" s="123"/>
    </row>
    <row r="63" spans="1:13" ht="15.2">
      <c r="A63" s="123"/>
      <c r="B63" s="123"/>
      <c r="C63" s="123"/>
      <c r="D63" s="123"/>
      <c r="E63" s="123"/>
      <c r="F63" s="123"/>
      <c r="I63" s="123"/>
      <c r="J63" s="123"/>
      <c r="K63" s="123"/>
      <c r="L63" s="123"/>
      <c r="M63" s="123"/>
    </row>
    <row r="64" spans="1:13" ht="15.2">
      <c r="A64" s="123"/>
      <c r="B64" s="220" t="s">
        <v>60</v>
      </c>
      <c r="C64" s="222" t="s">
        <v>66</v>
      </c>
      <c r="D64" s="123"/>
      <c r="E64" s="123"/>
      <c r="F64" s="123"/>
      <c r="I64" s="123"/>
      <c r="J64" s="123"/>
      <c r="K64" s="123"/>
      <c r="L64" s="123"/>
      <c r="M64" s="123"/>
    </row>
    <row r="65" spans="1:13">
      <c r="A65" s="123"/>
      <c r="B65" s="123"/>
      <c r="C65" s="123"/>
      <c r="D65" s="123"/>
      <c r="E65" s="123"/>
      <c r="F65" s="123"/>
      <c r="G65" s="123"/>
      <c r="H65" s="123"/>
      <c r="I65" s="123"/>
      <c r="J65" s="123"/>
      <c r="K65" s="123"/>
      <c r="L65" s="123"/>
      <c r="M65" s="123"/>
    </row>
    <row r="66" spans="1:13" ht="15.2"/>
    <row r="67" spans="1:13" ht="15.2">
      <c r="B67" s="337" t="s">
        <v>67</v>
      </c>
      <c r="C67" s="338"/>
      <c r="D67" s="338"/>
      <c r="E67" s="338"/>
      <c r="F67" s="338"/>
      <c r="G67" s="338"/>
      <c r="H67" s="339"/>
    </row>
    <row r="68" spans="1:13" ht="25.35">
      <c r="B68" s="340" t="s">
        <v>47</v>
      </c>
      <c r="C68" s="341"/>
      <c r="D68" s="344"/>
      <c r="E68" s="344"/>
      <c r="F68" s="344"/>
      <c r="G68" s="340" t="s">
        <v>48</v>
      </c>
      <c r="H68" s="341"/>
    </row>
    <row r="69" spans="1:13" ht="15.2">
      <c r="B69" s="74"/>
      <c r="C69" s="232"/>
      <c r="D69" s="344"/>
      <c r="E69" s="344"/>
      <c r="F69" s="344"/>
      <c r="G69" s="74"/>
      <c r="H69" s="232"/>
    </row>
    <row r="70" spans="1:13" ht="15.2">
      <c r="B70" s="233" t="s">
        <v>3</v>
      </c>
      <c r="C70" s="234" t="s">
        <v>68</v>
      </c>
      <c r="D70" s="344"/>
      <c r="E70" s="344"/>
      <c r="F70" s="344"/>
      <c r="G70" s="233" t="s">
        <v>3</v>
      </c>
      <c r="H70" s="234" t="s">
        <v>69</v>
      </c>
    </row>
    <row r="71" spans="1:13">
      <c r="B71" s="233"/>
      <c r="C71" s="235"/>
      <c r="D71" s="344"/>
      <c r="E71" s="344"/>
      <c r="F71" s="344"/>
      <c r="G71" s="233"/>
      <c r="H71" s="235"/>
    </row>
    <row r="72" spans="1:13">
      <c r="B72" s="233" t="s">
        <v>52</v>
      </c>
      <c r="C72" s="233" t="s">
        <v>53</v>
      </c>
      <c r="D72" s="344"/>
      <c r="E72" s="344"/>
      <c r="F72" s="344"/>
      <c r="G72" s="233" t="s">
        <v>52</v>
      </c>
      <c r="H72" s="233" t="s">
        <v>53</v>
      </c>
    </row>
    <row r="73" spans="1:13">
      <c r="B73" s="233"/>
      <c r="C73" s="233"/>
      <c r="D73" s="344"/>
      <c r="E73" s="344"/>
      <c r="F73" s="344"/>
      <c r="G73" s="233"/>
      <c r="H73" s="233"/>
    </row>
    <row r="74" spans="1:13">
      <c r="B74" s="233" t="s">
        <v>53</v>
      </c>
      <c r="C74" s="233">
        <v>74.12</v>
      </c>
      <c r="D74" s="344"/>
      <c r="E74" s="344"/>
      <c r="F74" s="344"/>
      <c r="G74" s="233" t="s">
        <v>53</v>
      </c>
      <c r="H74" s="233">
        <v>74.12</v>
      </c>
    </row>
    <row r="75" spans="1:13">
      <c r="B75" s="233"/>
      <c r="C75" s="233"/>
      <c r="D75" s="344"/>
      <c r="E75" s="344"/>
      <c r="F75" s="344"/>
      <c r="G75" s="233"/>
      <c r="H75" s="233"/>
    </row>
    <row r="76" spans="1:13">
      <c r="B76" s="233" t="s">
        <v>54</v>
      </c>
      <c r="C76" s="236">
        <v>13.4916</v>
      </c>
      <c r="D76" s="344"/>
      <c r="E76" s="344"/>
      <c r="F76" s="344"/>
      <c r="G76" s="233" t="s">
        <v>54</v>
      </c>
      <c r="H76" s="236">
        <v>30.515000000000001</v>
      </c>
    </row>
    <row r="77" spans="1:13">
      <c r="B77" s="233"/>
      <c r="C77" s="233"/>
      <c r="D77" s="344"/>
      <c r="E77" s="344"/>
      <c r="F77" s="344"/>
      <c r="G77" s="233"/>
      <c r="H77" s="233"/>
    </row>
    <row r="78" spans="1:13">
      <c r="B78" s="233" t="s">
        <v>56</v>
      </c>
      <c r="C78" s="237">
        <f>+C74*C76</f>
        <v>999.99739199999999</v>
      </c>
      <c r="D78" s="344"/>
      <c r="E78" s="344"/>
      <c r="F78" s="344"/>
      <c r="G78" s="233" t="s">
        <v>56</v>
      </c>
      <c r="H78" s="237">
        <f>+H74*H76</f>
        <v>2261.7718</v>
      </c>
    </row>
    <row r="79" spans="1:13">
      <c r="B79" s="233"/>
      <c r="C79" s="233"/>
      <c r="D79" s="344"/>
      <c r="E79" s="344"/>
      <c r="F79" s="344"/>
      <c r="G79" s="233"/>
      <c r="H79" s="233"/>
    </row>
    <row r="80" spans="1:13">
      <c r="B80" s="233" t="s">
        <v>57</v>
      </c>
      <c r="C80" s="233">
        <v>172.42500000000001</v>
      </c>
      <c r="D80" s="344"/>
      <c r="E80" s="344"/>
      <c r="F80" s="344"/>
      <c r="G80" s="233" t="s">
        <v>57</v>
      </c>
      <c r="H80" s="233">
        <v>59902</v>
      </c>
    </row>
    <row r="81" spans="2:8">
      <c r="B81" s="233"/>
      <c r="C81" s="233"/>
      <c r="D81" s="345"/>
      <c r="E81" s="345"/>
      <c r="F81" s="345"/>
      <c r="G81" s="233"/>
      <c r="H81" s="233"/>
    </row>
    <row r="82" spans="2:8">
      <c r="B82" s="233" t="s">
        <v>58</v>
      </c>
      <c r="C82" s="236">
        <v>172.79599999999999</v>
      </c>
      <c r="D82" s="238" t="s">
        <v>65</v>
      </c>
      <c r="E82" s="239"/>
      <c r="F82" s="240"/>
      <c r="G82" s="233" t="s">
        <v>58</v>
      </c>
      <c r="H82" s="236">
        <v>60336</v>
      </c>
    </row>
    <row r="83" spans="2:8">
      <c r="B83" s="233"/>
      <c r="C83" s="233"/>
      <c r="D83" s="346"/>
      <c r="E83" s="346"/>
      <c r="F83" s="346"/>
      <c r="G83" s="233"/>
      <c r="H83" s="233"/>
    </row>
    <row r="84" spans="2:8">
      <c r="B84" s="233" t="s">
        <v>59</v>
      </c>
      <c r="C84" s="233">
        <f>+C82-C80</f>
        <v>0.37099999999998101</v>
      </c>
      <c r="D84" s="344"/>
      <c r="E84" s="344"/>
      <c r="F84" s="344"/>
      <c r="G84" s="233" t="s">
        <v>59</v>
      </c>
      <c r="H84" s="233">
        <f>+H82-H80</f>
        <v>434</v>
      </c>
    </row>
    <row r="85" spans="2:8">
      <c r="B85" s="233"/>
      <c r="C85" s="233"/>
      <c r="D85" s="344"/>
      <c r="E85" s="344"/>
      <c r="F85" s="344"/>
      <c r="G85" s="233"/>
      <c r="H85" s="233"/>
    </row>
    <row r="86" spans="2:8" ht="15.2">
      <c r="B86" s="241" t="s">
        <v>60</v>
      </c>
      <c r="C86" s="242">
        <f>+C84/C76</f>
        <v>2.74985917163258E-2</v>
      </c>
      <c r="D86" s="345"/>
      <c r="E86" s="345"/>
      <c r="F86" s="345"/>
      <c r="G86" s="241" t="s">
        <v>60</v>
      </c>
      <c r="H86" s="243">
        <f>+H84/H76</f>
        <v>14.222513517942</v>
      </c>
    </row>
    <row r="87" spans="2:8" ht="15.2"/>
    <row r="88" spans="2:8" ht="15.2">
      <c r="B88" s="337" t="s">
        <v>67</v>
      </c>
      <c r="C88" s="338"/>
      <c r="D88" s="338"/>
      <c r="E88" s="338"/>
      <c r="F88" s="338"/>
      <c r="G88" s="338"/>
      <c r="H88" s="339"/>
    </row>
    <row r="89" spans="2:8" ht="25.35">
      <c r="B89" s="340" t="s">
        <v>47</v>
      </c>
      <c r="C89" s="341"/>
      <c r="D89" s="344"/>
      <c r="E89" s="344"/>
      <c r="F89" s="344"/>
      <c r="G89" s="340" t="s">
        <v>48</v>
      </c>
      <c r="H89" s="341"/>
    </row>
    <row r="90" spans="2:8" ht="15.2">
      <c r="B90" s="74"/>
      <c r="C90" s="232"/>
      <c r="D90" s="344"/>
      <c r="E90" s="344"/>
      <c r="F90" s="344"/>
      <c r="G90" s="74"/>
      <c r="H90" s="232"/>
    </row>
    <row r="91" spans="2:8" ht="15.2">
      <c r="B91" s="233" t="s">
        <v>3</v>
      </c>
      <c r="C91" s="234" t="s">
        <v>70</v>
      </c>
      <c r="D91" s="344"/>
      <c r="E91" s="344"/>
      <c r="F91" s="344"/>
      <c r="G91" s="233" t="s">
        <v>3</v>
      </c>
      <c r="H91" s="234" t="s">
        <v>71</v>
      </c>
    </row>
    <row r="92" spans="2:8">
      <c r="B92" s="233"/>
      <c r="C92" s="235"/>
      <c r="D92" s="344"/>
      <c r="E92" s="344"/>
      <c r="F92" s="344"/>
      <c r="G92" s="233"/>
      <c r="H92" s="235"/>
    </row>
    <row r="93" spans="2:8">
      <c r="B93" s="233" t="s">
        <v>52</v>
      </c>
      <c r="C93" s="233" t="s">
        <v>53</v>
      </c>
      <c r="D93" s="344"/>
      <c r="E93" s="344"/>
      <c r="F93" s="344"/>
      <c r="G93" s="233" t="s">
        <v>52</v>
      </c>
      <c r="H93" s="233" t="s">
        <v>53</v>
      </c>
    </row>
    <row r="94" spans="2:8">
      <c r="B94" s="233"/>
      <c r="C94" s="233"/>
      <c r="D94" s="344"/>
      <c r="E94" s="344"/>
      <c r="F94" s="344"/>
      <c r="G94" s="233"/>
      <c r="H94" s="233"/>
    </row>
    <row r="95" spans="2:8">
      <c r="B95" s="233" t="s">
        <v>53</v>
      </c>
      <c r="C95" s="233">
        <v>74.12</v>
      </c>
      <c r="D95" s="344"/>
      <c r="E95" s="344"/>
      <c r="F95" s="344"/>
      <c r="G95" s="233" t="s">
        <v>53</v>
      </c>
      <c r="H95" s="233">
        <v>74.12</v>
      </c>
    </row>
    <row r="96" spans="2:8">
      <c r="B96" s="233"/>
      <c r="C96" s="233"/>
      <c r="D96" s="344"/>
      <c r="E96" s="344"/>
      <c r="F96" s="344"/>
      <c r="G96" s="233"/>
      <c r="H96" s="233"/>
    </row>
    <row r="97" spans="2:8">
      <c r="B97" s="233" t="s">
        <v>54</v>
      </c>
      <c r="C97" s="236">
        <v>41.77</v>
      </c>
      <c r="D97" s="344"/>
      <c r="E97" s="344"/>
      <c r="F97" s="344"/>
      <c r="G97" s="233" t="s">
        <v>54</v>
      </c>
      <c r="H97" s="236">
        <v>30.55</v>
      </c>
    </row>
    <row r="98" spans="2:8">
      <c r="B98" s="233"/>
      <c r="C98" s="233"/>
      <c r="D98" s="344"/>
      <c r="E98" s="344"/>
      <c r="F98" s="344"/>
      <c r="G98" s="233"/>
      <c r="H98" s="233"/>
    </row>
    <row r="99" spans="2:8">
      <c r="B99" s="233" t="s">
        <v>56</v>
      </c>
      <c r="C99" s="237">
        <f>+C95*C97</f>
        <v>3095.9924000000001</v>
      </c>
      <c r="D99" s="344"/>
      <c r="E99" s="344"/>
      <c r="F99" s="344"/>
      <c r="G99" s="233" t="s">
        <v>56</v>
      </c>
      <c r="H99" s="237">
        <f>+H95*H97</f>
        <v>2264.366</v>
      </c>
    </row>
    <row r="100" spans="2:8">
      <c r="B100" s="233"/>
      <c r="C100" s="233"/>
      <c r="D100" s="344"/>
      <c r="E100" s="344"/>
      <c r="F100" s="344"/>
      <c r="G100" s="233"/>
      <c r="H100" s="233"/>
    </row>
    <row r="101" spans="2:8">
      <c r="B101" s="233" t="s">
        <v>57</v>
      </c>
      <c r="C101" s="233">
        <v>172796</v>
      </c>
      <c r="D101" s="344"/>
      <c r="E101" s="344"/>
      <c r="F101" s="344"/>
      <c r="G101" s="233" t="s">
        <v>57</v>
      </c>
      <c r="H101" s="233">
        <v>60336</v>
      </c>
    </row>
    <row r="102" spans="2:8">
      <c r="B102" s="233"/>
      <c r="C102" s="233"/>
      <c r="D102" s="345"/>
      <c r="E102" s="345"/>
      <c r="F102" s="345"/>
      <c r="G102" s="233"/>
      <c r="H102" s="233"/>
    </row>
    <row r="103" spans="2:8">
      <c r="B103" s="233" t="s">
        <v>58</v>
      </c>
      <c r="C103" s="236">
        <v>172936</v>
      </c>
      <c r="D103" s="244"/>
      <c r="E103" s="245"/>
      <c r="F103" s="240"/>
      <c r="G103" s="233" t="s">
        <v>58</v>
      </c>
      <c r="H103" s="236">
        <v>60741</v>
      </c>
    </row>
    <row r="104" spans="2:8">
      <c r="B104" s="233"/>
      <c r="C104" s="233"/>
      <c r="D104" s="346"/>
      <c r="E104" s="346"/>
      <c r="F104" s="346"/>
      <c r="G104" s="233"/>
      <c r="H104" s="233"/>
    </row>
    <row r="105" spans="2:8">
      <c r="B105" s="233" t="s">
        <v>59</v>
      </c>
      <c r="C105" s="233">
        <f>+C103-C101</f>
        <v>140</v>
      </c>
      <c r="D105" s="344"/>
      <c r="E105" s="344"/>
      <c r="F105" s="344"/>
      <c r="G105" s="233" t="s">
        <v>59</v>
      </c>
      <c r="H105" s="233">
        <f>+H103-H101</f>
        <v>405</v>
      </c>
    </row>
    <row r="106" spans="2:8">
      <c r="B106" s="233"/>
      <c r="C106" s="246"/>
      <c r="D106" s="344"/>
      <c r="E106" s="344"/>
      <c r="F106" s="344"/>
      <c r="G106" s="233"/>
      <c r="H106" s="233"/>
    </row>
    <row r="107" spans="2:8" ht="15.2">
      <c r="B107" s="241" t="s">
        <v>60</v>
      </c>
      <c r="C107" s="243">
        <f>+C105/C97</f>
        <v>3.35168781422073</v>
      </c>
      <c r="D107" s="345"/>
      <c r="E107" s="345"/>
      <c r="F107" s="345"/>
      <c r="G107" s="241" t="s">
        <v>60</v>
      </c>
      <c r="H107" s="243">
        <f>+H105/H97</f>
        <v>13.2569558101473</v>
      </c>
    </row>
    <row r="108" spans="2:8" ht="15.2"/>
    <row r="109" spans="2:8" ht="15.2">
      <c r="B109" s="337" t="s">
        <v>67</v>
      </c>
      <c r="C109" s="338"/>
      <c r="D109" s="338"/>
      <c r="E109" s="338"/>
      <c r="F109" s="338"/>
      <c r="G109" s="338"/>
      <c r="H109" s="339"/>
    </row>
    <row r="110" spans="2:8" ht="25.35">
      <c r="B110" s="340" t="s">
        <v>47</v>
      </c>
      <c r="C110" s="341"/>
      <c r="D110" s="344"/>
      <c r="E110" s="344"/>
      <c r="F110" s="344"/>
      <c r="G110" s="340" t="s">
        <v>48</v>
      </c>
      <c r="H110" s="341"/>
    </row>
    <row r="111" spans="2:8" ht="15.2">
      <c r="B111" s="74"/>
      <c r="C111" s="232"/>
      <c r="D111" s="344"/>
      <c r="E111" s="344"/>
      <c r="F111" s="344"/>
      <c r="G111" s="74"/>
      <c r="H111" s="232"/>
    </row>
    <row r="112" spans="2:8" ht="15.2">
      <c r="B112" s="233" t="s">
        <v>3</v>
      </c>
      <c r="C112" s="234" t="s">
        <v>72</v>
      </c>
      <c r="D112" s="344"/>
      <c r="E112" s="344"/>
      <c r="F112" s="344"/>
      <c r="G112" s="233" t="s">
        <v>3</v>
      </c>
      <c r="H112" s="234" t="s">
        <v>71</v>
      </c>
    </row>
    <row r="113" spans="2:9">
      <c r="B113" s="233"/>
      <c r="C113" s="235"/>
      <c r="D113" s="344"/>
      <c r="E113" s="344"/>
      <c r="F113" s="344"/>
      <c r="G113" s="233"/>
      <c r="H113" s="235"/>
    </row>
    <row r="114" spans="2:9">
      <c r="B114" s="233" t="s">
        <v>52</v>
      </c>
      <c r="C114" s="233" t="s">
        <v>53</v>
      </c>
      <c r="D114" s="344"/>
      <c r="E114" s="344"/>
      <c r="F114" s="344"/>
      <c r="G114" s="233" t="s">
        <v>52</v>
      </c>
      <c r="H114" s="233" t="s">
        <v>53</v>
      </c>
    </row>
    <row r="115" spans="2:9">
      <c r="B115" s="233"/>
      <c r="C115" s="233"/>
      <c r="D115" s="344"/>
      <c r="E115" s="344"/>
      <c r="F115" s="344"/>
      <c r="G115" s="233"/>
      <c r="H115" s="233"/>
    </row>
    <row r="116" spans="2:9">
      <c r="B116" s="233" t="s">
        <v>53</v>
      </c>
      <c r="C116" s="233">
        <v>74.12</v>
      </c>
      <c r="D116" s="344"/>
      <c r="E116" s="344"/>
      <c r="F116" s="344"/>
      <c r="G116" s="233" t="s">
        <v>53</v>
      </c>
      <c r="H116" s="233">
        <v>74.12</v>
      </c>
    </row>
    <row r="117" spans="2:9">
      <c r="B117" s="233"/>
      <c r="C117" s="233"/>
      <c r="D117" s="344"/>
      <c r="E117" s="344"/>
      <c r="F117" s="344"/>
      <c r="G117" s="233"/>
      <c r="H117" s="233"/>
    </row>
    <row r="118" spans="2:9">
      <c r="B118" s="233" t="s">
        <v>54</v>
      </c>
      <c r="C118" s="236">
        <v>12.055</v>
      </c>
      <c r="D118" s="344"/>
      <c r="E118" s="344"/>
      <c r="F118" s="344"/>
      <c r="G118" s="233" t="s">
        <v>54</v>
      </c>
      <c r="H118" s="236">
        <v>30.55</v>
      </c>
    </row>
    <row r="119" spans="2:9">
      <c r="B119" s="233"/>
      <c r="C119" s="233"/>
      <c r="D119" s="344"/>
      <c r="E119" s="344"/>
      <c r="F119" s="344"/>
      <c r="G119" s="233"/>
      <c r="H119" s="233"/>
    </row>
    <row r="120" spans="2:9">
      <c r="B120" s="233" t="s">
        <v>56</v>
      </c>
      <c r="C120" s="237">
        <f>+C116*C118</f>
        <v>893.51660000000004</v>
      </c>
      <c r="D120" s="344"/>
      <c r="E120" s="344"/>
      <c r="F120" s="344"/>
      <c r="G120" s="233" t="s">
        <v>56</v>
      </c>
      <c r="H120" s="237">
        <f>+H116*H118</f>
        <v>2264.366</v>
      </c>
    </row>
    <row r="121" spans="2:9">
      <c r="B121" s="233"/>
      <c r="C121" s="233"/>
      <c r="D121" s="344"/>
      <c r="E121" s="344"/>
      <c r="F121" s="344"/>
      <c r="G121" s="233"/>
      <c r="H121" s="233"/>
    </row>
    <row r="122" spans="2:9">
      <c r="B122" s="233" t="s">
        <v>57</v>
      </c>
      <c r="C122" s="233">
        <v>172936</v>
      </c>
      <c r="D122" s="344"/>
      <c r="E122" s="344"/>
      <c r="F122" s="344"/>
      <c r="G122" s="233" t="s">
        <v>57</v>
      </c>
      <c r="H122" s="233">
        <v>60336</v>
      </c>
    </row>
    <row r="123" spans="2:9">
      <c r="B123" s="233"/>
      <c r="C123" s="233"/>
      <c r="D123" s="345"/>
      <c r="E123" s="345"/>
      <c r="F123" s="345"/>
      <c r="G123" s="233"/>
      <c r="H123" s="233"/>
    </row>
    <row r="124" spans="2:9">
      <c r="B124" s="233" t="s">
        <v>58</v>
      </c>
      <c r="C124" s="236">
        <v>173169</v>
      </c>
      <c r="D124" s="244"/>
      <c r="E124" s="245"/>
      <c r="F124" s="240"/>
      <c r="G124" s="233" t="s">
        <v>58</v>
      </c>
      <c r="H124" s="236">
        <v>60741</v>
      </c>
      <c r="I124" s="218" t="s">
        <v>73</v>
      </c>
    </row>
    <row r="125" spans="2:9">
      <c r="B125" s="233"/>
      <c r="C125" s="233"/>
      <c r="D125" s="346"/>
      <c r="E125" s="346"/>
      <c r="F125" s="346"/>
      <c r="G125" s="233"/>
      <c r="H125" s="233"/>
      <c r="I125" s="218" t="s">
        <v>74</v>
      </c>
    </row>
    <row r="126" spans="2:9">
      <c r="B126" s="233" t="s">
        <v>59</v>
      </c>
      <c r="C126" s="233">
        <f>+C124-C122</f>
        <v>233</v>
      </c>
      <c r="D126" s="344"/>
      <c r="E126" s="344"/>
      <c r="F126" s="344"/>
      <c r="G126" s="233" t="s">
        <v>59</v>
      </c>
      <c r="H126" s="233">
        <f>+H124-H122</f>
        <v>405</v>
      </c>
    </row>
    <row r="127" spans="2:9">
      <c r="B127" s="233"/>
      <c r="C127" s="246"/>
      <c r="D127" s="344"/>
      <c r="E127" s="344"/>
      <c r="F127" s="344"/>
      <c r="G127" s="233"/>
      <c r="H127" s="233"/>
    </row>
    <row r="128" spans="2:9" ht="15.2">
      <c r="B128" s="241" t="s">
        <v>60</v>
      </c>
      <c r="C128" s="243">
        <f>+C126/C118</f>
        <v>19.328079635006201</v>
      </c>
      <c r="D128" s="345"/>
      <c r="E128" s="345"/>
      <c r="F128" s="345"/>
      <c r="G128" s="241" t="s">
        <v>60</v>
      </c>
      <c r="H128" s="243">
        <f>+H126/H118</f>
        <v>13.2569558101473</v>
      </c>
    </row>
    <row r="130" spans="2:4">
      <c r="C130" s="218" t="s">
        <v>75</v>
      </c>
    </row>
    <row r="131" spans="2:4">
      <c r="C131" s="218" t="s">
        <v>76</v>
      </c>
    </row>
    <row r="132" spans="2:4">
      <c r="B132" s="218" t="s">
        <v>77</v>
      </c>
      <c r="C132" s="218">
        <f>44*5</f>
        <v>220</v>
      </c>
    </row>
    <row r="133" spans="2:4" ht="15.2"/>
    <row r="134" spans="2:4" ht="25.35">
      <c r="B134" s="342" t="s">
        <v>47</v>
      </c>
      <c r="C134" s="343"/>
    </row>
    <row r="135" spans="2:4" ht="15.2">
      <c r="B135" s="74"/>
      <c r="C135" s="232"/>
    </row>
    <row r="136" spans="2:4" ht="15.2">
      <c r="B136" s="233" t="s">
        <v>3</v>
      </c>
      <c r="C136" s="234" t="s">
        <v>78</v>
      </c>
      <c r="D136" s="218" t="s">
        <v>79</v>
      </c>
    </row>
    <row r="137" spans="2:4">
      <c r="B137" s="233"/>
      <c r="C137" s="235"/>
      <c r="D137" s="218" t="s">
        <v>80</v>
      </c>
    </row>
    <row r="138" spans="2:4">
      <c r="B138" s="233" t="s">
        <v>52</v>
      </c>
      <c r="C138" s="233" t="s">
        <v>53</v>
      </c>
    </row>
    <row r="139" spans="2:4">
      <c r="B139" s="233"/>
      <c r="C139" s="233"/>
    </row>
    <row r="140" spans="2:4">
      <c r="B140" s="233" t="s">
        <v>53</v>
      </c>
      <c r="C140" s="233">
        <v>74.12</v>
      </c>
    </row>
    <row r="141" spans="2:4">
      <c r="B141" s="233"/>
      <c r="C141" s="233"/>
    </row>
    <row r="142" spans="2:4">
      <c r="B142" s="233" t="s">
        <v>54</v>
      </c>
      <c r="C142" s="236">
        <v>13.502000000000001</v>
      </c>
    </row>
    <row r="143" spans="2:4">
      <c r="B143" s="233"/>
      <c r="C143" s="233"/>
    </row>
    <row r="144" spans="2:4">
      <c r="B144" s="233" t="s">
        <v>56</v>
      </c>
      <c r="C144" s="237">
        <f>+C140*C142</f>
        <v>1000.76824</v>
      </c>
    </row>
    <row r="145" spans="2:3">
      <c r="B145" s="233"/>
      <c r="C145" s="233"/>
    </row>
    <row r="146" spans="2:3">
      <c r="B146" s="233" t="s">
        <v>57</v>
      </c>
      <c r="C146" s="233">
        <v>173169</v>
      </c>
    </row>
    <row r="147" spans="2:3">
      <c r="B147" s="233"/>
      <c r="C147" s="233"/>
    </row>
    <row r="148" spans="2:3">
      <c r="B148" s="233" t="s">
        <v>58</v>
      </c>
      <c r="C148" s="236">
        <v>173362</v>
      </c>
    </row>
    <row r="149" spans="2:3">
      <c r="B149" s="233"/>
      <c r="C149" s="233"/>
    </row>
    <row r="150" spans="2:3">
      <c r="B150" s="233" t="s">
        <v>59</v>
      </c>
      <c r="C150" s="233">
        <f>+C148-C146</f>
        <v>193</v>
      </c>
    </row>
    <row r="151" spans="2:3">
      <c r="B151" s="233"/>
      <c r="C151" s="246"/>
    </row>
    <row r="152" spans="2:3" ht="15.2">
      <c r="B152" s="241" t="s">
        <v>60</v>
      </c>
      <c r="C152" s="243">
        <f>+C150/C142</f>
        <v>14.294178640201499</v>
      </c>
    </row>
    <row r="153" spans="2:3" ht="15.2"/>
    <row r="154" spans="2:3" ht="25.35">
      <c r="B154" s="342" t="s">
        <v>47</v>
      </c>
      <c r="C154" s="343"/>
    </row>
    <row r="155" spans="2:3" ht="15.2">
      <c r="B155" s="74"/>
      <c r="C155" s="232"/>
    </row>
    <row r="156" spans="2:3" ht="15.2">
      <c r="B156" s="233" t="s">
        <v>3</v>
      </c>
      <c r="C156" s="234" t="s">
        <v>81</v>
      </c>
    </row>
    <row r="157" spans="2:3">
      <c r="B157" s="233"/>
      <c r="C157" s="235"/>
    </row>
    <row r="158" spans="2:3">
      <c r="B158" s="233" t="s">
        <v>52</v>
      </c>
      <c r="C158" s="233" t="s">
        <v>53</v>
      </c>
    </row>
    <row r="159" spans="2:3">
      <c r="B159" s="233"/>
      <c r="C159" s="233"/>
    </row>
    <row r="160" spans="2:3">
      <c r="B160" s="233" t="s">
        <v>53</v>
      </c>
      <c r="C160" s="233">
        <v>74.12</v>
      </c>
    </row>
    <row r="161" spans="2:3">
      <c r="B161" s="233"/>
      <c r="C161" s="233"/>
    </row>
    <row r="162" spans="2:3">
      <c r="B162" s="233" t="s">
        <v>54</v>
      </c>
      <c r="C162" s="236">
        <v>33.32</v>
      </c>
    </row>
    <row r="163" spans="2:3">
      <c r="B163" s="233"/>
      <c r="C163" s="233"/>
    </row>
    <row r="164" spans="2:3">
      <c r="B164" s="233" t="s">
        <v>56</v>
      </c>
      <c r="C164" s="237">
        <f>+C160*C162</f>
        <v>2469.6783999999998</v>
      </c>
    </row>
    <row r="165" spans="2:3">
      <c r="B165" s="233"/>
      <c r="C165" s="233"/>
    </row>
    <row r="166" spans="2:3">
      <c r="B166" s="233" t="s">
        <v>57</v>
      </c>
      <c r="C166" s="233">
        <v>173362</v>
      </c>
    </row>
    <row r="167" spans="2:3">
      <c r="B167" s="233"/>
      <c r="C167" s="233"/>
    </row>
    <row r="168" spans="2:3">
      <c r="B168" s="233" t="s">
        <v>58</v>
      </c>
      <c r="C168" s="236">
        <v>173898</v>
      </c>
    </row>
    <row r="169" spans="2:3">
      <c r="B169" s="233"/>
      <c r="C169" s="233"/>
    </row>
    <row r="170" spans="2:3">
      <c r="B170" s="233" t="s">
        <v>59</v>
      </c>
      <c r="C170" s="233">
        <f>+C168-C166</f>
        <v>536</v>
      </c>
    </row>
    <row r="171" spans="2:3">
      <c r="B171" s="233"/>
      <c r="C171" s="246"/>
    </row>
    <row r="172" spans="2:3" ht="15.2">
      <c r="B172" s="241" t="s">
        <v>60</v>
      </c>
      <c r="C172" s="243">
        <f>+C170/C162</f>
        <v>16.0864345738295</v>
      </c>
    </row>
  </sheetData>
  <mergeCells count="18">
    <mergeCell ref="B134:C134"/>
    <mergeCell ref="B154:C154"/>
    <mergeCell ref="D68:F81"/>
    <mergeCell ref="D83:F86"/>
    <mergeCell ref="D125:F128"/>
    <mergeCell ref="D89:F102"/>
    <mergeCell ref="D104:F107"/>
    <mergeCell ref="D110:F123"/>
    <mergeCell ref="B89:C89"/>
    <mergeCell ref="G89:H89"/>
    <mergeCell ref="B109:H109"/>
    <mergeCell ref="B110:C110"/>
    <mergeCell ref="G110:H110"/>
    <mergeCell ref="B23:H23"/>
    <mergeCell ref="B67:H67"/>
    <mergeCell ref="B68:C68"/>
    <mergeCell ref="G68:H68"/>
    <mergeCell ref="B88:H8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52"/>
  <sheetViews>
    <sheetView workbookViewId="0">
      <selection sqref="A1:F3"/>
    </sheetView>
  </sheetViews>
  <sheetFormatPr defaultColWidth="8.875" defaultRowHeight="14.45"/>
  <cols>
    <col min="1" max="1" width="7.25" style="122" customWidth="1"/>
    <col min="2" max="2" width="12.75" style="122" customWidth="1"/>
    <col min="3" max="3" width="58" customWidth="1"/>
    <col min="4" max="4" width="6.875" style="122" customWidth="1"/>
    <col min="5" max="5" width="18" style="102" customWidth="1"/>
    <col min="6" max="6" width="60.75" customWidth="1"/>
    <col min="7" max="7" width="8.875" style="87"/>
    <col min="8" max="8" width="11.125" style="87" customWidth="1"/>
    <col min="9" max="23" width="8.875" style="87"/>
  </cols>
  <sheetData>
    <row r="1" spans="1:24" s="87" customFormat="1" ht="28.9">
      <c r="A1" s="347" t="s">
        <v>82</v>
      </c>
      <c r="B1" s="348"/>
      <c r="C1" s="348"/>
      <c r="D1" s="348"/>
      <c r="E1" s="348"/>
      <c r="F1" s="348"/>
      <c r="G1" s="187"/>
      <c r="H1" s="187"/>
      <c r="I1" s="187"/>
      <c r="J1" s="187"/>
      <c r="K1" s="187"/>
      <c r="L1" s="187"/>
      <c r="M1" s="187"/>
      <c r="N1" s="187"/>
      <c r="O1" s="187"/>
      <c r="P1" s="187"/>
      <c r="X1" s="101"/>
    </row>
    <row r="2" spans="1:24" s="187" customFormat="1" ht="28.9">
      <c r="A2" s="349"/>
      <c r="B2" s="350"/>
      <c r="C2" s="350"/>
      <c r="D2" s="350"/>
      <c r="E2" s="350"/>
      <c r="F2" s="350"/>
      <c r="X2" s="217"/>
    </row>
    <row r="3" spans="1:24" s="187" customFormat="1" ht="29.65">
      <c r="A3" s="349"/>
      <c r="B3" s="350"/>
      <c r="C3" s="350"/>
      <c r="D3" s="350"/>
      <c r="E3" s="350"/>
      <c r="F3" s="350"/>
      <c r="X3" s="217"/>
    </row>
    <row r="4" spans="1:24" ht="18.95" customHeight="1">
      <c r="A4" s="53" t="s">
        <v>83</v>
      </c>
      <c r="B4" s="51" t="s">
        <v>84</v>
      </c>
      <c r="C4" s="52" t="s">
        <v>85</v>
      </c>
      <c r="D4" s="53" t="s">
        <v>86</v>
      </c>
      <c r="E4" s="54">
        <f>SUM(E5:E8)</f>
        <v>4132</v>
      </c>
      <c r="F4" s="55" t="s">
        <v>87</v>
      </c>
      <c r="G4" s="101"/>
    </row>
    <row r="5" spans="1:24">
      <c r="A5" s="103" t="s">
        <v>88</v>
      </c>
      <c r="B5" s="189" t="s">
        <v>89</v>
      </c>
      <c r="C5" s="57" t="s">
        <v>90</v>
      </c>
      <c r="D5" s="58" t="s">
        <v>91</v>
      </c>
      <c r="E5" s="190">
        <v>2274</v>
      </c>
      <c r="F5" s="65" t="s">
        <v>92</v>
      </c>
      <c r="G5" s="101"/>
      <c r="H5" s="191"/>
    </row>
    <row r="6" spans="1:24">
      <c r="A6" s="107" t="s">
        <v>93</v>
      </c>
      <c r="B6" s="65" t="s">
        <v>89</v>
      </c>
      <c r="C6" s="62" t="s">
        <v>94</v>
      </c>
      <c r="D6" s="63" t="s">
        <v>95</v>
      </c>
      <c r="E6" s="192">
        <v>1858</v>
      </c>
      <c r="F6" s="65" t="s">
        <v>92</v>
      </c>
      <c r="G6" s="101"/>
      <c r="H6" s="191"/>
    </row>
    <row r="7" spans="1:24">
      <c r="A7" s="107"/>
      <c r="B7" s="61"/>
      <c r="C7" s="62"/>
      <c r="D7" s="63"/>
      <c r="E7" s="64"/>
      <c r="F7" s="65"/>
      <c r="G7" s="101"/>
      <c r="H7" s="191"/>
    </row>
    <row r="8" spans="1:24" ht="15.2">
      <c r="A8" s="107"/>
      <c r="B8" s="61"/>
      <c r="C8" s="62"/>
      <c r="D8" s="63"/>
      <c r="E8" s="64"/>
      <c r="F8" s="65"/>
      <c r="G8" s="101"/>
      <c r="H8" s="191"/>
    </row>
    <row r="9" spans="1:24" ht="21.95" customHeight="1">
      <c r="A9" s="109" t="s">
        <v>54</v>
      </c>
      <c r="B9" s="51" t="s">
        <v>84</v>
      </c>
      <c r="C9" s="52" t="s">
        <v>96</v>
      </c>
      <c r="D9" s="53" t="s">
        <v>86</v>
      </c>
      <c r="E9" s="54">
        <f>SUM(E10:E16)</f>
        <v>3469.8</v>
      </c>
      <c r="F9" s="55" t="s">
        <v>87</v>
      </c>
      <c r="G9" s="101"/>
      <c r="H9" s="191"/>
    </row>
    <row r="10" spans="1:24" ht="15.95" customHeight="1">
      <c r="A10" s="110"/>
      <c r="B10" s="110"/>
      <c r="C10" s="65" t="s">
        <v>97</v>
      </c>
      <c r="D10" s="63"/>
      <c r="E10" s="64"/>
      <c r="F10" s="65"/>
      <c r="G10" s="101"/>
      <c r="H10" s="191"/>
    </row>
    <row r="11" spans="1:24" ht="18" customHeight="1">
      <c r="A11" s="107"/>
      <c r="B11" s="110" t="s">
        <v>98</v>
      </c>
      <c r="C11" s="62" t="s">
        <v>99</v>
      </c>
      <c r="D11" s="63"/>
      <c r="E11" s="64">
        <v>1000.8</v>
      </c>
      <c r="F11" s="65"/>
      <c r="G11" s="101"/>
      <c r="H11" s="191"/>
    </row>
    <row r="12" spans="1:24" ht="18.95" customHeight="1">
      <c r="A12" s="107"/>
      <c r="B12" s="110" t="s">
        <v>81</v>
      </c>
      <c r="C12" s="62" t="s">
        <v>100</v>
      </c>
      <c r="D12" s="63"/>
      <c r="E12" s="64">
        <v>2469</v>
      </c>
      <c r="F12" s="65"/>
      <c r="G12" s="101"/>
      <c r="H12" s="191"/>
    </row>
    <row r="13" spans="1:24" ht="21.95" customHeight="1">
      <c r="A13" s="107"/>
      <c r="B13" s="110"/>
      <c r="C13" s="62"/>
      <c r="D13" s="63"/>
      <c r="E13" s="64"/>
      <c r="F13" s="65"/>
      <c r="G13" s="101"/>
      <c r="H13" s="191"/>
    </row>
    <row r="14" spans="1:24" ht="21.95" customHeight="1">
      <c r="A14" s="107"/>
      <c r="B14" s="110"/>
      <c r="C14" s="62"/>
      <c r="D14" s="63"/>
      <c r="E14" s="64"/>
      <c r="F14" s="65"/>
      <c r="G14" s="101"/>
      <c r="H14" s="191"/>
    </row>
    <row r="15" spans="1:24" ht="21.95" customHeight="1">
      <c r="A15" s="107"/>
      <c r="B15" s="61"/>
      <c r="C15" s="62"/>
      <c r="D15" s="63"/>
      <c r="E15" s="64"/>
      <c r="F15" s="65"/>
      <c r="G15" s="101"/>
      <c r="H15" s="191"/>
    </row>
    <row r="16" spans="1:24" ht="21.95" customHeight="1">
      <c r="A16" s="107"/>
      <c r="B16" s="61"/>
      <c r="C16" s="62"/>
      <c r="D16" s="63"/>
      <c r="E16" s="64"/>
      <c r="F16" s="65"/>
      <c r="G16" s="101"/>
      <c r="H16" s="191"/>
    </row>
    <row r="17" spans="1:23 16384:16384" ht="21.95" customHeight="1">
      <c r="A17" s="111"/>
      <c r="B17" s="51" t="s">
        <v>84</v>
      </c>
      <c r="C17" s="52" t="s">
        <v>101</v>
      </c>
      <c r="D17" s="53" t="s">
        <v>86</v>
      </c>
      <c r="E17" s="54">
        <f>SUM(E18:E23)</f>
        <v>1683.98</v>
      </c>
      <c r="F17" s="55" t="s">
        <v>87</v>
      </c>
      <c r="G17" s="101"/>
      <c r="H17" s="191"/>
    </row>
    <row r="18" spans="1:23 16384:16384">
      <c r="A18" s="107"/>
      <c r="B18" s="61" t="s">
        <v>102</v>
      </c>
      <c r="C18" s="62" t="s">
        <v>103</v>
      </c>
      <c r="D18" s="63"/>
      <c r="E18" s="64"/>
      <c r="F18" s="65"/>
      <c r="G18" s="101"/>
      <c r="H18" s="191"/>
    </row>
    <row r="19" spans="1:23 16384:16384">
      <c r="A19" s="107"/>
      <c r="B19" s="61" t="s">
        <v>102</v>
      </c>
      <c r="C19" s="62" t="s">
        <v>104</v>
      </c>
      <c r="D19" s="63"/>
      <c r="E19" s="64">
        <v>762</v>
      </c>
      <c r="F19" s="65"/>
      <c r="G19" s="101"/>
      <c r="H19" s="191"/>
    </row>
    <row r="20" spans="1:23 16384:16384">
      <c r="A20" s="107"/>
      <c r="B20" s="61" t="s">
        <v>79</v>
      </c>
      <c r="C20" s="62" t="s">
        <v>105</v>
      </c>
      <c r="D20" s="63"/>
      <c r="E20" s="64">
        <f>49.18+15.9</f>
        <v>65.08</v>
      </c>
      <c r="F20" s="65" t="s">
        <v>106</v>
      </c>
      <c r="G20" s="101"/>
      <c r="H20" s="191"/>
    </row>
    <row r="21" spans="1:23 16384:16384">
      <c r="A21" s="107"/>
      <c r="B21" s="61" t="s">
        <v>79</v>
      </c>
      <c r="C21" s="62" t="s">
        <v>107</v>
      </c>
      <c r="D21" s="63"/>
      <c r="E21" s="64">
        <f>204.9+41</f>
        <v>245.9</v>
      </c>
      <c r="F21" s="65" t="s">
        <v>106</v>
      </c>
      <c r="G21" s="101">
        <f>204+49</f>
        <v>253</v>
      </c>
      <c r="H21" s="191"/>
    </row>
    <row r="22" spans="1:23 16384:16384">
      <c r="A22" s="69"/>
      <c r="B22" s="69" t="s">
        <v>79</v>
      </c>
      <c r="C22" s="70" t="s">
        <v>108</v>
      </c>
      <c r="D22" s="69"/>
      <c r="E22" s="71">
        <v>544</v>
      </c>
      <c r="F22" s="70" t="s">
        <v>109</v>
      </c>
      <c r="G22" s="193"/>
      <c r="H22" s="93"/>
    </row>
    <row r="23" spans="1:23 16384:16384" s="188" customFormat="1" ht="15.75">
      <c r="A23" s="194"/>
      <c r="B23" s="195" t="s">
        <v>110</v>
      </c>
      <c r="C23" s="196" t="s">
        <v>111</v>
      </c>
      <c r="D23" s="197"/>
      <c r="E23" s="198">
        <v>67</v>
      </c>
      <c r="F23" s="199"/>
      <c r="G23" s="200"/>
      <c r="H23" s="200"/>
      <c r="I23" s="200"/>
      <c r="J23" s="200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</row>
    <row r="24" spans="1:23 16384:16384" ht="16.350000000000001">
      <c r="A24" s="53" t="s">
        <v>83</v>
      </c>
      <c r="B24" s="201" t="s">
        <v>112</v>
      </c>
      <c r="C24" s="202" t="s">
        <v>113</v>
      </c>
      <c r="D24" s="203" t="s">
        <v>86</v>
      </c>
      <c r="E24" s="204">
        <f>SUM(E25:E32)</f>
        <v>5020</v>
      </c>
      <c r="F24" s="149" t="s">
        <v>87</v>
      </c>
      <c r="G24" s="205"/>
      <c r="H24" s="206"/>
    </row>
    <row r="25" spans="1:23 16384:16384">
      <c r="A25" s="107" t="s">
        <v>114</v>
      </c>
      <c r="B25" s="61" t="s">
        <v>89</v>
      </c>
      <c r="C25" s="113" t="s">
        <v>115</v>
      </c>
      <c r="D25" s="63" t="s">
        <v>116</v>
      </c>
      <c r="E25" s="192">
        <v>1241</v>
      </c>
      <c r="F25" s="65"/>
      <c r="G25" s="101"/>
    </row>
    <row r="26" spans="1:23 16384:16384">
      <c r="A26" s="61"/>
      <c r="B26" s="61"/>
      <c r="C26" s="113" t="s">
        <v>117</v>
      </c>
      <c r="D26" s="63"/>
      <c r="E26" s="192">
        <v>879</v>
      </c>
      <c r="F26" s="65"/>
      <c r="G26" s="101"/>
    </row>
    <row r="27" spans="1:23 16384:16384">
      <c r="A27" s="107"/>
      <c r="B27" s="61"/>
      <c r="C27" s="113" t="s">
        <v>118</v>
      </c>
      <c r="D27" s="63"/>
      <c r="E27" s="192">
        <f>300+400</f>
        <v>700</v>
      </c>
      <c r="F27" s="65"/>
      <c r="G27" s="101"/>
      <c r="XFD27">
        <v>7</v>
      </c>
    </row>
    <row r="28" spans="1:23 16384:16384">
      <c r="A28" s="107"/>
      <c r="B28" s="61"/>
      <c r="C28" s="113" t="s">
        <v>119</v>
      </c>
      <c r="D28" s="65"/>
      <c r="E28" s="192">
        <f>300+400</f>
        <v>700</v>
      </c>
      <c r="F28" s="65"/>
      <c r="G28" s="101"/>
    </row>
    <row r="29" spans="1:23 16384:16384">
      <c r="A29" s="61"/>
      <c r="B29" s="61"/>
      <c r="C29" s="113" t="s">
        <v>120</v>
      </c>
      <c r="D29" s="63"/>
      <c r="E29" s="64"/>
      <c r="F29" s="65"/>
      <c r="G29" s="101"/>
    </row>
    <row r="30" spans="1:23 16384:16384">
      <c r="A30" s="107"/>
      <c r="B30" s="61"/>
      <c r="C30" s="113" t="s">
        <v>121</v>
      </c>
      <c r="D30" s="63"/>
      <c r="E30" s="64"/>
      <c r="F30" s="65"/>
      <c r="G30" s="101"/>
    </row>
    <row r="31" spans="1:23 16384:16384">
      <c r="A31" s="61"/>
      <c r="B31" s="61"/>
      <c r="C31" s="113" t="s">
        <v>122</v>
      </c>
      <c r="D31" s="63"/>
      <c r="E31" s="64">
        <v>1500</v>
      </c>
      <c r="F31" s="65" t="s">
        <v>123</v>
      </c>
      <c r="G31" s="101"/>
    </row>
    <row r="32" spans="1:23 16384:16384">
      <c r="A32" s="61"/>
      <c r="B32" s="61"/>
      <c r="C32" s="113"/>
      <c r="D32" s="63"/>
      <c r="E32" s="64"/>
      <c r="F32" s="65"/>
      <c r="G32" s="101"/>
    </row>
    <row r="33" spans="1:7" ht="15.2">
      <c r="A33" s="69"/>
      <c r="B33" s="69"/>
      <c r="C33" s="79"/>
      <c r="D33" s="69"/>
      <c r="E33" s="78"/>
      <c r="F33" s="65"/>
      <c r="G33" s="101"/>
    </row>
    <row r="34" spans="1:7" ht="21" customHeight="1">
      <c r="A34" s="53" t="s">
        <v>83</v>
      </c>
      <c r="B34" s="72" t="s">
        <v>112</v>
      </c>
      <c r="C34" s="80" t="s">
        <v>124</v>
      </c>
      <c r="D34" s="53" t="s">
        <v>86</v>
      </c>
      <c r="E34" s="207">
        <f>SUM(E36:E41)</f>
        <v>5046.59</v>
      </c>
      <c r="F34" s="55" t="s">
        <v>87</v>
      </c>
      <c r="G34" s="101"/>
    </row>
    <row r="35" spans="1:7" hidden="1">
      <c r="A35" s="73"/>
      <c r="B35" s="73"/>
      <c r="C35" s="116"/>
      <c r="D35" s="73"/>
      <c r="E35" s="117"/>
      <c r="F35" s="60"/>
      <c r="G35" s="101"/>
    </row>
    <row r="36" spans="1:7">
      <c r="A36" s="107" t="s">
        <v>125</v>
      </c>
      <c r="B36" s="61" t="s">
        <v>126</v>
      </c>
      <c r="C36" s="113" t="s">
        <v>127</v>
      </c>
      <c r="D36" s="63"/>
      <c r="E36" s="64">
        <v>635.04999999999995</v>
      </c>
      <c r="F36" s="65" t="s">
        <v>128</v>
      </c>
      <c r="G36" s="101"/>
    </row>
    <row r="37" spans="1:7">
      <c r="A37" s="107"/>
      <c r="B37" s="61"/>
      <c r="C37" s="113" t="s">
        <v>129</v>
      </c>
      <c r="D37" s="63" t="s">
        <v>130</v>
      </c>
      <c r="E37" s="64">
        <v>1533.44</v>
      </c>
      <c r="F37" s="65"/>
      <c r="G37" s="101"/>
    </row>
    <row r="38" spans="1:7">
      <c r="A38" s="107"/>
      <c r="B38" s="61"/>
      <c r="C38" s="113" t="s">
        <v>131</v>
      </c>
      <c r="D38" s="63"/>
      <c r="E38" s="64">
        <v>2858</v>
      </c>
      <c r="F38" s="65"/>
      <c r="G38" s="101"/>
    </row>
    <row r="39" spans="1:7">
      <c r="A39" s="107"/>
      <c r="B39" s="61"/>
      <c r="C39" s="113" t="s">
        <v>132</v>
      </c>
      <c r="D39" s="63"/>
      <c r="E39" s="64">
        <v>20.100000000000001</v>
      </c>
      <c r="F39" s="65"/>
      <c r="G39" s="101"/>
    </row>
    <row r="40" spans="1:7">
      <c r="A40" s="107"/>
      <c r="B40" s="61"/>
      <c r="C40" s="113"/>
      <c r="D40" s="63"/>
      <c r="E40" s="208"/>
      <c r="F40" s="209" t="s">
        <v>133</v>
      </c>
      <c r="G40" s="101"/>
    </row>
    <row r="41" spans="1:7" ht="15.2">
      <c r="A41" s="118"/>
      <c r="B41" s="69"/>
      <c r="C41" s="70"/>
      <c r="D41" s="69"/>
      <c r="E41" s="210"/>
      <c r="F41" s="209" t="s">
        <v>134</v>
      </c>
      <c r="G41" s="101"/>
    </row>
    <row r="42" spans="1:7" ht="21.95" customHeight="1">
      <c r="A42" s="53" t="s">
        <v>83</v>
      </c>
      <c r="B42" s="72" t="s">
        <v>112</v>
      </c>
      <c r="C42" s="80" t="s">
        <v>135</v>
      </c>
      <c r="D42" s="53" t="s">
        <v>86</v>
      </c>
      <c r="E42" s="119">
        <f>SUM(E43:E50)</f>
        <v>4502</v>
      </c>
      <c r="F42" s="149" t="s">
        <v>87</v>
      </c>
      <c r="G42" s="101"/>
    </row>
    <row r="43" spans="1:7">
      <c r="A43" s="73"/>
      <c r="B43" s="73" t="s">
        <v>136</v>
      </c>
      <c r="C43" s="74" t="s">
        <v>137</v>
      </c>
      <c r="D43" s="73" t="s">
        <v>138</v>
      </c>
      <c r="E43" s="59">
        <f>2*400</f>
        <v>800</v>
      </c>
      <c r="F43" s="60" t="s">
        <v>139</v>
      </c>
      <c r="G43" s="101"/>
    </row>
    <row r="44" spans="1:7">
      <c r="A44" s="61"/>
      <c r="B44" s="61"/>
      <c r="C44" s="113" t="s">
        <v>140</v>
      </c>
      <c r="D44" s="61" t="s">
        <v>138</v>
      </c>
      <c r="E44" s="59">
        <f>378*2</f>
        <v>756</v>
      </c>
      <c r="F44" s="65"/>
      <c r="G44" s="101"/>
    </row>
    <row r="45" spans="1:7">
      <c r="A45" s="61"/>
      <c r="B45" s="61" t="s">
        <v>141</v>
      </c>
      <c r="C45" s="113" t="s">
        <v>142</v>
      </c>
      <c r="D45" s="61" t="s">
        <v>143</v>
      </c>
      <c r="E45" s="59">
        <f>700+98</f>
        <v>798</v>
      </c>
      <c r="F45" s="65"/>
      <c r="G45" s="101"/>
    </row>
    <row r="46" spans="1:7">
      <c r="A46" s="61"/>
      <c r="B46" s="61"/>
      <c r="C46" s="113" t="s">
        <v>144</v>
      </c>
      <c r="D46" s="61"/>
      <c r="E46" s="59"/>
      <c r="F46" s="65"/>
      <c r="G46" s="101"/>
    </row>
    <row r="47" spans="1:7">
      <c r="A47" s="61"/>
      <c r="B47" s="61" t="s">
        <v>141</v>
      </c>
      <c r="C47" s="113" t="s">
        <v>145</v>
      </c>
      <c r="D47" s="61" t="s">
        <v>143</v>
      </c>
      <c r="E47" s="59">
        <v>1014</v>
      </c>
      <c r="F47" s="65"/>
      <c r="G47" s="101"/>
    </row>
    <row r="48" spans="1:7">
      <c r="A48" s="61"/>
      <c r="B48" s="61"/>
      <c r="C48" s="113" t="s">
        <v>146</v>
      </c>
      <c r="D48" s="61" t="s">
        <v>143</v>
      </c>
      <c r="E48" s="59">
        <v>378</v>
      </c>
      <c r="F48" s="65"/>
      <c r="G48" s="101"/>
    </row>
    <row r="49" spans="1:7">
      <c r="A49" s="120"/>
      <c r="B49" s="120"/>
      <c r="C49" s="211" t="s">
        <v>147</v>
      </c>
      <c r="D49" s="120" t="s">
        <v>138</v>
      </c>
      <c r="E49" s="59">
        <f>378*2</f>
        <v>756</v>
      </c>
      <c r="F49" s="65"/>
      <c r="G49" s="101"/>
    </row>
    <row r="50" spans="1:7">
      <c r="C50" s="123"/>
      <c r="E50" s="124"/>
    </row>
    <row r="51" spans="1:7" ht="15.2">
      <c r="A51" s="53" t="s">
        <v>83</v>
      </c>
      <c r="B51" s="72" t="s">
        <v>112</v>
      </c>
      <c r="C51" s="80" t="s">
        <v>148</v>
      </c>
      <c r="D51" s="53" t="s">
        <v>86</v>
      </c>
      <c r="E51" s="119">
        <f>SUM(E52:E54)</f>
        <v>0</v>
      </c>
      <c r="F51" s="55" t="s">
        <v>87</v>
      </c>
    </row>
    <row r="52" spans="1:7" ht="15.2">
      <c r="A52" s="212"/>
      <c r="B52" s="213"/>
      <c r="C52" s="214"/>
      <c r="D52" s="213"/>
      <c r="E52" s="215"/>
      <c r="F52" s="216"/>
      <c r="G52" s="101"/>
    </row>
  </sheetData>
  <mergeCells count="1">
    <mergeCell ref="A1:F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2"/>
  <sheetViews>
    <sheetView topLeftCell="A161" workbookViewId="0">
      <selection activeCell="D178" sqref="D178"/>
    </sheetView>
  </sheetViews>
  <sheetFormatPr defaultColWidth="8.875" defaultRowHeight="14.45"/>
  <cols>
    <col min="1" max="1" width="12.75" customWidth="1"/>
    <col min="2" max="2" width="65.5" customWidth="1"/>
    <col min="3" max="3" width="13.75" customWidth="1"/>
    <col min="4" max="4" width="12.375" customWidth="1"/>
    <col min="5" max="5" width="22.75" customWidth="1"/>
    <col min="6" max="6" width="65.375" customWidth="1"/>
  </cols>
  <sheetData>
    <row r="1" spans="1:6" s="351" customFormat="1"/>
    <row r="2" spans="1:6" s="351" customFormat="1"/>
    <row r="3" spans="1:6" s="351" customFormat="1"/>
    <row r="4" spans="1:6" s="351" customFormat="1"/>
    <row r="5" spans="1:6" ht="15.2"/>
    <row r="6" spans="1:6" ht="15.2">
      <c r="E6" s="50" t="s">
        <v>149</v>
      </c>
    </row>
    <row r="7" spans="1:6" ht="16.350000000000001">
      <c r="A7" s="51" t="s">
        <v>3</v>
      </c>
      <c r="B7" s="52" t="s">
        <v>150</v>
      </c>
      <c r="C7" s="53" t="s">
        <v>151</v>
      </c>
      <c r="D7" s="53" t="s">
        <v>152</v>
      </c>
      <c r="E7" s="54">
        <f>SUM(E8:E33)</f>
        <v>2827.77</v>
      </c>
      <c r="F7" s="55" t="s">
        <v>87</v>
      </c>
    </row>
    <row r="8" spans="1:6">
      <c r="A8" s="61" t="s">
        <v>153</v>
      </c>
      <c r="B8" s="62" t="s">
        <v>154</v>
      </c>
      <c r="C8" s="63" t="s">
        <v>143</v>
      </c>
      <c r="D8" s="64">
        <v>358</v>
      </c>
      <c r="E8" s="59">
        <f>+C8*D8</f>
        <v>358</v>
      </c>
      <c r="F8" s="60"/>
    </row>
    <row r="9" spans="1:6">
      <c r="A9" s="61" t="s">
        <v>153</v>
      </c>
      <c r="B9" s="62" t="s">
        <v>155</v>
      </c>
      <c r="C9" s="63" t="s">
        <v>143</v>
      </c>
      <c r="D9" s="64">
        <v>199</v>
      </c>
      <c r="E9" s="59">
        <f t="shared" ref="E9:E21" si="0">+C9*D9</f>
        <v>199</v>
      </c>
      <c r="F9" s="65"/>
    </row>
    <row r="10" spans="1:6">
      <c r="A10" s="61" t="s">
        <v>153</v>
      </c>
      <c r="B10" s="62" t="s">
        <v>156</v>
      </c>
      <c r="C10" s="63" t="s">
        <v>157</v>
      </c>
      <c r="D10" s="64">
        <v>20</v>
      </c>
      <c r="E10" s="59">
        <f t="shared" si="0"/>
        <v>120</v>
      </c>
      <c r="F10" s="60"/>
    </row>
    <row r="11" spans="1:6">
      <c r="A11" s="61" t="s">
        <v>153</v>
      </c>
      <c r="B11" s="62" t="s">
        <v>158</v>
      </c>
      <c r="C11" s="63" t="s">
        <v>143</v>
      </c>
      <c r="D11" s="64">
        <v>163</v>
      </c>
      <c r="E11" s="59">
        <f t="shared" si="0"/>
        <v>163</v>
      </c>
      <c r="F11" s="65"/>
    </row>
    <row r="12" spans="1:6">
      <c r="A12" s="61" t="s">
        <v>153</v>
      </c>
      <c r="B12" s="62" t="s">
        <v>159</v>
      </c>
      <c r="C12" s="63" t="s">
        <v>143</v>
      </c>
      <c r="D12" s="64">
        <v>135</v>
      </c>
      <c r="E12" s="59">
        <f t="shared" si="0"/>
        <v>135</v>
      </c>
      <c r="F12" s="65"/>
    </row>
    <row r="13" spans="1:6">
      <c r="A13" s="61" t="s">
        <v>153</v>
      </c>
      <c r="B13" s="62" t="s">
        <v>160</v>
      </c>
      <c r="C13" s="63" t="s">
        <v>161</v>
      </c>
      <c r="D13" s="64">
        <v>14.5</v>
      </c>
      <c r="E13" s="59">
        <f t="shared" si="0"/>
        <v>58</v>
      </c>
      <c r="F13" s="60"/>
    </row>
    <row r="14" spans="1:6">
      <c r="A14" s="61" t="s">
        <v>153</v>
      </c>
      <c r="B14" s="62" t="s">
        <v>162</v>
      </c>
      <c r="C14" s="63" t="s">
        <v>161</v>
      </c>
      <c r="D14" s="64">
        <v>49.5</v>
      </c>
      <c r="E14" s="59">
        <f t="shared" si="0"/>
        <v>198</v>
      </c>
      <c r="F14" s="65"/>
    </row>
    <row r="15" spans="1:6">
      <c r="A15" s="61" t="s">
        <v>153</v>
      </c>
      <c r="B15" s="62" t="s">
        <v>163</v>
      </c>
      <c r="C15" s="63" t="s">
        <v>164</v>
      </c>
      <c r="D15" s="64">
        <v>439</v>
      </c>
      <c r="E15" s="59">
        <f t="shared" si="0"/>
        <v>460.95</v>
      </c>
      <c r="F15" s="65"/>
    </row>
    <row r="16" spans="1:6">
      <c r="A16" s="61" t="s">
        <v>153</v>
      </c>
      <c r="B16" s="62" t="s">
        <v>165</v>
      </c>
      <c r="C16" s="63" t="s">
        <v>166</v>
      </c>
      <c r="D16" s="64">
        <v>265</v>
      </c>
      <c r="E16" s="59">
        <f t="shared" si="0"/>
        <v>251.75</v>
      </c>
      <c r="F16" s="65"/>
    </row>
    <row r="17" spans="1:6">
      <c r="A17" s="61" t="s">
        <v>153</v>
      </c>
      <c r="B17" s="62" t="s">
        <v>167</v>
      </c>
      <c r="C17" s="63" t="s">
        <v>168</v>
      </c>
      <c r="D17" s="64">
        <v>369</v>
      </c>
      <c r="E17" s="59">
        <f t="shared" si="0"/>
        <v>380.07</v>
      </c>
      <c r="F17" s="65"/>
    </row>
    <row r="18" spans="1:6">
      <c r="A18" s="61" t="s">
        <v>153</v>
      </c>
      <c r="B18" s="62" t="s">
        <v>169</v>
      </c>
      <c r="C18" s="63" t="s">
        <v>143</v>
      </c>
      <c r="D18" s="64">
        <v>64</v>
      </c>
      <c r="E18" s="59">
        <f t="shared" si="0"/>
        <v>64</v>
      </c>
      <c r="F18" s="65"/>
    </row>
    <row r="19" spans="1:6">
      <c r="A19" s="61" t="s">
        <v>153</v>
      </c>
      <c r="B19" s="62" t="s">
        <v>170</v>
      </c>
      <c r="C19" s="63" t="s">
        <v>143</v>
      </c>
      <c r="D19" s="64">
        <v>235</v>
      </c>
      <c r="E19" s="59">
        <f t="shared" si="0"/>
        <v>235</v>
      </c>
      <c r="F19" s="65"/>
    </row>
    <row r="20" spans="1:6">
      <c r="A20" s="61" t="s">
        <v>153</v>
      </c>
      <c r="B20" s="62" t="s">
        <v>171</v>
      </c>
      <c r="C20" s="63" t="s">
        <v>143</v>
      </c>
      <c r="D20" s="64">
        <v>205</v>
      </c>
      <c r="E20" s="59">
        <f t="shared" ref="E20:E33" si="1">+C20*D20</f>
        <v>205</v>
      </c>
      <c r="F20" s="65"/>
    </row>
    <row r="21" spans="1:6">
      <c r="A21" s="61"/>
      <c r="B21" s="62"/>
      <c r="C21" s="63"/>
      <c r="D21" s="64"/>
      <c r="E21" s="59">
        <f t="shared" si="1"/>
        <v>0</v>
      </c>
      <c r="F21" s="65"/>
    </row>
    <row r="22" spans="1:6">
      <c r="A22" s="61"/>
      <c r="B22" s="62"/>
      <c r="C22" s="63"/>
      <c r="D22" s="64"/>
      <c r="E22" s="59">
        <f t="shared" si="1"/>
        <v>0</v>
      </c>
      <c r="F22" s="65"/>
    </row>
    <row r="23" spans="1:6">
      <c r="A23" s="61"/>
      <c r="B23" s="62"/>
      <c r="C23" s="63"/>
      <c r="D23" s="64"/>
      <c r="E23" s="59">
        <f t="shared" si="1"/>
        <v>0</v>
      </c>
      <c r="F23" s="65"/>
    </row>
    <row r="24" spans="1:6">
      <c r="A24" s="61"/>
      <c r="B24" s="62"/>
      <c r="C24" s="63"/>
      <c r="D24" s="64"/>
      <c r="E24" s="59">
        <f t="shared" si="1"/>
        <v>0</v>
      </c>
      <c r="F24" s="65"/>
    </row>
    <row r="25" spans="1:6">
      <c r="A25" s="61"/>
      <c r="B25" s="62"/>
      <c r="C25" s="63"/>
      <c r="D25" s="64"/>
      <c r="E25" s="59">
        <f t="shared" si="1"/>
        <v>0</v>
      </c>
      <c r="F25" s="65"/>
    </row>
    <row r="26" spans="1:6">
      <c r="A26" s="61"/>
      <c r="B26" s="62"/>
      <c r="C26" s="63"/>
      <c r="D26" s="64"/>
      <c r="E26" s="59">
        <f t="shared" si="1"/>
        <v>0</v>
      </c>
      <c r="F26" s="65"/>
    </row>
    <row r="27" spans="1:6">
      <c r="A27" s="61"/>
      <c r="B27" s="62"/>
      <c r="C27" s="63"/>
      <c r="D27" s="64"/>
      <c r="E27" s="59">
        <f t="shared" si="1"/>
        <v>0</v>
      </c>
      <c r="F27" s="65"/>
    </row>
    <row r="28" spans="1:6">
      <c r="A28" s="61"/>
      <c r="B28" s="62"/>
      <c r="C28" s="63"/>
      <c r="D28" s="64"/>
      <c r="E28" s="59">
        <f t="shared" si="1"/>
        <v>0</v>
      </c>
      <c r="F28" s="65"/>
    </row>
    <row r="29" spans="1:6">
      <c r="A29" s="61"/>
      <c r="B29" s="62"/>
      <c r="C29" s="63"/>
      <c r="D29" s="64"/>
      <c r="E29" s="59">
        <f t="shared" si="1"/>
        <v>0</v>
      </c>
      <c r="F29" s="65"/>
    </row>
    <row r="30" spans="1:6">
      <c r="A30" s="61"/>
      <c r="B30" s="62"/>
      <c r="C30" s="63"/>
      <c r="D30" s="64"/>
      <c r="E30" s="59">
        <f t="shared" si="1"/>
        <v>0</v>
      </c>
      <c r="F30" s="65"/>
    </row>
    <row r="31" spans="1:6">
      <c r="A31" s="61"/>
      <c r="B31" s="62"/>
      <c r="C31" s="63"/>
      <c r="D31" s="64"/>
      <c r="E31" s="59">
        <f t="shared" si="1"/>
        <v>0</v>
      </c>
      <c r="F31" s="65"/>
    </row>
    <row r="32" spans="1:6">
      <c r="A32" s="61"/>
      <c r="B32" s="62"/>
      <c r="C32" s="63"/>
      <c r="D32" s="64"/>
      <c r="E32" s="59">
        <f t="shared" si="1"/>
        <v>0</v>
      </c>
      <c r="F32" s="65"/>
    </row>
    <row r="33" spans="1:7" ht="15.2">
      <c r="A33" s="69"/>
      <c r="B33" s="70"/>
      <c r="C33" s="69"/>
      <c r="D33" s="71"/>
      <c r="E33" s="59">
        <f t="shared" si="1"/>
        <v>0</v>
      </c>
      <c r="F33" s="70"/>
    </row>
    <row r="34" spans="1:7" ht="16.350000000000001">
      <c r="A34" s="72" t="s">
        <v>3</v>
      </c>
      <c r="B34" s="52" t="s">
        <v>172</v>
      </c>
      <c r="C34" s="53" t="s">
        <v>151</v>
      </c>
      <c r="D34" s="53" t="s">
        <v>152</v>
      </c>
      <c r="E34" s="54">
        <f>SUM(E35:E67)</f>
        <v>5665</v>
      </c>
      <c r="F34" s="55" t="s">
        <v>87</v>
      </c>
      <c r="G34">
        <v>0.1</v>
      </c>
    </row>
    <row r="35" spans="1:7">
      <c r="A35" s="69" t="s">
        <v>79</v>
      </c>
      <c r="B35" s="77" t="s">
        <v>173</v>
      </c>
      <c r="C35" s="69" t="s">
        <v>143</v>
      </c>
      <c r="D35" s="78">
        <v>5389</v>
      </c>
      <c r="E35" s="59">
        <f t="shared" ref="E35:E67" si="2">+C35*D35</f>
        <v>5389</v>
      </c>
      <c r="F35" s="65"/>
    </row>
    <row r="36" spans="1:7">
      <c r="A36" s="69" t="s">
        <v>79</v>
      </c>
      <c r="B36" s="77" t="s">
        <v>174</v>
      </c>
      <c r="C36" s="69" t="s">
        <v>143</v>
      </c>
      <c r="D36" s="78">
        <v>276</v>
      </c>
      <c r="E36" s="59">
        <f t="shared" si="2"/>
        <v>276</v>
      </c>
      <c r="F36" s="65"/>
    </row>
    <row r="37" spans="1:7">
      <c r="A37" s="69"/>
      <c r="B37" s="77"/>
      <c r="C37" s="69"/>
      <c r="D37" s="78"/>
      <c r="E37" s="59">
        <f t="shared" si="2"/>
        <v>0</v>
      </c>
      <c r="F37" s="65"/>
    </row>
    <row r="38" spans="1:7">
      <c r="A38" s="69"/>
      <c r="B38" s="77"/>
      <c r="C38" s="69"/>
      <c r="D38" s="78"/>
      <c r="E38" s="59">
        <f t="shared" si="2"/>
        <v>0</v>
      </c>
      <c r="F38" s="65"/>
    </row>
    <row r="39" spans="1:7">
      <c r="A39" s="69"/>
      <c r="B39" s="77"/>
      <c r="C39" s="69"/>
      <c r="D39" s="78"/>
      <c r="E39" s="59">
        <f t="shared" si="2"/>
        <v>0</v>
      </c>
      <c r="F39" s="65"/>
    </row>
    <row r="40" spans="1:7">
      <c r="A40" s="69"/>
      <c r="B40" s="77"/>
      <c r="C40" s="69"/>
      <c r="D40" s="78"/>
      <c r="E40" s="59">
        <f t="shared" si="2"/>
        <v>0</v>
      </c>
      <c r="F40" s="65"/>
    </row>
    <row r="41" spans="1:7">
      <c r="A41" s="69"/>
      <c r="B41" s="77"/>
      <c r="C41" s="69"/>
      <c r="D41" s="78"/>
      <c r="E41" s="59">
        <f t="shared" si="2"/>
        <v>0</v>
      </c>
      <c r="F41" s="65"/>
    </row>
    <row r="42" spans="1:7">
      <c r="A42" s="69"/>
      <c r="B42" s="77"/>
      <c r="C42" s="69"/>
      <c r="D42" s="78"/>
      <c r="E42" s="59">
        <f t="shared" si="2"/>
        <v>0</v>
      </c>
      <c r="F42" s="65"/>
    </row>
    <row r="43" spans="1:7">
      <c r="A43" s="69"/>
      <c r="B43" s="77"/>
      <c r="C43" s="69"/>
      <c r="D43" s="78"/>
      <c r="E43" s="59">
        <f t="shared" si="2"/>
        <v>0</v>
      </c>
      <c r="F43" s="65"/>
    </row>
    <row r="44" spans="1:7">
      <c r="A44" s="69"/>
      <c r="B44" s="77"/>
      <c r="C44" s="69"/>
      <c r="D44" s="78"/>
      <c r="E44" s="59">
        <f t="shared" si="2"/>
        <v>0</v>
      </c>
      <c r="F44" s="65"/>
    </row>
    <row r="45" spans="1:7">
      <c r="A45" s="69"/>
      <c r="B45" s="77"/>
      <c r="C45" s="69"/>
      <c r="D45" s="78"/>
      <c r="E45" s="59">
        <f t="shared" si="2"/>
        <v>0</v>
      </c>
      <c r="F45" s="65"/>
    </row>
    <row r="46" spans="1:7">
      <c r="A46" s="69"/>
      <c r="B46" s="77"/>
      <c r="C46" s="69"/>
      <c r="D46" s="78"/>
      <c r="E46" s="59">
        <f t="shared" si="2"/>
        <v>0</v>
      </c>
      <c r="F46" s="65"/>
    </row>
    <row r="47" spans="1:7">
      <c r="A47" s="69"/>
      <c r="B47" s="77"/>
      <c r="C47" s="69"/>
      <c r="D47" s="78"/>
      <c r="E47" s="59">
        <f t="shared" si="2"/>
        <v>0</v>
      </c>
      <c r="F47" s="65"/>
    </row>
    <row r="48" spans="1:7">
      <c r="A48" s="69"/>
      <c r="B48" s="77"/>
      <c r="C48" s="69"/>
      <c r="D48" s="78"/>
      <c r="E48" s="59">
        <f t="shared" si="2"/>
        <v>0</v>
      </c>
      <c r="F48" s="65"/>
    </row>
    <row r="49" spans="1:6">
      <c r="A49" s="69"/>
      <c r="B49" s="77"/>
      <c r="C49" s="69"/>
      <c r="D49" s="78"/>
      <c r="E49" s="59">
        <f t="shared" si="2"/>
        <v>0</v>
      </c>
      <c r="F49" s="65"/>
    </row>
    <row r="50" spans="1:6">
      <c r="A50" s="69"/>
      <c r="B50" s="77"/>
      <c r="C50" s="69"/>
      <c r="D50" s="78"/>
      <c r="E50" s="59">
        <f t="shared" si="2"/>
        <v>0</v>
      </c>
      <c r="F50" s="65"/>
    </row>
    <row r="51" spans="1:6">
      <c r="A51" s="69"/>
      <c r="B51" s="77"/>
      <c r="C51" s="69"/>
      <c r="D51" s="78"/>
      <c r="E51" s="59">
        <f t="shared" si="2"/>
        <v>0</v>
      </c>
      <c r="F51" s="65"/>
    </row>
    <row r="52" spans="1:6">
      <c r="A52" s="69"/>
      <c r="B52" s="77"/>
      <c r="C52" s="69"/>
      <c r="D52" s="78"/>
      <c r="E52" s="59">
        <f t="shared" si="2"/>
        <v>0</v>
      </c>
      <c r="F52" s="65"/>
    </row>
    <row r="53" spans="1:6">
      <c r="A53" s="69"/>
      <c r="B53" s="77"/>
      <c r="C53" s="69"/>
      <c r="D53" s="78"/>
      <c r="E53" s="59">
        <f t="shared" si="2"/>
        <v>0</v>
      </c>
      <c r="F53" s="65"/>
    </row>
    <row r="54" spans="1:6">
      <c r="A54" s="69"/>
      <c r="B54" s="77"/>
      <c r="C54" s="69"/>
      <c r="D54" s="78"/>
      <c r="E54" s="59">
        <f t="shared" si="2"/>
        <v>0</v>
      </c>
      <c r="F54" s="65"/>
    </row>
    <row r="55" spans="1:6">
      <c r="A55" s="69"/>
      <c r="B55" s="77"/>
      <c r="C55" s="69"/>
      <c r="D55" s="78"/>
      <c r="E55" s="59">
        <f t="shared" si="2"/>
        <v>0</v>
      </c>
      <c r="F55" s="65"/>
    </row>
    <row r="56" spans="1:6">
      <c r="A56" s="69"/>
      <c r="B56" s="77"/>
      <c r="C56" s="69"/>
      <c r="D56" s="78"/>
      <c r="E56" s="59">
        <f t="shared" si="2"/>
        <v>0</v>
      </c>
      <c r="F56" s="65"/>
    </row>
    <row r="57" spans="1:6">
      <c r="A57" s="69"/>
      <c r="B57" s="77"/>
      <c r="C57" s="69"/>
      <c r="D57" s="78"/>
      <c r="E57" s="59">
        <f t="shared" si="2"/>
        <v>0</v>
      </c>
      <c r="F57" s="65"/>
    </row>
    <row r="58" spans="1:6">
      <c r="A58" s="69"/>
      <c r="B58" s="77"/>
      <c r="C58" s="69"/>
      <c r="D58" s="78"/>
      <c r="E58" s="59">
        <f t="shared" si="2"/>
        <v>0</v>
      </c>
      <c r="F58" s="65"/>
    </row>
    <row r="59" spans="1:6">
      <c r="A59" s="69"/>
      <c r="B59" s="77"/>
      <c r="C59" s="69"/>
      <c r="D59" s="78"/>
      <c r="E59" s="59">
        <f t="shared" si="2"/>
        <v>0</v>
      </c>
      <c r="F59" s="65"/>
    </row>
    <row r="60" spans="1:6">
      <c r="A60" s="69"/>
      <c r="B60" s="77"/>
      <c r="C60" s="69"/>
      <c r="D60" s="78"/>
      <c r="E60" s="59">
        <f t="shared" si="2"/>
        <v>0</v>
      </c>
      <c r="F60" s="65"/>
    </row>
    <row r="61" spans="1:6">
      <c r="A61" s="69"/>
      <c r="B61" s="77"/>
      <c r="C61" s="69"/>
      <c r="D61" s="78"/>
      <c r="E61" s="59">
        <f t="shared" si="2"/>
        <v>0</v>
      </c>
      <c r="F61" s="65"/>
    </row>
    <row r="62" spans="1:6">
      <c r="A62" s="69"/>
      <c r="B62" s="77"/>
      <c r="C62" s="69"/>
      <c r="D62" s="78"/>
      <c r="E62" s="59">
        <f t="shared" si="2"/>
        <v>0</v>
      </c>
      <c r="F62" s="65"/>
    </row>
    <row r="63" spans="1:6">
      <c r="A63" s="69"/>
      <c r="B63" s="77"/>
      <c r="C63" s="69"/>
      <c r="D63" s="78"/>
      <c r="E63" s="59">
        <f t="shared" si="2"/>
        <v>0</v>
      </c>
      <c r="F63" s="65"/>
    </row>
    <row r="64" spans="1:6">
      <c r="A64" s="69"/>
      <c r="B64" s="77"/>
      <c r="C64" s="69"/>
      <c r="D64" s="78"/>
      <c r="E64" s="59">
        <f t="shared" si="2"/>
        <v>0</v>
      </c>
      <c r="F64" s="65"/>
    </row>
    <row r="65" spans="1:6">
      <c r="A65" s="69"/>
      <c r="B65" s="77"/>
      <c r="C65" s="69"/>
      <c r="D65" s="78"/>
      <c r="E65" s="59">
        <f t="shared" si="2"/>
        <v>0</v>
      </c>
      <c r="F65" s="65"/>
    </row>
    <row r="66" spans="1:6">
      <c r="A66" s="69"/>
      <c r="B66" s="77"/>
      <c r="C66" s="69"/>
      <c r="D66" s="78"/>
      <c r="E66" s="59">
        <f t="shared" si="2"/>
        <v>0</v>
      </c>
      <c r="F66" s="65"/>
    </row>
    <row r="67" spans="1:6" ht="15.2">
      <c r="A67" s="69"/>
      <c r="B67" s="79"/>
      <c r="C67" s="69"/>
      <c r="D67" s="78"/>
      <c r="E67" s="59">
        <f t="shared" si="2"/>
        <v>0</v>
      </c>
      <c r="F67" s="65"/>
    </row>
    <row r="68" spans="1:6" ht="15.2">
      <c r="A68" s="72" t="s">
        <v>3</v>
      </c>
      <c r="B68" s="80" t="s">
        <v>175</v>
      </c>
      <c r="C68" s="53" t="s">
        <v>151</v>
      </c>
      <c r="D68" s="53" t="s">
        <v>152</v>
      </c>
      <c r="E68" s="81">
        <f>SUM(E69:E90)</f>
        <v>2089.16</v>
      </c>
      <c r="F68" s="55" t="s">
        <v>87</v>
      </c>
    </row>
    <row r="69" spans="1:6" ht="15.2">
      <c r="A69" s="56" t="s">
        <v>176</v>
      </c>
      <c r="B69" s="82" t="s">
        <v>177</v>
      </c>
      <c r="C69" s="56" t="s">
        <v>138</v>
      </c>
      <c r="D69" s="83">
        <v>45</v>
      </c>
      <c r="E69" s="59">
        <f>+C69*D69</f>
        <v>90</v>
      </c>
      <c r="F69" s="84"/>
    </row>
    <row r="70" spans="1:6" ht="15.2">
      <c r="A70" s="56"/>
      <c r="B70" s="82" t="s">
        <v>178</v>
      </c>
      <c r="C70" s="56" t="s">
        <v>138</v>
      </c>
      <c r="D70" s="83">
        <v>23</v>
      </c>
      <c r="E70" s="59">
        <f t="shared" ref="E69:E90" si="3">+C70*D70</f>
        <v>46</v>
      </c>
      <c r="F70" s="65"/>
    </row>
    <row r="71" spans="1:6" ht="15.2">
      <c r="A71" s="56" t="s">
        <v>179</v>
      </c>
      <c r="B71" s="82" t="s">
        <v>180</v>
      </c>
      <c r="C71" s="56" t="s">
        <v>143</v>
      </c>
      <c r="D71" s="83">
        <f>109-10.9</f>
        <v>98.1</v>
      </c>
      <c r="E71" s="59">
        <f t="shared" si="3"/>
        <v>98.1</v>
      </c>
      <c r="F71" s="84"/>
    </row>
    <row r="72" spans="1:6" ht="15.2">
      <c r="A72" s="56" t="s">
        <v>179</v>
      </c>
      <c r="B72" s="82" t="s">
        <v>181</v>
      </c>
      <c r="C72" s="56" t="s">
        <v>182</v>
      </c>
      <c r="D72" s="83">
        <v>379</v>
      </c>
      <c r="E72" s="186">
        <f>+C72*D72-32.97</f>
        <v>296.76</v>
      </c>
      <c r="F72" s="84"/>
    </row>
    <row r="73" spans="1:6" ht="15.2">
      <c r="A73" s="56" t="s">
        <v>179</v>
      </c>
      <c r="B73" s="82" t="s">
        <v>183</v>
      </c>
      <c r="C73" s="56" t="s">
        <v>143</v>
      </c>
      <c r="D73" s="83">
        <f>118-11.8</f>
        <v>106.2</v>
      </c>
      <c r="E73" s="59">
        <f t="shared" si="3"/>
        <v>106.2</v>
      </c>
      <c r="F73" s="65"/>
    </row>
    <row r="74" spans="1:6" ht="15.2">
      <c r="A74" s="56" t="s">
        <v>179</v>
      </c>
      <c r="B74" s="82" t="s">
        <v>184</v>
      </c>
      <c r="C74" s="56" t="s">
        <v>143</v>
      </c>
      <c r="D74" s="83">
        <f>79-7.9</f>
        <v>71.099999999999994</v>
      </c>
      <c r="E74" s="59">
        <f t="shared" si="3"/>
        <v>71.099999999999994</v>
      </c>
      <c r="F74" s="65"/>
    </row>
    <row r="75" spans="1:6" ht="15.2">
      <c r="A75" s="56" t="s">
        <v>185</v>
      </c>
      <c r="B75" s="82" t="s">
        <v>186</v>
      </c>
      <c r="C75" s="56" t="s">
        <v>143</v>
      </c>
      <c r="D75" s="83">
        <v>1210</v>
      </c>
      <c r="E75" s="59">
        <f t="shared" si="3"/>
        <v>1210</v>
      </c>
      <c r="F75" s="90"/>
    </row>
    <row r="76" spans="1:6" ht="15.2">
      <c r="A76" s="56" t="s">
        <v>187</v>
      </c>
      <c r="B76" s="82" t="s">
        <v>188</v>
      </c>
      <c r="C76" s="56" t="s">
        <v>143</v>
      </c>
      <c r="D76" s="83">
        <v>171</v>
      </c>
      <c r="E76" s="59">
        <f t="shared" si="3"/>
        <v>171</v>
      </c>
      <c r="F76" s="90"/>
    </row>
    <row r="77" spans="1:6" ht="15.2">
      <c r="A77" s="56"/>
      <c r="B77" s="82"/>
      <c r="C77" s="56"/>
      <c r="D77" s="83"/>
      <c r="E77" s="59">
        <f t="shared" si="3"/>
        <v>0</v>
      </c>
      <c r="F77" s="90"/>
    </row>
    <row r="78" spans="1:6" ht="15.2">
      <c r="A78" s="56"/>
      <c r="B78" s="82"/>
      <c r="C78" s="56"/>
      <c r="D78" s="83"/>
      <c r="E78" s="59">
        <f t="shared" si="3"/>
        <v>0</v>
      </c>
      <c r="F78" s="90"/>
    </row>
    <row r="79" spans="1:6" ht="15.2">
      <c r="A79" s="56"/>
      <c r="B79" s="82"/>
      <c r="C79" s="56"/>
      <c r="D79" s="83"/>
      <c r="E79" s="59">
        <f t="shared" si="3"/>
        <v>0</v>
      </c>
      <c r="F79" s="90"/>
    </row>
    <row r="80" spans="1:6" ht="15.2">
      <c r="A80" s="56"/>
      <c r="B80" s="82"/>
      <c r="C80" s="56"/>
      <c r="D80" s="83"/>
      <c r="E80" s="59">
        <f t="shared" si="3"/>
        <v>0</v>
      </c>
      <c r="F80" s="90"/>
    </row>
    <row r="81" spans="1:6" ht="15.2">
      <c r="A81" s="56"/>
      <c r="B81" s="82"/>
      <c r="C81" s="56"/>
      <c r="D81" s="83"/>
      <c r="E81" s="59">
        <f t="shared" si="3"/>
        <v>0</v>
      </c>
      <c r="F81" s="90"/>
    </row>
    <row r="82" spans="1:6" ht="15.2">
      <c r="A82" s="56"/>
      <c r="B82" s="82"/>
      <c r="C82" s="56"/>
      <c r="D82" s="83"/>
      <c r="E82" s="59">
        <f t="shared" si="3"/>
        <v>0</v>
      </c>
      <c r="F82" s="90"/>
    </row>
    <row r="83" spans="1:6" ht="15.2">
      <c r="A83" s="56"/>
      <c r="B83" s="82"/>
      <c r="C83" s="56"/>
      <c r="D83" s="83"/>
      <c r="E83" s="59">
        <f t="shared" si="3"/>
        <v>0</v>
      </c>
      <c r="F83" s="90"/>
    </row>
    <row r="84" spans="1:6" ht="15.2">
      <c r="A84" s="56"/>
      <c r="B84" s="82"/>
      <c r="C84" s="56"/>
      <c r="D84" s="83"/>
      <c r="E84" s="59">
        <f t="shared" si="3"/>
        <v>0</v>
      </c>
      <c r="F84" s="90"/>
    </row>
    <row r="85" spans="1:6" ht="15.2">
      <c r="A85" s="56"/>
      <c r="B85" s="82"/>
      <c r="C85" s="56"/>
      <c r="D85" s="83"/>
      <c r="E85" s="59">
        <f t="shared" si="3"/>
        <v>0</v>
      </c>
      <c r="F85" s="90"/>
    </row>
    <row r="86" spans="1:6" ht="15.2">
      <c r="A86" s="56"/>
      <c r="B86" s="82"/>
      <c r="C86" s="56"/>
      <c r="D86" s="83"/>
      <c r="E86" s="59">
        <f t="shared" si="3"/>
        <v>0</v>
      </c>
      <c r="F86" s="90"/>
    </row>
    <row r="87" spans="1:6" ht="15.2">
      <c r="A87" s="56"/>
      <c r="B87" s="82"/>
      <c r="C87" s="56"/>
      <c r="D87" s="83"/>
      <c r="E87" s="59">
        <f t="shared" si="3"/>
        <v>0</v>
      </c>
      <c r="F87" s="90"/>
    </row>
    <row r="88" spans="1:6" ht="15.2">
      <c r="A88" s="56"/>
      <c r="B88" s="82"/>
      <c r="C88" s="56"/>
      <c r="D88" s="83"/>
      <c r="E88" s="59">
        <f t="shared" si="3"/>
        <v>0</v>
      </c>
      <c r="F88" s="94"/>
    </row>
    <row r="89" spans="1:6">
      <c r="A89" s="56"/>
      <c r="B89" s="82"/>
      <c r="C89" s="56"/>
      <c r="D89" s="83"/>
      <c r="E89" s="59">
        <f t="shared" si="3"/>
        <v>0</v>
      </c>
      <c r="F89" s="94"/>
    </row>
    <row r="90" spans="1:6" ht="15.2">
      <c r="A90" s="95"/>
      <c r="B90" s="96"/>
      <c r="C90" s="96"/>
      <c r="D90" s="96"/>
      <c r="E90" s="59">
        <f t="shared" si="3"/>
        <v>0</v>
      </c>
      <c r="F90" s="97"/>
    </row>
    <row r="91" spans="1:6" ht="15.2">
      <c r="A91" s="72" t="s">
        <v>3</v>
      </c>
      <c r="B91" s="80" t="s">
        <v>189</v>
      </c>
      <c r="C91" s="53" t="s">
        <v>151</v>
      </c>
      <c r="D91" s="53" t="s">
        <v>152</v>
      </c>
      <c r="E91" s="81">
        <f>SUM(E92:E111)</f>
        <v>1987.2360000000001</v>
      </c>
      <c r="F91" s="55" t="s">
        <v>87</v>
      </c>
    </row>
    <row r="92" spans="1:6" ht="15.2">
      <c r="A92" s="61" t="s">
        <v>88</v>
      </c>
      <c r="B92" s="62" t="s">
        <v>190</v>
      </c>
      <c r="C92" s="63"/>
      <c r="D92" s="64"/>
      <c r="E92" s="83">
        <f>+D92*C92</f>
        <v>0</v>
      </c>
      <c r="F92" s="65" t="s">
        <v>191</v>
      </c>
    </row>
    <row r="93" spans="1:6">
      <c r="A93" s="61" t="s">
        <v>88</v>
      </c>
      <c r="B93" s="62" t="s">
        <v>192</v>
      </c>
      <c r="C93" s="63" t="s">
        <v>143</v>
      </c>
      <c r="D93" s="64">
        <v>70</v>
      </c>
      <c r="E93" s="83">
        <f>+D93*C93</f>
        <v>70</v>
      </c>
      <c r="F93" s="65" t="s">
        <v>193</v>
      </c>
    </row>
    <row r="94" spans="1:6">
      <c r="A94" s="61" t="s">
        <v>88</v>
      </c>
      <c r="B94" s="62" t="s">
        <v>194</v>
      </c>
      <c r="C94" s="63" t="s">
        <v>195</v>
      </c>
      <c r="D94" s="64">
        <v>44.5</v>
      </c>
      <c r="E94" s="64">
        <f t="shared" ref="E94:E111" si="4">+C94*D94</f>
        <v>111.60599999999999</v>
      </c>
      <c r="F94" s="65" t="s">
        <v>193</v>
      </c>
    </row>
    <row r="95" spans="1:6">
      <c r="A95" s="61" t="s">
        <v>88</v>
      </c>
      <c r="B95" s="62" t="s">
        <v>196</v>
      </c>
      <c r="C95" s="63" t="s">
        <v>143</v>
      </c>
      <c r="D95" s="64">
        <v>25</v>
      </c>
      <c r="E95" s="64">
        <f t="shared" si="4"/>
        <v>25</v>
      </c>
      <c r="F95" s="65" t="s">
        <v>193</v>
      </c>
    </row>
    <row r="96" spans="1:6">
      <c r="A96" s="61" t="s">
        <v>88</v>
      </c>
      <c r="B96" s="62" t="s">
        <v>197</v>
      </c>
      <c r="C96" s="63" t="s">
        <v>198</v>
      </c>
      <c r="D96" s="64">
        <v>69</v>
      </c>
      <c r="E96" s="64">
        <f t="shared" si="4"/>
        <v>106.26</v>
      </c>
      <c r="F96" s="65" t="s">
        <v>193</v>
      </c>
    </row>
    <row r="97" spans="1:6">
      <c r="A97" s="61" t="s">
        <v>88</v>
      </c>
      <c r="B97" s="62" t="s">
        <v>199</v>
      </c>
      <c r="C97" s="63" t="s">
        <v>200</v>
      </c>
      <c r="D97" s="64">
        <v>85</v>
      </c>
      <c r="E97" s="64">
        <f t="shared" si="4"/>
        <v>95.37</v>
      </c>
      <c r="F97" s="65" t="s">
        <v>193</v>
      </c>
    </row>
    <row r="98" spans="1:6">
      <c r="A98" s="61" t="s">
        <v>136</v>
      </c>
      <c r="B98" s="62" t="s">
        <v>201</v>
      </c>
      <c r="C98" s="63" t="s">
        <v>143</v>
      </c>
      <c r="D98" s="64">
        <v>270</v>
      </c>
      <c r="E98" s="64">
        <f t="shared" si="4"/>
        <v>270</v>
      </c>
      <c r="F98" s="65" t="s">
        <v>202</v>
      </c>
    </row>
    <row r="99" spans="1:6">
      <c r="A99" s="61" t="s">
        <v>136</v>
      </c>
      <c r="B99" s="62" t="s">
        <v>203</v>
      </c>
      <c r="C99" s="63" t="s">
        <v>143</v>
      </c>
      <c r="D99" s="64">
        <v>99</v>
      </c>
      <c r="E99" s="64">
        <f t="shared" si="4"/>
        <v>99</v>
      </c>
      <c r="F99" s="65" t="s">
        <v>202</v>
      </c>
    </row>
    <row r="100" spans="1:6">
      <c r="A100" s="61" t="s">
        <v>136</v>
      </c>
      <c r="B100" s="62" t="s">
        <v>204</v>
      </c>
      <c r="C100" s="63" t="s">
        <v>143</v>
      </c>
      <c r="D100" s="64">
        <v>18</v>
      </c>
      <c r="E100" s="64">
        <f t="shared" si="4"/>
        <v>18</v>
      </c>
      <c r="F100" s="65" t="s">
        <v>202</v>
      </c>
    </row>
    <row r="101" spans="1:6">
      <c r="A101" s="61" t="s">
        <v>136</v>
      </c>
      <c r="B101" s="62" t="s">
        <v>205</v>
      </c>
      <c r="C101" s="63" t="s">
        <v>143</v>
      </c>
      <c r="D101" s="64">
        <v>120</v>
      </c>
      <c r="E101" s="64">
        <f t="shared" si="4"/>
        <v>120</v>
      </c>
      <c r="F101" s="65" t="s">
        <v>202</v>
      </c>
    </row>
    <row r="102" spans="1:6">
      <c r="A102" s="61" t="s">
        <v>141</v>
      </c>
      <c r="B102" s="62" t="s">
        <v>206</v>
      </c>
      <c r="C102" s="63" t="s">
        <v>143</v>
      </c>
      <c r="D102" s="64">
        <v>265</v>
      </c>
      <c r="E102" s="64">
        <f t="shared" si="4"/>
        <v>265</v>
      </c>
      <c r="F102" s="65"/>
    </row>
    <row r="103" spans="1:6">
      <c r="A103" s="61" t="s">
        <v>207</v>
      </c>
      <c r="B103" s="62" t="s">
        <v>208</v>
      </c>
      <c r="C103" s="63" t="s">
        <v>143</v>
      </c>
      <c r="D103" s="64">
        <f>541-300</f>
        <v>241</v>
      </c>
      <c r="E103" s="64">
        <f t="shared" si="4"/>
        <v>241</v>
      </c>
      <c r="F103" s="65"/>
    </row>
    <row r="104" spans="1:6">
      <c r="A104" s="61" t="s">
        <v>185</v>
      </c>
      <c r="B104" s="62" t="s">
        <v>209</v>
      </c>
      <c r="C104" s="63" t="s">
        <v>143</v>
      </c>
      <c r="D104" s="64">
        <v>566</v>
      </c>
      <c r="E104" s="64">
        <f t="shared" si="4"/>
        <v>566</v>
      </c>
      <c r="F104" s="65"/>
    </row>
    <row r="105" spans="1:6">
      <c r="A105" s="61"/>
      <c r="B105" s="62"/>
      <c r="C105" s="63"/>
      <c r="D105" s="64"/>
      <c r="E105" s="64">
        <f t="shared" si="4"/>
        <v>0</v>
      </c>
      <c r="F105" s="65"/>
    </row>
    <row r="106" spans="1:6">
      <c r="A106" s="61"/>
      <c r="B106" s="62"/>
      <c r="C106" s="63"/>
      <c r="D106" s="64"/>
      <c r="E106" s="64">
        <f t="shared" si="4"/>
        <v>0</v>
      </c>
      <c r="F106" s="65"/>
    </row>
    <row r="107" spans="1:6">
      <c r="A107" s="61"/>
      <c r="B107" s="62"/>
      <c r="C107" s="63"/>
      <c r="D107" s="64"/>
      <c r="E107" s="64">
        <f t="shared" si="4"/>
        <v>0</v>
      </c>
      <c r="F107" s="65"/>
    </row>
    <row r="108" spans="1:6">
      <c r="A108" s="61"/>
      <c r="B108" s="62"/>
      <c r="C108" s="63"/>
      <c r="D108" s="64"/>
      <c r="E108" s="64">
        <f t="shared" si="4"/>
        <v>0</v>
      </c>
      <c r="F108" s="65"/>
    </row>
    <row r="109" spans="1:6">
      <c r="A109" s="61"/>
      <c r="B109" s="62"/>
      <c r="C109" s="63"/>
      <c r="D109" s="64"/>
      <c r="E109" s="64">
        <f t="shared" si="4"/>
        <v>0</v>
      </c>
      <c r="F109" s="65"/>
    </row>
    <row r="110" spans="1:6">
      <c r="A110" s="92"/>
      <c r="B110" s="93"/>
      <c r="C110" s="93"/>
      <c r="D110" s="93"/>
      <c r="E110" s="64">
        <f t="shared" si="4"/>
        <v>0</v>
      </c>
      <c r="F110" s="65"/>
    </row>
    <row r="111" spans="1:6" ht="15.2">
      <c r="A111" s="92"/>
      <c r="B111" s="93"/>
      <c r="C111" s="93"/>
      <c r="D111" s="93"/>
      <c r="E111" s="64">
        <f t="shared" si="4"/>
        <v>0</v>
      </c>
      <c r="F111" s="65"/>
    </row>
    <row r="112" spans="1:6" ht="15.2" hidden="1">
      <c r="A112" s="95" t="s">
        <v>125</v>
      </c>
      <c r="B112" s="96" t="s">
        <v>210</v>
      </c>
      <c r="C112" s="96">
        <v>3.1139999999999999</v>
      </c>
      <c r="D112" s="96">
        <v>33</v>
      </c>
      <c r="E112" s="96">
        <v>102.76</v>
      </c>
      <c r="F112" s="65" t="s">
        <v>211</v>
      </c>
    </row>
    <row r="113" spans="1:6" ht="15.2">
      <c r="A113" s="72" t="s">
        <v>3</v>
      </c>
      <c r="B113" s="80" t="s">
        <v>212</v>
      </c>
      <c r="C113" s="53" t="s">
        <v>151</v>
      </c>
      <c r="D113" s="53" t="s">
        <v>152</v>
      </c>
      <c r="E113" s="81">
        <f>SUM(E115:E120)</f>
        <v>0</v>
      </c>
      <c r="F113" s="55" t="s">
        <v>87</v>
      </c>
    </row>
    <row r="114" spans="1:6">
      <c r="A114" s="56"/>
      <c r="B114" s="82"/>
      <c r="C114" s="56"/>
      <c r="D114" s="83"/>
      <c r="E114" s="64">
        <f t="shared" ref="E114:E120" si="5">+C114*D114</f>
        <v>0</v>
      </c>
      <c r="F114" s="84"/>
    </row>
    <row r="115" spans="1:6">
      <c r="A115" s="61"/>
      <c r="B115" s="62"/>
      <c r="C115" s="63"/>
      <c r="D115" s="64"/>
      <c r="E115" s="64">
        <f t="shared" si="5"/>
        <v>0</v>
      </c>
      <c r="F115" s="65"/>
    </row>
    <row r="116" spans="1:6">
      <c r="A116" s="61"/>
      <c r="B116" s="62"/>
      <c r="C116" s="63"/>
      <c r="D116" s="64"/>
      <c r="E116" s="64">
        <f t="shared" si="5"/>
        <v>0</v>
      </c>
      <c r="F116" s="65"/>
    </row>
    <row r="117" spans="1:6">
      <c r="A117" s="61"/>
      <c r="B117" s="62"/>
      <c r="C117" s="63"/>
      <c r="D117" s="64"/>
      <c r="E117" s="64">
        <f t="shared" si="5"/>
        <v>0</v>
      </c>
      <c r="F117" s="65"/>
    </row>
    <row r="118" spans="1:6">
      <c r="A118" s="61"/>
      <c r="B118" s="62"/>
      <c r="C118" s="63"/>
      <c r="D118" s="64"/>
      <c r="E118" s="64">
        <f t="shared" si="5"/>
        <v>0</v>
      </c>
      <c r="F118" s="65"/>
    </row>
    <row r="119" spans="1:6">
      <c r="A119" s="61"/>
      <c r="B119" s="62"/>
      <c r="C119" s="63"/>
      <c r="D119" s="64"/>
      <c r="E119" s="64">
        <f t="shared" si="5"/>
        <v>0</v>
      </c>
      <c r="F119" s="65"/>
    </row>
    <row r="120" spans="1:6" ht="15.2">
      <c r="A120" s="86"/>
      <c r="B120" s="87"/>
      <c r="C120" s="88"/>
      <c r="D120" s="89"/>
      <c r="E120" s="64">
        <f t="shared" si="5"/>
        <v>0</v>
      </c>
      <c r="F120" s="90"/>
    </row>
    <row r="121" spans="1:6" ht="15.2">
      <c r="A121" s="72" t="s">
        <v>3</v>
      </c>
      <c r="B121" s="80" t="s">
        <v>213</v>
      </c>
      <c r="C121" s="53" t="s">
        <v>151</v>
      </c>
      <c r="D121" s="53" t="s">
        <v>152</v>
      </c>
      <c r="E121" s="81">
        <f>SUM(E122:E127)</f>
        <v>3427.99</v>
      </c>
      <c r="F121" s="55" t="s">
        <v>87</v>
      </c>
    </row>
    <row r="122" spans="1:6" ht="15.2">
      <c r="A122" s="61" t="s">
        <v>126</v>
      </c>
      <c r="B122" s="62" t="s">
        <v>214</v>
      </c>
      <c r="C122" s="63" t="s">
        <v>215</v>
      </c>
      <c r="D122" s="64">
        <v>289</v>
      </c>
      <c r="E122" s="83">
        <f>+D122*C122</f>
        <v>2381.36</v>
      </c>
      <c r="F122" s="84"/>
    </row>
    <row r="123" spans="1:6" ht="15.2">
      <c r="A123" s="61" t="s">
        <v>126</v>
      </c>
      <c r="B123" s="62" t="s">
        <v>216</v>
      </c>
      <c r="C123" s="63" t="s">
        <v>138</v>
      </c>
      <c r="D123" s="64">
        <v>325</v>
      </c>
      <c r="E123" s="83">
        <f>+D123*C123</f>
        <v>650</v>
      </c>
      <c r="F123" s="65"/>
    </row>
    <row r="124" spans="1:6" ht="15.2">
      <c r="A124" s="61" t="s">
        <v>217</v>
      </c>
      <c r="B124" s="62" t="s">
        <v>218</v>
      </c>
      <c r="C124" s="63" t="s">
        <v>219</v>
      </c>
      <c r="D124" s="64">
        <v>339</v>
      </c>
      <c r="E124" s="83">
        <f>+D124*C124</f>
        <v>396.63</v>
      </c>
      <c r="F124" s="65"/>
    </row>
    <row r="125" spans="1:6" ht="15.2">
      <c r="A125" s="61"/>
      <c r="B125" s="62"/>
      <c r="C125" s="63"/>
      <c r="D125" s="64"/>
      <c r="E125" s="83">
        <f>+D125*C125</f>
        <v>0</v>
      </c>
      <c r="F125" s="65"/>
    </row>
    <row r="126" spans="1:6">
      <c r="A126" s="61"/>
      <c r="B126" s="62"/>
      <c r="C126" s="63"/>
      <c r="D126" s="64"/>
      <c r="E126" s="83">
        <f>+D126*C126</f>
        <v>0</v>
      </c>
      <c r="F126" s="65"/>
    </row>
    <row r="127" spans="1:6" ht="15.2">
      <c r="A127" s="61"/>
      <c r="B127" s="62"/>
      <c r="C127" s="63"/>
      <c r="D127" s="64"/>
      <c r="E127" s="64"/>
      <c r="F127" s="65"/>
    </row>
    <row r="128" spans="1:6" ht="15.2">
      <c r="A128" s="72" t="s">
        <v>3</v>
      </c>
      <c r="B128" s="80" t="s">
        <v>220</v>
      </c>
      <c r="C128" s="53" t="s">
        <v>151</v>
      </c>
      <c r="D128" s="53" t="s">
        <v>152</v>
      </c>
      <c r="E128" s="81">
        <f>SUM(E129:E144)</f>
        <v>467</v>
      </c>
      <c r="F128" s="55" t="s">
        <v>87</v>
      </c>
    </row>
    <row r="129" spans="1:6" ht="15.2">
      <c r="A129" s="61" t="s">
        <v>221</v>
      </c>
      <c r="B129" s="62" t="s">
        <v>222</v>
      </c>
      <c r="C129" s="63" t="s">
        <v>143</v>
      </c>
      <c r="D129" s="64">
        <v>75</v>
      </c>
      <c r="E129" s="83">
        <f>+D129*C129</f>
        <v>75</v>
      </c>
      <c r="F129" s="84"/>
    </row>
    <row r="130" spans="1:6" ht="15.2">
      <c r="A130" s="61" t="s">
        <v>221</v>
      </c>
      <c r="B130" s="62" t="s">
        <v>223</v>
      </c>
      <c r="C130" s="63" t="s">
        <v>138</v>
      </c>
      <c r="D130" s="64">
        <v>22</v>
      </c>
      <c r="E130" s="83">
        <f t="shared" ref="E130:E144" si="6">+D130*C130</f>
        <v>44</v>
      </c>
      <c r="F130" s="65"/>
    </row>
    <row r="131" spans="1:6" ht="15.2">
      <c r="A131" s="61" t="s">
        <v>221</v>
      </c>
      <c r="B131" s="62" t="s">
        <v>224</v>
      </c>
      <c r="C131" s="63" t="s">
        <v>143</v>
      </c>
      <c r="D131" s="64">
        <v>35</v>
      </c>
      <c r="E131" s="83">
        <f t="shared" si="6"/>
        <v>35</v>
      </c>
      <c r="F131" s="65"/>
    </row>
    <row r="132" spans="1:6" ht="15.2">
      <c r="A132" s="61" t="s">
        <v>81</v>
      </c>
      <c r="B132" s="62" t="s">
        <v>225</v>
      </c>
      <c r="C132" s="63" t="s">
        <v>143</v>
      </c>
      <c r="D132" s="64">
        <v>313</v>
      </c>
      <c r="E132" s="83">
        <f t="shared" si="6"/>
        <v>313</v>
      </c>
      <c r="F132" s="65"/>
    </row>
    <row r="133" spans="1:6" ht="15.2">
      <c r="A133" s="61"/>
      <c r="B133" s="62"/>
      <c r="C133" s="63"/>
      <c r="D133" s="64"/>
      <c r="E133" s="83">
        <f t="shared" si="6"/>
        <v>0</v>
      </c>
      <c r="F133" s="65"/>
    </row>
    <row r="134" spans="1:6" ht="15.2">
      <c r="A134" s="61"/>
      <c r="B134" s="62"/>
      <c r="C134" s="63"/>
      <c r="D134" s="64"/>
      <c r="E134" s="83">
        <f t="shared" si="6"/>
        <v>0</v>
      </c>
      <c r="F134" s="65"/>
    </row>
    <row r="135" spans="1:6" ht="15.2">
      <c r="A135" s="61"/>
      <c r="B135" s="62"/>
      <c r="C135" s="63"/>
      <c r="D135" s="64"/>
      <c r="E135" s="83">
        <f t="shared" si="6"/>
        <v>0</v>
      </c>
      <c r="F135" s="65"/>
    </row>
    <row r="136" spans="1:6" ht="15.2">
      <c r="A136" s="61"/>
      <c r="B136" s="62"/>
      <c r="C136" s="63"/>
      <c r="D136" s="64"/>
      <c r="E136" s="83">
        <f t="shared" si="6"/>
        <v>0</v>
      </c>
      <c r="F136" s="65"/>
    </row>
    <row r="137" spans="1:6" ht="15.2">
      <c r="A137" s="61"/>
      <c r="B137" s="62"/>
      <c r="C137" s="63"/>
      <c r="D137" s="64"/>
      <c r="E137" s="83">
        <f t="shared" si="6"/>
        <v>0</v>
      </c>
      <c r="F137" s="65"/>
    </row>
    <row r="138" spans="1:6" ht="15.2">
      <c r="A138" s="61"/>
      <c r="B138" s="62"/>
      <c r="C138" s="63"/>
      <c r="D138" s="64"/>
      <c r="E138" s="83">
        <f t="shared" si="6"/>
        <v>0</v>
      </c>
      <c r="F138" s="65"/>
    </row>
    <row r="139" spans="1:6" ht="15.2">
      <c r="A139" s="61"/>
      <c r="B139" s="62"/>
      <c r="C139" s="63"/>
      <c r="D139" s="64"/>
      <c r="E139" s="83">
        <f t="shared" si="6"/>
        <v>0</v>
      </c>
      <c r="F139" s="65"/>
    </row>
    <row r="140" spans="1:6" ht="15.2">
      <c r="A140" s="61"/>
      <c r="B140" s="62"/>
      <c r="C140" s="63"/>
      <c r="D140" s="64"/>
      <c r="E140" s="83">
        <f t="shared" si="6"/>
        <v>0</v>
      </c>
      <c r="F140" s="65"/>
    </row>
    <row r="141" spans="1:6" ht="15.2">
      <c r="A141" s="61"/>
      <c r="B141" s="62"/>
      <c r="C141" s="63"/>
      <c r="D141" s="64"/>
      <c r="E141" s="83">
        <f t="shared" si="6"/>
        <v>0</v>
      </c>
      <c r="F141" s="65"/>
    </row>
    <row r="142" spans="1:6" ht="15.2">
      <c r="A142" s="61"/>
      <c r="B142" s="62"/>
      <c r="C142" s="63"/>
      <c r="D142" s="64"/>
      <c r="E142" s="83">
        <f t="shared" si="6"/>
        <v>0</v>
      </c>
      <c r="F142" s="65"/>
    </row>
    <row r="143" spans="1:6" ht="15.2">
      <c r="A143" s="61"/>
      <c r="B143" s="62"/>
      <c r="C143" s="63"/>
      <c r="D143" s="64"/>
      <c r="E143" s="83">
        <f t="shared" si="6"/>
        <v>0</v>
      </c>
      <c r="F143" s="65"/>
    </row>
    <row r="144" spans="1:6" ht="15.2">
      <c r="A144" s="61"/>
      <c r="B144" s="62"/>
      <c r="C144" s="63"/>
      <c r="D144" s="64"/>
      <c r="E144" s="83">
        <f t="shared" si="6"/>
        <v>0</v>
      </c>
      <c r="F144" s="65"/>
    </row>
    <row r="145" spans="1:6" ht="15.2">
      <c r="A145" s="72" t="s">
        <v>3</v>
      </c>
      <c r="B145" s="80" t="s">
        <v>226</v>
      </c>
      <c r="C145" s="53" t="s">
        <v>151</v>
      </c>
      <c r="D145" s="53" t="s">
        <v>152</v>
      </c>
      <c r="E145" s="81">
        <f>SUM(E146:E160)</f>
        <v>967</v>
      </c>
      <c r="F145" s="55" t="s">
        <v>87</v>
      </c>
    </row>
    <row r="146" spans="1:6" ht="15.2">
      <c r="A146" s="61" t="s">
        <v>227</v>
      </c>
      <c r="B146" s="62" t="s">
        <v>228</v>
      </c>
      <c r="C146" s="63" t="s">
        <v>143</v>
      </c>
      <c r="D146" s="64">
        <v>137</v>
      </c>
      <c r="E146" s="83">
        <f t="shared" ref="E146:E154" si="7">+C146*D146</f>
        <v>137</v>
      </c>
      <c r="F146" s="84"/>
    </row>
    <row r="147" spans="1:6" ht="15.2">
      <c r="A147" s="61" t="s">
        <v>229</v>
      </c>
      <c r="B147" s="62" t="s">
        <v>230</v>
      </c>
      <c r="C147" s="63" t="s">
        <v>161</v>
      </c>
      <c r="D147" s="64">
        <v>60</v>
      </c>
      <c r="E147" s="83">
        <f t="shared" si="7"/>
        <v>240</v>
      </c>
      <c r="F147" s="65"/>
    </row>
    <row r="148" spans="1:6" ht="15.2">
      <c r="A148" s="61" t="s">
        <v>229</v>
      </c>
      <c r="B148" s="62" t="s">
        <v>231</v>
      </c>
      <c r="C148" s="63" t="s">
        <v>161</v>
      </c>
      <c r="D148" s="64">
        <v>95</v>
      </c>
      <c r="E148" s="83">
        <f t="shared" si="7"/>
        <v>380</v>
      </c>
      <c r="F148" s="65"/>
    </row>
    <row r="149" spans="1:6" ht="15.2">
      <c r="A149" s="61" t="s">
        <v>229</v>
      </c>
      <c r="B149" s="62" t="s">
        <v>232</v>
      </c>
      <c r="C149" s="63" t="s">
        <v>143</v>
      </c>
      <c r="D149" s="64">
        <v>80</v>
      </c>
      <c r="E149" s="83">
        <f t="shared" si="7"/>
        <v>80</v>
      </c>
      <c r="F149" s="65"/>
    </row>
    <row r="150" spans="1:6" ht="15.2">
      <c r="A150" s="61" t="s">
        <v>229</v>
      </c>
      <c r="B150" s="62" t="s">
        <v>233</v>
      </c>
      <c r="C150" s="63" t="s">
        <v>143</v>
      </c>
      <c r="D150" s="64">
        <v>130</v>
      </c>
      <c r="E150" s="83">
        <f t="shared" si="7"/>
        <v>130</v>
      </c>
      <c r="F150" s="65"/>
    </row>
    <row r="151" spans="1:6" ht="15.2">
      <c r="A151" s="61"/>
      <c r="B151" s="62"/>
      <c r="C151" s="63"/>
      <c r="D151" s="64"/>
      <c r="E151" s="83">
        <f t="shared" si="7"/>
        <v>0</v>
      </c>
      <c r="F151" s="65"/>
    </row>
    <row r="152" spans="1:6" ht="15.2">
      <c r="A152" s="61"/>
      <c r="B152" s="62"/>
      <c r="C152" s="63"/>
      <c r="D152" s="64"/>
      <c r="E152" s="83">
        <f t="shared" si="7"/>
        <v>0</v>
      </c>
      <c r="F152" s="65"/>
    </row>
    <row r="153" spans="1:6" ht="21.95" customHeight="1">
      <c r="A153" s="61"/>
      <c r="B153" s="62"/>
      <c r="C153" s="63"/>
      <c r="D153" s="64"/>
      <c r="E153" s="83">
        <f t="shared" si="7"/>
        <v>0</v>
      </c>
      <c r="F153" s="65"/>
    </row>
    <row r="154" spans="1:6" ht="15.2">
      <c r="A154" s="61"/>
      <c r="B154" s="62"/>
      <c r="C154" s="63"/>
      <c r="D154" s="64"/>
      <c r="E154" s="83">
        <f t="shared" si="7"/>
        <v>0</v>
      </c>
      <c r="F154" s="101"/>
    </row>
    <row r="155" spans="1:6">
      <c r="A155" s="61"/>
      <c r="B155" s="62"/>
      <c r="C155" s="63"/>
      <c r="D155" s="64"/>
      <c r="E155" s="83">
        <f t="shared" ref="E155:E158" si="8">+C155*D155</f>
        <v>0</v>
      </c>
      <c r="F155" s="100"/>
    </row>
    <row r="156" spans="1:6">
      <c r="A156" s="61"/>
      <c r="B156" s="62"/>
      <c r="C156" s="63"/>
      <c r="D156" s="64"/>
      <c r="E156" s="83">
        <f t="shared" si="8"/>
        <v>0</v>
      </c>
      <c r="F156" s="100"/>
    </row>
    <row r="157" spans="1:6">
      <c r="A157" s="61"/>
      <c r="B157" s="62"/>
      <c r="C157" s="63"/>
      <c r="D157" s="64"/>
      <c r="E157" s="83">
        <f t="shared" si="8"/>
        <v>0</v>
      </c>
      <c r="F157" s="100"/>
    </row>
    <row r="158" spans="1:6" ht="15.2">
      <c r="A158" s="61"/>
      <c r="B158" s="62"/>
      <c r="C158" s="63"/>
      <c r="D158" s="64"/>
      <c r="E158" s="83">
        <f t="shared" si="8"/>
        <v>0</v>
      </c>
      <c r="F158" s="100"/>
    </row>
    <row r="159" spans="1:6" ht="15.2">
      <c r="A159" s="61"/>
      <c r="B159" s="62"/>
      <c r="C159" s="63"/>
      <c r="D159" s="64"/>
      <c r="E159" s="83">
        <f t="shared" ref="E159:E167" si="9">+C159*D159</f>
        <v>0</v>
      </c>
      <c r="F159" s="65"/>
    </row>
    <row r="160" spans="1:6" ht="15.2">
      <c r="A160" s="61"/>
      <c r="B160" s="62"/>
      <c r="C160" s="63"/>
      <c r="D160" s="64"/>
      <c r="E160" s="83">
        <f t="shared" si="9"/>
        <v>0</v>
      </c>
      <c r="F160" s="65"/>
    </row>
    <row r="161" spans="1:6" ht="15.2">
      <c r="A161" s="72" t="s">
        <v>3</v>
      </c>
      <c r="B161" s="80" t="s">
        <v>234</v>
      </c>
      <c r="C161" s="53" t="s">
        <v>151</v>
      </c>
      <c r="D161" s="53" t="s">
        <v>152</v>
      </c>
      <c r="E161" s="81">
        <f>SUM(E162:E167)</f>
        <v>581.20000000000005</v>
      </c>
      <c r="F161" s="55" t="s">
        <v>87</v>
      </c>
    </row>
    <row r="162" spans="1:6" ht="15.2">
      <c r="A162" s="56" t="s">
        <v>88</v>
      </c>
      <c r="B162" s="82" t="s">
        <v>235</v>
      </c>
      <c r="C162" s="56" t="s">
        <v>138</v>
      </c>
      <c r="D162" s="83">
        <v>40.6</v>
      </c>
      <c r="E162" s="83">
        <f t="shared" si="9"/>
        <v>81.2</v>
      </c>
      <c r="F162" s="84"/>
    </row>
    <row r="163" spans="1:6" ht="15.2">
      <c r="A163" s="61" t="s">
        <v>88</v>
      </c>
      <c r="B163" s="62" t="s">
        <v>184</v>
      </c>
      <c r="C163" s="63" t="s">
        <v>143</v>
      </c>
      <c r="D163" s="64">
        <v>92</v>
      </c>
      <c r="E163" s="83">
        <f t="shared" si="9"/>
        <v>92</v>
      </c>
      <c r="F163" s="65"/>
    </row>
    <row r="164" spans="1:6" ht="15.2">
      <c r="A164" s="61" t="s">
        <v>153</v>
      </c>
      <c r="B164" s="62" t="s">
        <v>236</v>
      </c>
      <c r="C164" s="63" t="s">
        <v>143</v>
      </c>
      <c r="D164" s="64">
        <v>109</v>
      </c>
      <c r="E164" s="83">
        <f t="shared" si="9"/>
        <v>109</v>
      </c>
      <c r="F164" s="65"/>
    </row>
    <row r="165" spans="1:6" ht="15.2">
      <c r="A165" s="61" t="s">
        <v>153</v>
      </c>
      <c r="B165" s="62" t="s">
        <v>237</v>
      </c>
      <c r="C165" s="63" t="s">
        <v>138</v>
      </c>
      <c r="D165" s="64">
        <v>19</v>
      </c>
      <c r="E165" s="83">
        <f t="shared" si="9"/>
        <v>38</v>
      </c>
      <c r="F165" s="65"/>
    </row>
    <row r="166" spans="1:6" ht="15.2">
      <c r="A166" s="61" t="s">
        <v>153</v>
      </c>
      <c r="B166" s="62" t="s">
        <v>235</v>
      </c>
      <c r="C166" s="63" t="s">
        <v>238</v>
      </c>
      <c r="D166" s="64">
        <v>41</v>
      </c>
      <c r="E166" s="83">
        <f t="shared" si="9"/>
        <v>123</v>
      </c>
      <c r="F166" s="65"/>
    </row>
    <row r="167" spans="1:6" ht="15.2">
      <c r="A167" s="61" t="s">
        <v>239</v>
      </c>
      <c r="B167" s="62" t="s">
        <v>240</v>
      </c>
      <c r="C167" s="63" t="s">
        <v>143</v>
      </c>
      <c r="D167" s="64">
        <v>138</v>
      </c>
      <c r="E167" s="83">
        <f t="shared" si="9"/>
        <v>138</v>
      </c>
      <c r="F167" s="65"/>
    </row>
    <row r="168" spans="1:6" ht="15.2">
      <c r="A168" s="72" t="s">
        <v>3</v>
      </c>
      <c r="B168" s="80" t="s">
        <v>241</v>
      </c>
      <c r="C168" s="53" t="s">
        <v>151</v>
      </c>
      <c r="D168" s="53" t="s">
        <v>152</v>
      </c>
      <c r="E168" s="81">
        <f>SUM(E169:E174)</f>
        <v>0</v>
      </c>
      <c r="F168" s="55" t="s">
        <v>87</v>
      </c>
    </row>
    <row r="169" spans="1:6">
      <c r="A169" s="61"/>
      <c r="B169" s="62"/>
      <c r="C169" s="61"/>
      <c r="D169" s="62"/>
      <c r="E169" s="83">
        <f t="shared" ref="E169:E174" si="10">+C169*D169</f>
        <v>0</v>
      </c>
      <c r="F169" s="62"/>
    </row>
    <row r="170" spans="1:6" ht="15.2">
      <c r="A170" s="61"/>
      <c r="B170" s="62"/>
      <c r="C170" s="61"/>
      <c r="D170" s="62"/>
      <c r="E170" s="83">
        <f t="shared" si="10"/>
        <v>0</v>
      </c>
      <c r="F170" s="62"/>
    </row>
    <row r="171" spans="1:6" ht="15.2">
      <c r="A171" s="61"/>
      <c r="B171" s="62"/>
      <c r="C171" s="61"/>
      <c r="D171" s="62"/>
      <c r="E171" s="83">
        <f t="shared" si="10"/>
        <v>0</v>
      </c>
      <c r="F171" s="62"/>
    </row>
    <row r="172" spans="1:6" ht="15.2">
      <c r="A172" s="61"/>
      <c r="B172" s="62"/>
      <c r="C172" s="61"/>
      <c r="D172" s="62"/>
      <c r="E172" s="83">
        <f t="shared" si="10"/>
        <v>0</v>
      </c>
      <c r="F172" s="62"/>
    </row>
    <row r="173" spans="1:6" ht="15.2">
      <c r="A173" s="61"/>
      <c r="B173" s="62"/>
      <c r="C173" s="61"/>
      <c r="D173" s="62"/>
      <c r="E173" s="83">
        <f t="shared" si="10"/>
        <v>0</v>
      </c>
      <c r="F173" s="62"/>
    </row>
    <row r="174" spans="1:6" ht="15.2">
      <c r="A174" s="61"/>
      <c r="B174" s="62"/>
      <c r="C174" s="63"/>
      <c r="D174" s="64"/>
      <c r="E174" s="83">
        <f t="shared" si="10"/>
        <v>0</v>
      </c>
      <c r="F174" s="65"/>
    </row>
    <row r="175" spans="1:6" ht="15.2">
      <c r="A175" s="72" t="s">
        <v>3</v>
      </c>
      <c r="B175" s="80" t="s">
        <v>242</v>
      </c>
      <c r="C175" s="53" t="s">
        <v>151</v>
      </c>
      <c r="D175" s="53" t="s">
        <v>152</v>
      </c>
      <c r="E175" s="81">
        <f>SUM(E176:E181)</f>
        <v>2074</v>
      </c>
      <c r="F175" s="55" t="s">
        <v>87</v>
      </c>
    </row>
    <row r="176" spans="1:6">
      <c r="A176" s="61" t="s">
        <v>243</v>
      </c>
      <c r="B176" s="62" t="s">
        <v>244</v>
      </c>
      <c r="C176" s="61" t="s">
        <v>143</v>
      </c>
      <c r="D176" s="62">
        <v>1614</v>
      </c>
      <c r="E176" s="83">
        <f t="shared" ref="E176:E181" si="11">+C176*D176</f>
        <v>1614</v>
      </c>
      <c r="F176" s="84"/>
    </row>
    <row r="177" spans="1:6">
      <c r="A177" s="61" t="s">
        <v>207</v>
      </c>
      <c r="B177" s="62" t="s">
        <v>245</v>
      </c>
      <c r="C177" s="61" t="s">
        <v>143</v>
      </c>
      <c r="D177" s="62">
        <v>460</v>
      </c>
      <c r="E177" s="64">
        <f t="shared" si="11"/>
        <v>460</v>
      </c>
      <c r="F177" s="65"/>
    </row>
    <row r="178" spans="1:6">
      <c r="A178" s="61"/>
      <c r="B178" s="62"/>
      <c r="C178" s="61"/>
      <c r="D178" s="62"/>
      <c r="E178" s="64">
        <f t="shared" si="11"/>
        <v>0</v>
      </c>
      <c r="F178" s="65"/>
    </row>
    <row r="179" spans="1:6" ht="15.2">
      <c r="A179" s="61"/>
      <c r="B179" s="62"/>
      <c r="C179" s="61"/>
      <c r="D179" s="62"/>
      <c r="E179" s="64">
        <f t="shared" si="11"/>
        <v>0</v>
      </c>
      <c r="F179" s="65"/>
    </row>
    <row r="180" spans="1:6" ht="15.2">
      <c r="A180" s="61"/>
      <c r="B180" s="62"/>
      <c r="C180" s="63"/>
      <c r="D180" s="64"/>
      <c r="E180" s="83">
        <f t="shared" si="11"/>
        <v>0</v>
      </c>
      <c r="F180" s="65"/>
    </row>
    <row r="181" spans="1:6" ht="15.2">
      <c r="A181" s="61"/>
      <c r="B181" s="62"/>
      <c r="C181" s="63"/>
      <c r="D181" s="64"/>
      <c r="E181" s="83">
        <f t="shared" si="11"/>
        <v>0</v>
      </c>
      <c r="F181" s="65"/>
    </row>
    <row r="182" spans="1:6" ht="15.2">
      <c r="A182" s="72" t="s">
        <v>3</v>
      </c>
      <c r="B182" s="80" t="s">
        <v>246</v>
      </c>
      <c r="C182" s="53" t="s">
        <v>151</v>
      </c>
      <c r="D182" s="53" t="s">
        <v>152</v>
      </c>
      <c r="E182" s="81">
        <f>SUM(E183:E188)</f>
        <v>265.2</v>
      </c>
      <c r="F182" s="55" t="s">
        <v>87</v>
      </c>
    </row>
    <row r="183" spans="1:6">
      <c r="A183" s="61" t="s">
        <v>227</v>
      </c>
      <c r="B183" s="62" t="s">
        <v>235</v>
      </c>
      <c r="C183" s="63" t="s">
        <v>138</v>
      </c>
      <c r="D183" s="64">
        <v>40.6</v>
      </c>
      <c r="E183" s="102">
        <f t="shared" ref="E183:E188" si="12">+C183*D183</f>
        <v>81.2</v>
      </c>
      <c r="F183" s="84" t="s">
        <v>247</v>
      </c>
    </row>
    <row r="184" spans="1:6" ht="15.2">
      <c r="A184" s="61" t="s">
        <v>227</v>
      </c>
      <c r="B184" s="62" t="s">
        <v>248</v>
      </c>
      <c r="C184" s="63" t="s">
        <v>138</v>
      </c>
      <c r="D184" s="64">
        <v>27</v>
      </c>
      <c r="E184" s="64">
        <f t="shared" si="12"/>
        <v>54</v>
      </c>
      <c r="F184" s="65"/>
    </row>
    <row r="185" spans="1:6">
      <c r="A185" s="61" t="s">
        <v>217</v>
      </c>
      <c r="B185" s="62" t="s">
        <v>173</v>
      </c>
      <c r="C185" s="63" t="s">
        <v>143</v>
      </c>
      <c r="D185" s="64">
        <v>130</v>
      </c>
      <c r="E185" s="83">
        <f t="shared" si="12"/>
        <v>130</v>
      </c>
      <c r="F185" s="65"/>
    </row>
    <row r="186" spans="1:6">
      <c r="A186" s="61"/>
      <c r="B186" s="62"/>
      <c r="C186" s="63"/>
      <c r="D186" s="64"/>
      <c r="E186" s="64">
        <f t="shared" si="12"/>
        <v>0</v>
      </c>
      <c r="F186" s="65"/>
    </row>
    <row r="187" spans="1:6">
      <c r="A187" s="61"/>
      <c r="B187" s="62"/>
      <c r="C187" s="63"/>
      <c r="D187" s="64"/>
      <c r="E187" s="64">
        <f t="shared" si="12"/>
        <v>0</v>
      </c>
      <c r="F187" s="65"/>
    </row>
    <row r="188" spans="1:6" ht="15.2">
      <c r="A188" s="61"/>
      <c r="B188" s="62"/>
      <c r="C188" s="63"/>
      <c r="D188" s="64"/>
      <c r="E188" s="64">
        <f t="shared" si="12"/>
        <v>0</v>
      </c>
      <c r="F188" s="65"/>
    </row>
    <row r="189" spans="1:6" ht="15.2">
      <c r="A189" s="72" t="s">
        <v>3</v>
      </c>
      <c r="B189" s="80" t="s">
        <v>249</v>
      </c>
      <c r="C189" s="53" t="s">
        <v>151</v>
      </c>
      <c r="D189" s="53" t="s">
        <v>152</v>
      </c>
      <c r="E189" s="81">
        <f>SUM(E190:E195)</f>
        <v>0</v>
      </c>
      <c r="F189" s="55" t="s">
        <v>87</v>
      </c>
    </row>
    <row r="190" spans="1:6" ht="15.2">
      <c r="A190" s="56"/>
      <c r="B190" s="82"/>
      <c r="C190" s="56"/>
      <c r="D190" s="83"/>
      <c r="E190" s="83">
        <f t="shared" ref="E190:E195" si="13">+C190*D190</f>
        <v>0</v>
      </c>
      <c r="F190" s="84"/>
    </row>
    <row r="191" spans="1:6" ht="15.2">
      <c r="A191" s="61"/>
      <c r="B191" s="62"/>
      <c r="C191" s="63"/>
      <c r="D191" s="64"/>
      <c r="E191" s="83">
        <f t="shared" si="13"/>
        <v>0</v>
      </c>
      <c r="F191" s="65"/>
    </row>
    <row r="192" spans="1:6" ht="15.2">
      <c r="A192" s="61"/>
      <c r="B192" s="62"/>
      <c r="C192" s="63"/>
      <c r="D192" s="64"/>
      <c r="E192" s="83">
        <f t="shared" si="13"/>
        <v>0</v>
      </c>
      <c r="F192" s="65"/>
    </row>
    <row r="193" spans="1:6" ht="15.2">
      <c r="A193" s="61"/>
      <c r="B193" s="62"/>
      <c r="C193" s="63"/>
      <c r="D193" s="64"/>
      <c r="E193" s="83">
        <f t="shared" si="13"/>
        <v>0</v>
      </c>
      <c r="F193" s="65"/>
    </row>
    <row r="194" spans="1:6" ht="15.2">
      <c r="A194" s="61"/>
      <c r="B194" s="62"/>
      <c r="C194" s="63"/>
      <c r="D194" s="64"/>
      <c r="E194" s="83">
        <f t="shared" si="13"/>
        <v>0</v>
      </c>
      <c r="F194" s="65"/>
    </row>
    <row r="195" spans="1:6" ht="15.2">
      <c r="A195" s="61"/>
      <c r="B195" s="62"/>
      <c r="C195" s="63"/>
      <c r="D195" s="64"/>
      <c r="E195" s="83">
        <f t="shared" si="13"/>
        <v>0</v>
      </c>
      <c r="F195" s="65"/>
    </row>
    <row r="196" spans="1:6" ht="15.2">
      <c r="A196" s="72" t="s">
        <v>3</v>
      </c>
      <c r="B196" s="80" t="s">
        <v>250</v>
      </c>
      <c r="C196" s="53" t="s">
        <v>151</v>
      </c>
      <c r="D196" s="53" t="s">
        <v>152</v>
      </c>
      <c r="E196" s="81">
        <f>SUM(E197:E215)</f>
        <v>3692</v>
      </c>
      <c r="F196" s="55" t="s">
        <v>87</v>
      </c>
    </row>
    <row r="197" spans="1:6" ht="15.2">
      <c r="A197" s="61" t="s">
        <v>126</v>
      </c>
      <c r="B197" s="62" t="s">
        <v>251</v>
      </c>
      <c r="C197" s="63" t="s">
        <v>143</v>
      </c>
      <c r="D197" s="64">
        <v>300</v>
      </c>
      <c r="E197" s="83">
        <f t="shared" ref="E197:E215" si="14">+C197*D197</f>
        <v>300</v>
      </c>
      <c r="F197" s="84"/>
    </row>
    <row r="198" spans="1:6" ht="15.2">
      <c r="A198" s="61" t="s">
        <v>126</v>
      </c>
      <c r="B198" s="62" t="s">
        <v>252</v>
      </c>
      <c r="C198" s="63" t="s">
        <v>143</v>
      </c>
      <c r="D198" s="64">
        <v>50</v>
      </c>
      <c r="E198" s="83">
        <f t="shared" si="14"/>
        <v>50</v>
      </c>
      <c r="F198" s="65"/>
    </row>
    <row r="199" spans="1:6" ht="15.2">
      <c r="A199" s="61" t="s">
        <v>217</v>
      </c>
      <c r="B199" s="62" t="s">
        <v>253</v>
      </c>
      <c r="C199" s="63" t="s">
        <v>138</v>
      </c>
      <c r="D199" s="64">
        <v>270</v>
      </c>
      <c r="E199" s="83">
        <f t="shared" si="14"/>
        <v>540</v>
      </c>
      <c r="F199" s="65"/>
    </row>
    <row r="200" spans="1:6" ht="15.2">
      <c r="A200" s="61" t="s">
        <v>141</v>
      </c>
      <c r="B200" s="62" t="s">
        <v>254</v>
      </c>
      <c r="C200" s="63" t="s">
        <v>138</v>
      </c>
      <c r="D200" s="64">
        <v>294</v>
      </c>
      <c r="E200" s="83">
        <f t="shared" si="14"/>
        <v>588</v>
      </c>
      <c r="F200" s="65"/>
    </row>
    <row r="201" spans="1:6" ht="15.2">
      <c r="A201" s="61" t="s">
        <v>187</v>
      </c>
      <c r="B201" s="62" t="s">
        <v>255</v>
      </c>
      <c r="C201" s="63" t="s">
        <v>143</v>
      </c>
      <c r="D201" s="64">
        <v>833</v>
      </c>
      <c r="E201" s="83">
        <f t="shared" si="14"/>
        <v>833</v>
      </c>
      <c r="F201" s="65"/>
    </row>
    <row r="202" spans="1:6" ht="15.2">
      <c r="A202" s="61" t="s">
        <v>207</v>
      </c>
      <c r="B202" s="62" t="s">
        <v>256</v>
      </c>
      <c r="C202" s="63" t="s">
        <v>143</v>
      </c>
      <c r="D202" s="64">
        <v>304</v>
      </c>
      <c r="E202" s="83">
        <f t="shared" si="14"/>
        <v>304</v>
      </c>
      <c r="F202" s="65"/>
    </row>
    <row r="203" spans="1:6" ht="15.2">
      <c r="A203" s="61" t="s">
        <v>207</v>
      </c>
      <c r="B203" s="62" t="s">
        <v>257</v>
      </c>
      <c r="C203" s="63" t="s">
        <v>143</v>
      </c>
      <c r="D203" s="64">
        <v>877</v>
      </c>
      <c r="E203" s="83">
        <f t="shared" si="14"/>
        <v>877</v>
      </c>
      <c r="F203" s="65"/>
    </row>
    <row r="204" spans="1:6" ht="15.2">
      <c r="A204" s="61" t="s">
        <v>258</v>
      </c>
      <c r="B204" s="62" t="s">
        <v>259</v>
      </c>
      <c r="C204" s="63" t="s">
        <v>143</v>
      </c>
      <c r="D204" s="64">
        <v>200</v>
      </c>
      <c r="E204" s="83">
        <f t="shared" si="14"/>
        <v>200</v>
      </c>
      <c r="F204" s="65"/>
    </row>
    <row r="205" spans="1:6" ht="15.2">
      <c r="A205" s="61"/>
      <c r="B205" s="62"/>
      <c r="C205" s="63"/>
      <c r="D205" s="64"/>
      <c r="E205" s="83">
        <f t="shared" si="14"/>
        <v>0</v>
      </c>
      <c r="F205" s="65"/>
    </row>
    <row r="206" spans="1:6" ht="15.2">
      <c r="A206" s="61"/>
      <c r="B206" s="62"/>
      <c r="C206" s="63"/>
      <c r="D206" s="64"/>
      <c r="E206" s="83">
        <f t="shared" si="14"/>
        <v>0</v>
      </c>
      <c r="F206" s="65"/>
    </row>
    <row r="207" spans="1:6" ht="15.2">
      <c r="A207" s="61"/>
      <c r="B207" s="62"/>
      <c r="C207" s="63"/>
      <c r="D207" s="64"/>
      <c r="E207" s="83">
        <f t="shared" si="14"/>
        <v>0</v>
      </c>
      <c r="F207" s="65"/>
    </row>
    <row r="208" spans="1:6" ht="15.2">
      <c r="A208" s="61"/>
      <c r="B208" s="62"/>
      <c r="C208" s="63"/>
      <c r="D208" s="64"/>
      <c r="E208" s="83">
        <f t="shared" si="14"/>
        <v>0</v>
      </c>
      <c r="F208" s="65"/>
    </row>
    <row r="209" spans="1:6" ht="15.2">
      <c r="A209" s="61"/>
      <c r="B209" s="62"/>
      <c r="C209" s="63"/>
      <c r="D209" s="64"/>
      <c r="E209" s="83">
        <f t="shared" si="14"/>
        <v>0</v>
      </c>
      <c r="F209" s="65"/>
    </row>
    <row r="210" spans="1:6" ht="15.2">
      <c r="A210" s="61"/>
      <c r="B210" s="62"/>
      <c r="C210" s="63"/>
      <c r="D210" s="64"/>
      <c r="E210" s="83">
        <f t="shared" si="14"/>
        <v>0</v>
      </c>
      <c r="F210" s="65"/>
    </row>
    <row r="211" spans="1:6" ht="15.2">
      <c r="A211" s="61"/>
      <c r="B211" s="62"/>
      <c r="C211" s="63"/>
      <c r="D211" s="64"/>
      <c r="E211" s="83">
        <f t="shared" si="14"/>
        <v>0</v>
      </c>
      <c r="F211" s="65"/>
    </row>
    <row r="212" spans="1:6" ht="15.2">
      <c r="A212" s="61"/>
      <c r="B212" s="62"/>
      <c r="C212" s="63"/>
      <c r="D212" s="64"/>
      <c r="E212" s="83">
        <f t="shared" si="14"/>
        <v>0</v>
      </c>
      <c r="F212" s="65"/>
    </row>
    <row r="213" spans="1:6" ht="15.2">
      <c r="A213" s="61"/>
      <c r="B213" s="62"/>
      <c r="C213" s="63"/>
      <c r="D213" s="64"/>
      <c r="E213" s="83">
        <f t="shared" si="14"/>
        <v>0</v>
      </c>
      <c r="F213" s="65"/>
    </row>
    <row r="214" spans="1:6" ht="15.2">
      <c r="A214" s="61"/>
      <c r="B214" s="62"/>
      <c r="C214" s="63"/>
      <c r="D214" s="64"/>
      <c r="E214" s="83">
        <f t="shared" si="14"/>
        <v>0</v>
      </c>
      <c r="F214" s="65"/>
    </row>
    <row r="215" spans="1:6" ht="15.2">
      <c r="A215" s="61"/>
      <c r="B215" s="62"/>
      <c r="C215" s="63"/>
      <c r="D215" s="64"/>
      <c r="E215" s="83">
        <f t="shared" si="14"/>
        <v>0</v>
      </c>
      <c r="F215" s="65"/>
    </row>
    <row r="216" spans="1:6" ht="15.2">
      <c r="A216" s="72" t="s">
        <v>3</v>
      </c>
      <c r="B216" s="80" t="s">
        <v>260</v>
      </c>
      <c r="C216" s="53" t="s">
        <v>151</v>
      </c>
      <c r="D216" s="53" t="s">
        <v>152</v>
      </c>
      <c r="E216" s="81">
        <f>SUM(E217:E222)</f>
        <v>1388</v>
      </c>
      <c r="F216" s="55" t="s">
        <v>87</v>
      </c>
    </row>
    <row r="217" spans="1:6" ht="15.2">
      <c r="A217" s="61" t="s">
        <v>136</v>
      </c>
      <c r="B217" s="62" t="s">
        <v>261</v>
      </c>
      <c r="C217" s="63" t="s">
        <v>138</v>
      </c>
      <c r="D217" s="64">
        <v>255</v>
      </c>
      <c r="E217" s="83">
        <f t="shared" ref="E217:E222" si="15">+C217*D217</f>
        <v>510</v>
      </c>
      <c r="F217" s="84"/>
    </row>
    <row r="218" spans="1:6" ht="15.2">
      <c r="A218" s="61" t="s">
        <v>136</v>
      </c>
      <c r="B218" s="62" t="s">
        <v>262</v>
      </c>
      <c r="C218" s="63" t="s">
        <v>143</v>
      </c>
      <c r="D218" s="64">
        <v>290</v>
      </c>
      <c r="E218" s="83">
        <f t="shared" si="15"/>
        <v>290</v>
      </c>
      <c r="F218" s="65"/>
    </row>
    <row r="219" spans="1:6" ht="15.2">
      <c r="A219" s="61" t="s">
        <v>217</v>
      </c>
      <c r="B219" s="62" t="s">
        <v>263</v>
      </c>
      <c r="C219" s="63" t="s">
        <v>143</v>
      </c>
      <c r="D219" s="64">
        <v>50</v>
      </c>
      <c r="E219" s="83">
        <f t="shared" si="15"/>
        <v>50</v>
      </c>
      <c r="F219" s="65"/>
    </row>
    <row r="220" spans="1:6" ht="15.2">
      <c r="A220" s="61" t="s">
        <v>221</v>
      </c>
      <c r="B220" s="62" t="s">
        <v>264</v>
      </c>
      <c r="C220" s="63" t="s">
        <v>138</v>
      </c>
      <c r="D220" s="64">
        <v>50</v>
      </c>
      <c r="E220" s="83">
        <f t="shared" si="15"/>
        <v>100</v>
      </c>
      <c r="F220" s="65"/>
    </row>
    <row r="221" spans="1:6" ht="15.2">
      <c r="A221" s="61" t="s">
        <v>153</v>
      </c>
      <c r="B221" s="62" t="s">
        <v>265</v>
      </c>
      <c r="C221" s="63" t="s">
        <v>138</v>
      </c>
      <c r="D221" s="64">
        <v>50</v>
      </c>
      <c r="E221" s="83">
        <f t="shared" si="15"/>
        <v>100</v>
      </c>
      <c r="F221" s="65"/>
    </row>
    <row r="222" spans="1:6">
      <c r="A222" s="61" t="s">
        <v>207</v>
      </c>
      <c r="B222" s="62" t="s">
        <v>266</v>
      </c>
      <c r="C222" s="63" t="s">
        <v>143</v>
      </c>
      <c r="D222" s="64"/>
      <c r="E222" s="83">
        <v>338</v>
      </c>
      <c r="F222" s="65"/>
    </row>
  </sheetData>
  <mergeCells count="1">
    <mergeCell ref="A1:XFD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57"/>
  <sheetViews>
    <sheetView tabSelected="1" workbookViewId="0">
      <selection activeCell="G9" sqref="G9"/>
    </sheetView>
  </sheetViews>
  <sheetFormatPr defaultColWidth="8.875" defaultRowHeight="14.45"/>
  <cols>
    <col min="1" max="1" width="16.5" style="126" customWidth="1"/>
    <col min="2" max="2" width="23" customWidth="1"/>
    <col min="3" max="3" width="11" customWidth="1"/>
    <col min="4" max="5" width="22.875" customWidth="1"/>
    <col min="6" max="6" width="22.5" customWidth="1"/>
    <col min="7" max="7" width="9.875" customWidth="1"/>
    <col min="8" max="8" width="19.75" customWidth="1"/>
    <col min="9" max="9" width="10.5" customWidth="1"/>
  </cols>
  <sheetData>
    <row r="1" spans="1:25" ht="15.2">
      <c r="A1" s="352"/>
      <c r="B1" s="353"/>
      <c r="C1" s="353"/>
      <c r="D1" s="353"/>
      <c r="E1" s="353"/>
      <c r="F1" s="353"/>
      <c r="G1" s="353"/>
      <c r="H1" s="353"/>
      <c r="I1" s="353"/>
      <c r="J1" s="353"/>
      <c r="K1" s="353"/>
      <c r="L1" s="353"/>
      <c r="M1" s="353"/>
      <c r="N1" s="353"/>
      <c r="O1" s="353"/>
      <c r="P1" s="353"/>
      <c r="Q1" s="353"/>
      <c r="R1" s="353"/>
      <c r="S1" s="353"/>
      <c r="T1" s="353"/>
      <c r="U1" s="353"/>
      <c r="V1" s="353"/>
    </row>
    <row r="2" spans="1:25">
      <c r="B2" s="127" t="s">
        <v>267</v>
      </c>
      <c r="C2" s="128">
        <v>0</v>
      </c>
      <c r="D2" s="129" t="s">
        <v>267</v>
      </c>
      <c r="E2" s="130">
        <v>10</v>
      </c>
      <c r="F2" s="129" t="s">
        <v>267</v>
      </c>
      <c r="G2" s="130">
        <f>+E6</f>
        <v>22273.406999999999</v>
      </c>
      <c r="H2" s="129" t="s">
        <v>267</v>
      </c>
      <c r="I2" s="130"/>
    </row>
    <row r="3" spans="1:25">
      <c r="B3" s="131" t="s">
        <v>268</v>
      </c>
      <c r="C3" s="132">
        <f>46969</f>
        <v>46969</v>
      </c>
      <c r="D3" s="133" t="s">
        <v>268</v>
      </c>
      <c r="E3" s="132">
        <v>47684</v>
      </c>
      <c r="F3" s="133" t="s">
        <v>268</v>
      </c>
      <c r="G3" s="132">
        <v>38060</v>
      </c>
      <c r="H3" s="133" t="s">
        <v>268</v>
      </c>
      <c r="I3" s="132"/>
    </row>
    <row r="4" spans="1:25">
      <c r="B4" s="131" t="s">
        <v>269</v>
      </c>
      <c r="C4" s="134">
        <v>2000</v>
      </c>
      <c r="D4" s="135" t="s">
        <v>270</v>
      </c>
      <c r="E4" s="136">
        <v>49543</v>
      </c>
      <c r="F4" s="133" t="s">
        <v>269</v>
      </c>
      <c r="G4" s="134"/>
      <c r="H4" s="133" t="s">
        <v>269</v>
      </c>
      <c r="I4" s="134"/>
    </row>
    <row r="5" spans="1:25" ht="15.2">
      <c r="B5" s="137" t="s">
        <v>271</v>
      </c>
      <c r="C5" s="138">
        <f>+C9</f>
        <v>48959</v>
      </c>
      <c r="D5" s="139" t="s">
        <v>271</v>
      </c>
      <c r="E5" s="138">
        <f>75917.593-954</f>
        <v>74963.592999999993</v>
      </c>
      <c r="F5" s="139" t="s">
        <v>271</v>
      </c>
      <c r="G5" s="138">
        <f>+G9</f>
        <v>49285.925999999999</v>
      </c>
      <c r="H5" s="139" t="s">
        <v>271</v>
      </c>
      <c r="I5" s="138">
        <f>+I9</f>
        <v>0</v>
      </c>
    </row>
    <row r="6" spans="1:25" ht="15.2">
      <c r="B6" s="140" t="s">
        <v>272</v>
      </c>
      <c r="C6" s="141">
        <f>+C2+C3+C4-C5</f>
        <v>10</v>
      </c>
      <c r="D6" s="137" t="s">
        <v>272</v>
      </c>
      <c r="E6" s="141">
        <f>21319.407+954</f>
        <v>22273.406999999999</v>
      </c>
      <c r="F6" s="137" t="s">
        <v>272</v>
      </c>
      <c r="G6" s="141">
        <f>+G2+G3+G4-G5</f>
        <v>11047.481</v>
      </c>
      <c r="H6" s="137" t="s">
        <v>272</v>
      </c>
      <c r="I6" s="141">
        <f>+I2+I3+I4-I5</f>
        <v>0</v>
      </c>
    </row>
    <row r="7" spans="1:25" ht="6" customHeight="1">
      <c r="A7" s="352"/>
      <c r="B7" s="353"/>
      <c r="C7" s="353"/>
      <c r="D7" s="353"/>
      <c r="E7" s="353"/>
      <c r="F7" s="353"/>
      <c r="G7" s="353"/>
      <c r="H7" s="353"/>
      <c r="I7" s="353"/>
      <c r="J7" s="353"/>
      <c r="K7" s="353"/>
      <c r="L7" s="353"/>
      <c r="M7" s="353"/>
      <c r="N7" s="353"/>
      <c r="O7" s="353"/>
      <c r="P7" s="353"/>
      <c r="Q7" s="353"/>
      <c r="R7" s="353"/>
      <c r="S7" s="353"/>
      <c r="T7" s="353"/>
      <c r="U7" s="353"/>
      <c r="V7" s="353"/>
      <c r="W7" s="353"/>
      <c r="X7" s="353"/>
      <c r="Y7" s="353"/>
    </row>
    <row r="8" spans="1:25" ht="18" customHeight="1">
      <c r="A8" s="352"/>
      <c r="B8" s="353"/>
      <c r="C8" s="353"/>
      <c r="D8" s="353"/>
      <c r="E8" s="353"/>
      <c r="F8" s="353"/>
      <c r="G8" s="353"/>
      <c r="H8" s="353"/>
      <c r="I8" s="353"/>
      <c r="J8" s="353"/>
      <c r="K8" s="353"/>
      <c r="L8" s="353"/>
      <c r="M8" s="353"/>
      <c r="N8" s="353"/>
      <c r="O8" s="353"/>
      <c r="P8" s="353"/>
      <c r="Q8" s="353"/>
      <c r="R8" s="353"/>
      <c r="S8" s="353"/>
      <c r="T8" s="353"/>
      <c r="U8" s="353"/>
      <c r="V8" s="353"/>
      <c r="W8" s="353"/>
      <c r="X8" s="353"/>
      <c r="Y8" s="353"/>
    </row>
    <row r="9" spans="1:25" ht="15.2">
      <c r="A9" s="142" t="s">
        <v>273</v>
      </c>
      <c r="B9" s="354" t="s">
        <v>274</v>
      </c>
      <c r="C9" s="143">
        <f>SUM(C12:C53)</f>
        <v>48959</v>
      </c>
      <c r="D9" s="144" t="s">
        <v>275</v>
      </c>
      <c r="E9" s="144">
        <v>75917.592999999993</v>
      </c>
      <c r="F9" s="356" t="str">
        <f>+'CUENTAS FIJAS'!A1</f>
        <v>MAYO-23</v>
      </c>
      <c r="G9" s="145">
        <f>SUM(G12:G55)</f>
        <v>49285.925999999999</v>
      </c>
    </row>
    <row r="10" spans="1:25" ht="15.2">
      <c r="A10" s="146" t="s">
        <v>276</v>
      </c>
      <c r="B10" s="355"/>
      <c r="C10" s="147" t="s">
        <v>149</v>
      </c>
      <c r="D10" s="148"/>
      <c r="E10" s="148" t="s">
        <v>149</v>
      </c>
      <c r="F10" s="357"/>
      <c r="G10" s="149" t="s">
        <v>149</v>
      </c>
    </row>
    <row r="11" spans="1:25" s="125" customFormat="1" ht="15.2">
      <c r="A11" s="150"/>
      <c r="B11" s="151"/>
      <c r="C11" s="151"/>
      <c r="D11" s="151"/>
      <c r="E11" s="151"/>
      <c r="F11" s="152"/>
      <c r="G11" s="153"/>
    </row>
    <row r="12" spans="1:25">
      <c r="A12" s="154">
        <f t="shared" ref="A12:A16" si="0">+G12-E12</f>
        <v>0</v>
      </c>
      <c r="B12" s="155" t="s">
        <v>277</v>
      </c>
      <c r="C12" s="156">
        <v>4132</v>
      </c>
      <c r="D12" s="157" t="s">
        <v>85</v>
      </c>
      <c r="E12" s="157">
        <v>4132</v>
      </c>
      <c r="F12" s="158" t="str">
        <f>+'CUENTAS FIJAS'!C4</f>
        <v>INPUESTOS AUTOS</v>
      </c>
      <c r="G12" s="159">
        <f>+'CUENTAS FIJAS'!E4</f>
        <v>4132</v>
      </c>
    </row>
    <row r="13" spans="1:25" s="125" customFormat="1" ht="15.2">
      <c r="A13" s="160"/>
      <c r="B13" s="161"/>
      <c r="C13" s="162"/>
      <c r="D13" s="162"/>
      <c r="E13" s="162"/>
      <c r="F13" s="163"/>
      <c r="G13" s="164"/>
    </row>
    <row r="14" spans="1:25">
      <c r="A14" s="154">
        <f t="shared" si="0"/>
        <v>-5152</v>
      </c>
      <c r="B14" s="165" t="s">
        <v>278</v>
      </c>
      <c r="C14" s="166">
        <f>2380+3081+1500</f>
        <v>6961</v>
      </c>
      <c r="D14" s="166" t="s">
        <v>96</v>
      </c>
      <c r="E14" s="166">
        <v>8621.7999999999993</v>
      </c>
      <c r="F14" s="158" t="str">
        <f>+'CUENTAS FIJAS'!C9</f>
        <v>NAFTA  AUTOS</v>
      </c>
      <c r="G14" s="167">
        <f>+'CUENTAS FIJAS'!E9</f>
        <v>3469.8</v>
      </c>
    </row>
    <row r="15" spans="1:25" s="125" customFormat="1" ht="15.2">
      <c r="A15" s="160"/>
      <c r="B15" s="161"/>
      <c r="C15" s="162"/>
      <c r="D15" s="162"/>
      <c r="E15" s="162"/>
      <c r="F15" s="163"/>
      <c r="G15" s="164"/>
    </row>
    <row r="16" spans="1:25">
      <c r="A16" s="154">
        <f t="shared" si="0"/>
        <v>1384.98</v>
      </c>
      <c r="B16" s="165" t="s">
        <v>101</v>
      </c>
      <c r="C16" s="166">
        <v>5016</v>
      </c>
      <c r="D16" s="166" t="s">
        <v>101</v>
      </c>
      <c r="E16" s="166">
        <v>299</v>
      </c>
      <c r="F16" s="158" t="str">
        <f>+'CUENTAS FIJAS'!C17</f>
        <v>MANTENIMIENTO AUTOS</v>
      </c>
      <c r="G16" s="167">
        <f>+'CUENTAS FIJAS'!E17</f>
        <v>1683.98</v>
      </c>
    </row>
    <row r="17" spans="1:7" s="125" customFormat="1" ht="15.2">
      <c r="A17" s="160"/>
      <c r="B17" s="161"/>
      <c r="C17" s="162"/>
      <c r="D17" s="162"/>
      <c r="E17" s="162"/>
      <c r="F17" s="163"/>
      <c r="G17" s="164"/>
    </row>
    <row r="18" spans="1:7">
      <c r="A18" s="154">
        <f t="shared" ref="A18:A22" si="1">+G18-E18</f>
        <v>-98</v>
      </c>
      <c r="B18" s="165" t="s">
        <v>113</v>
      </c>
      <c r="C18" s="166">
        <v>5434</v>
      </c>
      <c r="D18" s="166" t="s">
        <v>113</v>
      </c>
      <c r="E18" s="166">
        <v>5118</v>
      </c>
      <c r="F18" s="158" t="str">
        <f>+'CUENTAS FIJAS'!C24</f>
        <v>CUENTAS FIJAS</v>
      </c>
      <c r="G18" s="167">
        <f>+'CUENTAS FIJAS'!E24</f>
        <v>5020</v>
      </c>
    </row>
    <row r="19" spans="1:7" s="125" customFormat="1" ht="15.2">
      <c r="A19" s="160"/>
      <c r="B19" s="161"/>
      <c r="C19" s="162"/>
      <c r="D19" s="162"/>
      <c r="E19" s="162"/>
      <c r="F19" s="163"/>
      <c r="G19" s="164"/>
    </row>
    <row r="20" spans="1:7">
      <c r="A20" s="154">
        <f t="shared" si="1"/>
        <v>630.59</v>
      </c>
      <c r="B20" s="165" t="s">
        <v>124</v>
      </c>
      <c r="C20" s="166">
        <v>4544</v>
      </c>
      <c r="D20" s="166" t="s">
        <v>124</v>
      </c>
      <c r="E20" s="166">
        <v>4416</v>
      </c>
      <c r="F20" s="158" t="str">
        <f>+'CUENTAS FIJAS'!C34</f>
        <v>OCA</v>
      </c>
      <c r="G20" s="167">
        <f>+'CUENTAS FIJAS'!E34</f>
        <v>5046.59</v>
      </c>
    </row>
    <row r="21" spans="1:7" s="125" customFormat="1" ht="15.2">
      <c r="A21" s="160"/>
      <c r="B21" s="161"/>
      <c r="C21" s="162"/>
      <c r="D21" s="162"/>
      <c r="E21" s="162"/>
      <c r="F21" s="163"/>
      <c r="G21" s="164"/>
    </row>
    <row r="22" spans="1:7">
      <c r="A22" s="154">
        <f t="shared" si="1"/>
        <v>288</v>
      </c>
      <c r="B22" s="165" t="s">
        <v>135</v>
      </c>
      <c r="C22" s="166">
        <v>2150</v>
      </c>
      <c r="D22" s="166" t="s">
        <v>135</v>
      </c>
      <c r="E22" s="166">
        <v>4214</v>
      </c>
      <c r="F22" s="158" t="str">
        <f>+'CUENTAS FIJAS'!C42</f>
        <v>SALUD</v>
      </c>
      <c r="G22" s="167">
        <f>+'CUENTAS FIJAS'!E42</f>
        <v>4502</v>
      </c>
    </row>
    <row r="23" spans="1:7" s="125" customFormat="1" ht="15.2">
      <c r="A23" s="160"/>
      <c r="B23" s="161"/>
      <c r="C23" s="162"/>
      <c r="D23" s="162"/>
      <c r="E23" s="162"/>
      <c r="F23" s="163"/>
      <c r="G23" s="164"/>
    </row>
    <row r="24" spans="1:7">
      <c r="A24" s="154">
        <f t="shared" ref="A24:A28" si="2">+G24-E24</f>
        <v>-3750.73</v>
      </c>
      <c r="B24" s="165" t="s">
        <v>150</v>
      </c>
      <c r="C24" s="166">
        <v>2849</v>
      </c>
      <c r="D24" s="166" t="s">
        <v>150</v>
      </c>
      <c r="E24" s="166">
        <v>6578.5</v>
      </c>
      <c r="F24" s="158" t="str">
        <f>+'COMPRAS MENSUALES'!B7</f>
        <v>GARZON</v>
      </c>
      <c r="G24" s="167">
        <f>+'COMPRAS MENSUALES'!E7</f>
        <v>2827.77</v>
      </c>
    </row>
    <row r="25" spans="1:7" s="125" customFormat="1" ht="15.2">
      <c r="A25" s="160"/>
      <c r="B25" s="161"/>
      <c r="C25" s="162"/>
      <c r="D25" s="162"/>
      <c r="E25" s="162"/>
      <c r="F25" s="163"/>
      <c r="G25" s="164"/>
    </row>
    <row r="26" spans="1:7">
      <c r="A26" s="154">
        <f t="shared" si="2"/>
        <v>-3143.7759999999998</v>
      </c>
      <c r="B26" s="165" t="s">
        <v>172</v>
      </c>
      <c r="C26" s="166">
        <v>6479</v>
      </c>
      <c r="D26" s="166" t="s">
        <v>172</v>
      </c>
      <c r="E26" s="166">
        <v>8808.7759999999998</v>
      </c>
      <c r="F26" s="158" t="str">
        <f>+'COMPRAS MENSUALES'!B34</f>
        <v>GEANT</v>
      </c>
      <c r="G26" s="167">
        <f>+'COMPRAS MENSUALES'!E34</f>
        <v>5665</v>
      </c>
    </row>
    <row r="27" spans="1:7" s="125" customFormat="1" ht="15.2">
      <c r="A27" s="160"/>
      <c r="B27" s="161"/>
      <c r="C27" s="162"/>
      <c r="D27" s="162"/>
      <c r="E27" s="162"/>
      <c r="F27" s="163"/>
      <c r="G27" s="164"/>
    </row>
    <row r="28" spans="1:7">
      <c r="A28" s="154">
        <f t="shared" si="2"/>
        <v>95.065999999999804</v>
      </c>
      <c r="B28" s="165" t="s">
        <v>175</v>
      </c>
      <c r="C28" s="166">
        <f>579+479+1580</f>
        <v>2638</v>
      </c>
      <c r="D28" s="166" t="s">
        <v>175</v>
      </c>
      <c r="E28" s="166">
        <v>1994.0940000000001</v>
      </c>
      <c r="F28" s="158" t="str">
        <f>+'COMPRAS MENSUALES'!B68</f>
        <v>DEVOTO</v>
      </c>
      <c r="G28" s="167">
        <f>+'COMPRAS MENSUALES'!E68</f>
        <v>2089.16</v>
      </c>
    </row>
    <row r="29" spans="1:7" s="125" customFormat="1" ht="15.2">
      <c r="A29" s="160"/>
      <c r="B29" s="161"/>
      <c r="C29" s="162"/>
      <c r="D29" s="162"/>
      <c r="E29" s="162"/>
      <c r="F29" s="163"/>
      <c r="G29" s="164"/>
    </row>
    <row r="30" spans="1:7">
      <c r="A30" s="154">
        <f t="shared" ref="A30:A34" si="3">+G30-E30</f>
        <v>40.532999999999902</v>
      </c>
      <c r="B30" s="165" t="s">
        <v>189</v>
      </c>
      <c r="C30" s="166">
        <f>559+674+795</f>
        <v>2028</v>
      </c>
      <c r="D30" s="166" t="s">
        <v>189</v>
      </c>
      <c r="E30" s="166">
        <v>1946.703</v>
      </c>
      <c r="F30" s="158" t="str">
        <f>+'COMPRAS MENSUALES'!B91</f>
        <v>FRUTAS Y VERDURAS</v>
      </c>
      <c r="G30" s="167">
        <f>+'COMPRAS MENSUALES'!E91</f>
        <v>1987.2360000000001</v>
      </c>
    </row>
    <row r="31" spans="1:7" s="125" customFormat="1" ht="15.2">
      <c r="A31" s="160"/>
      <c r="B31" s="161"/>
      <c r="C31" s="162"/>
      <c r="D31" s="162"/>
      <c r="E31" s="162"/>
      <c r="F31" s="163"/>
      <c r="G31" s="164"/>
    </row>
    <row r="32" spans="1:7">
      <c r="A32" s="154">
        <f t="shared" si="3"/>
        <v>0</v>
      </c>
      <c r="B32" s="165" t="s">
        <v>212</v>
      </c>
      <c r="C32" s="166">
        <v>1355</v>
      </c>
      <c r="D32" s="166" t="s">
        <v>212</v>
      </c>
      <c r="E32" s="166">
        <v>0</v>
      </c>
      <c r="F32" s="158" t="str">
        <f>+'COMPRAS MENSUALES'!B113</f>
        <v>DROGUERIA</v>
      </c>
      <c r="G32" s="167">
        <f>+'COMPRAS MENSUALES'!E113</f>
        <v>0</v>
      </c>
    </row>
    <row r="33" spans="1:7" s="125" customFormat="1" ht="15.2">
      <c r="A33" s="160"/>
      <c r="B33" s="161"/>
      <c r="C33" s="162"/>
      <c r="D33" s="162"/>
      <c r="E33" s="162"/>
      <c r="F33" s="163"/>
      <c r="G33" s="164"/>
    </row>
    <row r="34" spans="1:7">
      <c r="A34" s="154">
        <f t="shared" si="3"/>
        <v>-515.79</v>
      </c>
      <c r="B34" s="165" t="s">
        <v>213</v>
      </c>
      <c r="C34" s="166">
        <v>2546</v>
      </c>
      <c r="D34" s="166" t="s">
        <v>213</v>
      </c>
      <c r="E34" s="166">
        <v>3943.78</v>
      </c>
      <c r="F34" s="158" t="str">
        <f>+'COMPRAS MENSUALES'!B121</f>
        <v>CARNICERIA</v>
      </c>
      <c r="G34" s="167">
        <f>+'COMPRAS MENSUALES'!E121</f>
        <v>3427.99</v>
      </c>
    </row>
    <row r="35" spans="1:7" s="125" customFormat="1" ht="12.95" customHeight="1">
      <c r="A35" s="160"/>
      <c r="B35" s="161"/>
      <c r="C35" s="162"/>
      <c r="D35" s="162"/>
      <c r="E35" s="162"/>
      <c r="F35" s="163"/>
      <c r="G35" s="164"/>
    </row>
    <row r="36" spans="1:7">
      <c r="A36" s="154">
        <f t="shared" ref="A36:A40" si="4">+G36-E36</f>
        <v>-644.13</v>
      </c>
      <c r="B36" s="165" t="s">
        <v>220</v>
      </c>
      <c r="C36" s="166"/>
      <c r="D36" s="166" t="s">
        <v>220</v>
      </c>
      <c r="E36" s="166">
        <v>1111.1300000000001</v>
      </c>
      <c r="F36" s="158" t="str">
        <f>+'COMPRAS MENSUALES'!B128</f>
        <v>DON DOMINGO</v>
      </c>
      <c r="G36" s="167">
        <f>+'COMPRAS MENSUALES'!E128</f>
        <v>467</v>
      </c>
    </row>
    <row r="37" spans="1:7" s="125" customFormat="1" ht="15.2">
      <c r="A37" s="160"/>
      <c r="B37" s="161"/>
      <c r="C37" s="162"/>
      <c r="D37" s="162"/>
      <c r="E37" s="162"/>
      <c r="F37" s="163"/>
      <c r="G37" s="164"/>
    </row>
    <row r="38" spans="1:7">
      <c r="A38" s="154">
        <f t="shared" si="4"/>
        <v>-2583.4</v>
      </c>
      <c r="B38" s="165" t="s">
        <v>226</v>
      </c>
      <c r="C38" s="166"/>
      <c r="D38" s="166" t="s">
        <v>226</v>
      </c>
      <c r="E38" s="166">
        <v>3550.4</v>
      </c>
      <c r="F38" s="158" t="str">
        <f>+'COMPRAS MENSUALES'!B145</f>
        <v>FERIA</v>
      </c>
      <c r="G38" s="167">
        <f>+'COMPRAS MENSUALES'!E145</f>
        <v>967</v>
      </c>
    </row>
    <row r="39" spans="1:7" s="125" customFormat="1" ht="15.2">
      <c r="A39" s="160"/>
      <c r="B39" s="168"/>
      <c r="C39" s="169"/>
      <c r="D39" s="169"/>
      <c r="E39" s="169"/>
      <c r="F39" s="170"/>
      <c r="G39" s="171"/>
    </row>
    <row r="40" spans="1:7">
      <c r="A40" s="154">
        <f t="shared" si="4"/>
        <v>0</v>
      </c>
      <c r="B40" s="172" t="s">
        <v>241</v>
      </c>
      <c r="C40" s="173">
        <v>194</v>
      </c>
      <c r="D40" s="173" t="s">
        <v>241</v>
      </c>
      <c r="E40" s="173">
        <v>0</v>
      </c>
      <c r="F40" s="172" t="str">
        <f>+'COMPRAS MENSUALES'!B168</f>
        <v>TATA</v>
      </c>
      <c r="G40" s="174">
        <f>+'COMPRAS MENSUALES'!E168</f>
        <v>0</v>
      </c>
    </row>
    <row r="41" spans="1:7" s="125" customFormat="1" ht="15.2">
      <c r="A41" s="160"/>
      <c r="B41" s="175"/>
      <c r="C41" s="176"/>
      <c r="D41" s="176"/>
      <c r="E41" s="176"/>
      <c r="F41" s="175"/>
      <c r="G41" s="177"/>
    </row>
    <row r="42" spans="1:7">
      <c r="A42" s="154">
        <f t="shared" ref="A42:A46" si="5">+G42-E42</f>
        <v>-312.8</v>
      </c>
      <c r="B42" s="172" t="s">
        <v>246</v>
      </c>
      <c r="C42" s="173">
        <v>209</v>
      </c>
      <c r="D42" s="173" t="s">
        <v>246</v>
      </c>
      <c r="E42" s="173">
        <v>578</v>
      </c>
      <c r="F42" s="172" t="str">
        <f>+'COMPRAS MENSUALES'!B182</f>
        <v>TIENDA INGLESA</v>
      </c>
      <c r="G42" s="174">
        <f>+'COMPRAS MENSUALES'!E182</f>
        <v>265.2</v>
      </c>
    </row>
    <row r="43" spans="1:7" s="125" customFormat="1" ht="15.2">
      <c r="A43" s="160"/>
      <c r="B43" s="175"/>
      <c r="C43" s="176"/>
      <c r="D43" s="176"/>
      <c r="E43" s="176"/>
      <c r="F43" s="175"/>
      <c r="G43" s="177"/>
    </row>
    <row r="44" spans="1:7">
      <c r="A44" s="154">
        <f t="shared" si="5"/>
        <v>581.20000000000005</v>
      </c>
      <c r="B44" s="172" t="s">
        <v>234</v>
      </c>
      <c r="C44" s="173">
        <v>545</v>
      </c>
      <c r="D44" s="173" t="s">
        <v>234</v>
      </c>
      <c r="E44" s="173">
        <v>0</v>
      </c>
      <c r="F44" s="172" t="str">
        <f>+'COMPRAS MENSUALES'!B161</f>
        <v>KIKO</v>
      </c>
      <c r="G44" s="174">
        <f>+'COMPRAS MENSUALES'!E161</f>
        <v>581.20000000000005</v>
      </c>
    </row>
    <row r="45" spans="1:7" s="125" customFormat="1" ht="15.2">
      <c r="A45" s="160"/>
      <c r="B45" s="175"/>
      <c r="C45" s="176"/>
      <c r="D45" s="176"/>
      <c r="E45" s="176"/>
      <c r="F45" s="175"/>
      <c r="G45" s="178"/>
    </row>
    <row r="46" spans="1:7">
      <c r="A46" s="154">
        <f t="shared" si="5"/>
        <v>1317</v>
      </c>
      <c r="B46" s="172" t="s">
        <v>279</v>
      </c>
      <c r="C46" s="173">
        <v>265</v>
      </c>
      <c r="D46" s="173" t="s">
        <v>242</v>
      </c>
      <c r="E46" s="173">
        <v>757</v>
      </c>
      <c r="F46" s="172" t="str">
        <f>+'COMPRAS MENSUALES'!B175</f>
        <v>SUPERMERCADO DEL PASO</v>
      </c>
      <c r="G46" s="174">
        <f>+'COMPRAS MENSUALES'!E175</f>
        <v>2074</v>
      </c>
    </row>
    <row r="47" spans="1:7" s="125" customFormat="1" ht="15.2">
      <c r="A47" s="160"/>
      <c r="B47" s="175"/>
      <c r="C47" s="176"/>
      <c r="D47" s="176"/>
      <c r="E47" s="176"/>
      <c r="F47" s="175"/>
      <c r="G47" s="177"/>
    </row>
    <row r="48" spans="1:7">
      <c r="A48" s="154">
        <f t="shared" ref="A48:A52" si="6">+G48-E48</f>
        <v>0</v>
      </c>
      <c r="B48" s="172" t="s">
        <v>280</v>
      </c>
      <c r="C48" s="173">
        <v>1208</v>
      </c>
      <c r="D48" s="173" t="s">
        <v>249</v>
      </c>
      <c r="E48" s="173">
        <v>0</v>
      </c>
      <c r="F48" s="172" t="str">
        <f>+'COMPRAS MENSUALES'!B189</f>
        <v>BOLSAS ROMY</v>
      </c>
      <c r="G48" s="174">
        <f>+'COMPRAS MENSUALES'!E189</f>
        <v>0</v>
      </c>
    </row>
    <row r="49" spans="1:25" s="125" customFormat="1" ht="15.2">
      <c r="A49" s="160"/>
      <c r="B49" s="133"/>
      <c r="C49" s="176"/>
      <c r="D49" s="176"/>
      <c r="E49" s="176"/>
      <c r="F49" s="133"/>
      <c r="G49" s="177"/>
    </row>
    <row r="50" spans="1:25">
      <c r="A50" s="154">
        <f t="shared" si="6"/>
        <v>-1372.49</v>
      </c>
      <c r="B50" s="172" t="s">
        <v>281</v>
      </c>
      <c r="C50" s="173">
        <v>258</v>
      </c>
      <c r="D50" s="173" t="s">
        <v>260</v>
      </c>
      <c r="E50" s="173">
        <v>2760.49</v>
      </c>
      <c r="F50" s="172" t="str">
        <f>+'COMPRAS MENSUALES'!B216</f>
        <v>SALIDAS</v>
      </c>
      <c r="G50" s="174">
        <f>+'COMPRAS MENSUALES'!E216</f>
        <v>1388</v>
      </c>
    </row>
    <row r="51" spans="1:25" s="125" customFormat="1" ht="15.2">
      <c r="A51" s="160"/>
      <c r="B51" s="133"/>
      <c r="C51" s="176"/>
      <c r="D51" s="176"/>
      <c r="E51" s="176"/>
      <c r="F51" s="133"/>
      <c r="G51" s="177"/>
    </row>
    <row r="52" spans="1:25">
      <c r="A52" s="154">
        <f t="shared" si="6"/>
        <v>-10533.92</v>
      </c>
      <c r="B52" s="172" t="s">
        <v>282</v>
      </c>
      <c r="C52" s="173">
        <v>148</v>
      </c>
      <c r="D52" s="173" t="s">
        <v>250</v>
      </c>
      <c r="E52" s="173">
        <v>14225.92</v>
      </c>
      <c r="F52" s="172" t="str">
        <f>+'COMPRAS MENSUALES'!B196</f>
        <v>ESCOLARES y MANTENIMIENTO CASA</v>
      </c>
      <c r="G52" s="174">
        <f>+'COMPRAS MENSUALES'!E196</f>
        <v>3692</v>
      </c>
    </row>
    <row r="53" spans="1:25" s="125" customFormat="1">
      <c r="A53" s="179"/>
      <c r="B53" s="180"/>
      <c r="C53" s="181"/>
      <c r="D53" s="181"/>
      <c r="E53" s="181"/>
      <c r="F53" s="182"/>
      <c r="G53" s="183"/>
    </row>
    <row r="54" spans="1:25" ht="15.2">
      <c r="A54" s="184"/>
      <c r="B54" s="87"/>
      <c r="C54" s="87"/>
      <c r="D54" s="87"/>
      <c r="E54" s="87"/>
      <c r="F54" s="101"/>
      <c r="G54" s="90"/>
    </row>
    <row r="55" spans="1:25" ht="15.2">
      <c r="A55" s="154">
        <f>+G55-E55</f>
        <v>-954</v>
      </c>
      <c r="B55" s="181"/>
      <c r="C55" s="181"/>
      <c r="D55" s="181" t="s">
        <v>148</v>
      </c>
      <c r="E55" s="181">
        <v>954</v>
      </c>
      <c r="F55" s="139" t="str">
        <f>+'CUENTAS FIJAS'!C51</f>
        <v>GARRAFA</v>
      </c>
      <c r="G55" s="185">
        <f>+'CUENTAS FIJAS'!E51</f>
        <v>0</v>
      </c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</row>
    <row r="57" spans="1:25">
      <c r="G57" s="102"/>
    </row>
  </sheetData>
  <mergeCells count="4">
    <mergeCell ref="A1:V1"/>
    <mergeCell ref="B9:B10"/>
    <mergeCell ref="F9:F10"/>
    <mergeCell ref="A7:Y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6"/>
  <sheetViews>
    <sheetView workbookViewId="0">
      <selection activeCell="G16" sqref="G16"/>
    </sheetView>
  </sheetViews>
  <sheetFormatPr defaultColWidth="8.875" defaultRowHeight="14.45"/>
  <cols>
    <col min="1" max="1" width="7.125" customWidth="1"/>
    <col min="2" max="2" width="73" customWidth="1"/>
    <col min="3" max="3" width="48.875" customWidth="1"/>
    <col min="5" max="5" width="10.625" customWidth="1"/>
    <col min="6" max="6" width="73.75" customWidth="1"/>
  </cols>
  <sheetData>
    <row r="1" spans="1:6" ht="15.2">
      <c r="E1" s="50" t="s">
        <v>149</v>
      </c>
    </row>
    <row r="2" spans="1:6" ht="16.350000000000001">
      <c r="A2" s="51" t="s">
        <v>3</v>
      </c>
      <c r="B2" s="52" t="s">
        <v>150</v>
      </c>
      <c r="C2" s="53" t="s">
        <v>151</v>
      </c>
      <c r="D2" s="53" t="s">
        <v>152</v>
      </c>
      <c r="E2" s="54" t="e">
        <f>SUM(E3:E28)</f>
        <v>#VALUE!</v>
      </c>
      <c r="F2" s="55" t="s">
        <v>87</v>
      </c>
    </row>
    <row r="3" spans="1:6">
      <c r="A3" s="56" t="s">
        <v>283</v>
      </c>
      <c r="B3" s="57" t="s">
        <v>284</v>
      </c>
      <c r="C3" s="58" t="s">
        <v>143</v>
      </c>
      <c r="D3" s="59">
        <v>82</v>
      </c>
      <c r="E3" s="59">
        <f t="shared" ref="E3:E26" si="0">+C3*D3</f>
        <v>82</v>
      </c>
      <c r="F3" s="60"/>
    </row>
    <row r="4" spans="1:6">
      <c r="A4" s="61" t="s">
        <v>283</v>
      </c>
      <c r="B4" s="62" t="s">
        <v>285</v>
      </c>
      <c r="C4" s="63" t="s">
        <v>143</v>
      </c>
      <c r="D4" s="64">
        <v>255</v>
      </c>
      <c r="E4" s="59">
        <f t="shared" si="0"/>
        <v>255</v>
      </c>
      <c r="F4" s="65"/>
    </row>
    <row r="5" spans="1:6">
      <c r="A5" s="61" t="s">
        <v>283</v>
      </c>
      <c r="B5" s="66" t="s">
        <v>286</v>
      </c>
      <c r="C5" s="63"/>
      <c r="D5" s="64"/>
      <c r="E5" s="59">
        <f t="shared" si="0"/>
        <v>0</v>
      </c>
      <c r="F5" s="67" t="s">
        <v>287</v>
      </c>
    </row>
    <row r="6" spans="1:6">
      <c r="A6" s="61" t="s">
        <v>288</v>
      </c>
      <c r="B6" s="62" t="s">
        <v>289</v>
      </c>
      <c r="C6" s="63" t="s">
        <v>290</v>
      </c>
      <c r="D6" s="64">
        <v>20</v>
      </c>
      <c r="E6" s="59">
        <f t="shared" si="0"/>
        <v>160</v>
      </c>
      <c r="F6" s="65"/>
    </row>
    <row r="7" spans="1:6">
      <c r="A7" s="61" t="s">
        <v>291</v>
      </c>
      <c r="B7" s="62" t="s">
        <v>292</v>
      </c>
      <c r="C7" s="63" t="s">
        <v>161</v>
      </c>
      <c r="D7" s="64">
        <v>54.5</v>
      </c>
      <c r="E7" s="59">
        <f t="shared" si="0"/>
        <v>218</v>
      </c>
      <c r="F7" s="65"/>
    </row>
    <row r="8" spans="1:6">
      <c r="A8" s="61" t="s">
        <v>283</v>
      </c>
      <c r="B8" s="62" t="s">
        <v>293</v>
      </c>
      <c r="C8" s="63" t="s">
        <v>143</v>
      </c>
      <c r="D8" s="64">
        <v>358</v>
      </c>
      <c r="E8" s="59">
        <f t="shared" si="0"/>
        <v>358</v>
      </c>
      <c r="F8" s="65" t="s">
        <v>294</v>
      </c>
    </row>
    <row r="9" spans="1:6">
      <c r="A9" s="61" t="s">
        <v>283</v>
      </c>
      <c r="B9" s="62" t="s">
        <v>160</v>
      </c>
      <c r="C9" s="63" t="s">
        <v>161</v>
      </c>
      <c r="D9" s="64">
        <v>14.5</v>
      </c>
      <c r="E9" s="59">
        <f t="shared" si="0"/>
        <v>58</v>
      </c>
      <c r="F9" s="65"/>
    </row>
    <row r="10" spans="1:6">
      <c r="A10" s="61" t="s">
        <v>283</v>
      </c>
      <c r="B10" s="62" t="s">
        <v>295</v>
      </c>
      <c r="C10" s="63" t="s">
        <v>143</v>
      </c>
      <c r="D10" s="64">
        <v>199</v>
      </c>
      <c r="E10" s="59">
        <f t="shared" si="0"/>
        <v>199</v>
      </c>
      <c r="F10" s="65"/>
    </row>
    <row r="11" spans="1:6">
      <c r="A11" s="61" t="s">
        <v>283</v>
      </c>
      <c r="B11" s="62" t="s">
        <v>296</v>
      </c>
      <c r="C11" s="63" t="s">
        <v>138</v>
      </c>
      <c r="D11" s="64">
        <v>295</v>
      </c>
      <c r="E11" s="59">
        <f t="shared" si="0"/>
        <v>590</v>
      </c>
      <c r="F11" s="65"/>
    </row>
    <row r="12" spans="1:6">
      <c r="A12" s="61" t="s">
        <v>283</v>
      </c>
      <c r="B12" s="65" t="s">
        <v>297</v>
      </c>
      <c r="C12" s="63" t="s">
        <v>143</v>
      </c>
      <c r="D12" s="68">
        <v>320</v>
      </c>
      <c r="E12" s="59">
        <f t="shared" si="0"/>
        <v>320</v>
      </c>
      <c r="F12" s="65"/>
    </row>
    <row r="13" spans="1:6">
      <c r="A13" s="61" t="s">
        <v>283</v>
      </c>
      <c r="B13" s="62" t="s">
        <v>298</v>
      </c>
      <c r="C13" s="63" t="s">
        <v>138</v>
      </c>
      <c r="D13" s="64">
        <v>145</v>
      </c>
      <c r="E13" s="59">
        <f t="shared" si="0"/>
        <v>290</v>
      </c>
      <c r="F13" s="65"/>
    </row>
    <row r="14" spans="1:6">
      <c r="A14" s="61" t="s">
        <v>283</v>
      </c>
      <c r="B14" s="62" t="s">
        <v>162</v>
      </c>
      <c r="C14" s="63" t="s">
        <v>161</v>
      </c>
      <c r="D14" s="64">
        <v>49.5</v>
      </c>
      <c r="E14" s="59">
        <f t="shared" si="0"/>
        <v>198</v>
      </c>
      <c r="F14" s="65"/>
    </row>
    <row r="15" spans="1:6">
      <c r="A15" s="61" t="s">
        <v>283</v>
      </c>
      <c r="B15" s="62" t="s">
        <v>163</v>
      </c>
      <c r="C15" s="63" t="s">
        <v>299</v>
      </c>
      <c r="D15" s="64">
        <v>439</v>
      </c>
      <c r="E15" s="59" t="e">
        <f t="shared" si="0"/>
        <v>#VALUE!</v>
      </c>
      <c r="F15" s="65"/>
    </row>
    <row r="16" spans="1:6">
      <c r="A16" s="61" t="s">
        <v>283</v>
      </c>
      <c r="B16" s="62" t="s">
        <v>300</v>
      </c>
      <c r="C16" s="63" t="s">
        <v>301</v>
      </c>
      <c r="D16" s="64">
        <v>369</v>
      </c>
      <c r="E16" s="59">
        <f t="shared" si="0"/>
        <v>671580</v>
      </c>
      <c r="F16" s="65"/>
    </row>
    <row r="17" spans="1:6">
      <c r="A17" s="61" t="s">
        <v>283</v>
      </c>
      <c r="B17" s="62" t="s">
        <v>302</v>
      </c>
      <c r="C17" s="63" t="s">
        <v>303</v>
      </c>
      <c r="D17" s="64">
        <v>265</v>
      </c>
      <c r="E17" s="59">
        <f t="shared" si="0"/>
        <v>561800</v>
      </c>
      <c r="F17" s="65"/>
    </row>
    <row r="18" spans="1:6">
      <c r="A18" s="61" t="s">
        <v>283</v>
      </c>
      <c r="B18" s="62" t="s">
        <v>304</v>
      </c>
      <c r="C18" s="63" t="s">
        <v>138</v>
      </c>
      <c r="D18" s="64">
        <v>74</v>
      </c>
      <c r="E18" s="59">
        <f t="shared" si="0"/>
        <v>148</v>
      </c>
      <c r="F18" s="65"/>
    </row>
    <row r="19" spans="1:6">
      <c r="A19" s="61" t="s">
        <v>283</v>
      </c>
      <c r="B19" s="62" t="s">
        <v>305</v>
      </c>
      <c r="C19" s="63" t="s">
        <v>306</v>
      </c>
      <c r="D19" s="64">
        <v>365</v>
      </c>
      <c r="E19" s="59" t="e">
        <f t="shared" si="0"/>
        <v>#VALUE!</v>
      </c>
      <c r="F19" s="65"/>
    </row>
    <row r="20" spans="1:6">
      <c r="A20" s="61" t="s">
        <v>283</v>
      </c>
      <c r="B20" s="62" t="s">
        <v>307</v>
      </c>
      <c r="C20" s="63" t="s">
        <v>143</v>
      </c>
      <c r="D20" s="64">
        <v>439.9</v>
      </c>
      <c r="E20" s="59">
        <f t="shared" si="0"/>
        <v>439.9</v>
      </c>
      <c r="F20" s="65"/>
    </row>
    <row r="21" spans="1:6">
      <c r="A21" s="61" t="s">
        <v>283</v>
      </c>
      <c r="B21" s="62" t="s">
        <v>308</v>
      </c>
      <c r="C21" s="63" t="s">
        <v>143</v>
      </c>
      <c r="D21" s="64">
        <v>350</v>
      </c>
      <c r="E21" s="59">
        <f t="shared" si="0"/>
        <v>350</v>
      </c>
      <c r="F21" s="65"/>
    </row>
    <row r="22" spans="1:6">
      <c r="A22" s="61" t="s">
        <v>309</v>
      </c>
      <c r="B22" s="62" t="s">
        <v>305</v>
      </c>
      <c r="C22" s="63" t="s">
        <v>306</v>
      </c>
      <c r="D22" s="64">
        <v>365</v>
      </c>
      <c r="E22" s="59" t="e">
        <f t="shared" si="0"/>
        <v>#VALUE!</v>
      </c>
      <c r="F22" s="65"/>
    </row>
    <row r="23" spans="1:6">
      <c r="A23" s="61" t="s">
        <v>310</v>
      </c>
      <c r="B23" s="62" t="s">
        <v>305</v>
      </c>
      <c r="C23" s="63" t="s">
        <v>306</v>
      </c>
      <c r="D23" s="64">
        <v>379</v>
      </c>
      <c r="E23" s="59" t="e">
        <f t="shared" si="0"/>
        <v>#VALUE!</v>
      </c>
      <c r="F23" s="65"/>
    </row>
    <row r="24" spans="1:6">
      <c r="A24" s="61" t="s">
        <v>310</v>
      </c>
      <c r="B24" s="62" t="s">
        <v>311</v>
      </c>
      <c r="C24" s="63" t="s">
        <v>312</v>
      </c>
      <c r="D24" s="64">
        <v>288</v>
      </c>
      <c r="E24" s="59" t="e">
        <f t="shared" si="0"/>
        <v>#VALUE!</v>
      </c>
      <c r="F24" s="65"/>
    </row>
    <row r="25" spans="1:6">
      <c r="A25" s="61" t="s">
        <v>310</v>
      </c>
      <c r="B25" s="62" t="s">
        <v>313</v>
      </c>
      <c r="C25" s="63" t="s">
        <v>161</v>
      </c>
      <c r="D25" s="64">
        <v>49.5</v>
      </c>
      <c r="E25" s="59">
        <f t="shared" si="0"/>
        <v>198</v>
      </c>
      <c r="F25" s="65"/>
    </row>
    <row r="26" spans="1:6">
      <c r="A26" s="61" t="s">
        <v>310</v>
      </c>
      <c r="B26" s="62" t="s">
        <v>314</v>
      </c>
      <c r="C26" s="63" t="s">
        <v>143</v>
      </c>
      <c r="D26" s="64">
        <v>399</v>
      </c>
      <c r="E26" s="59">
        <f t="shared" si="0"/>
        <v>399</v>
      </c>
      <c r="F26" s="65"/>
    </row>
    <row r="27" spans="1:6">
      <c r="A27" s="61"/>
      <c r="B27" s="62"/>
      <c r="C27" s="63"/>
      <c r="D27" s="64"/>
      <c r="E27" s="59"/>
      <c r="F27" s="65"/>
    </row>
    <row r="28" spans="1:6" ht="15.2">
      <c r="A28" s="69"/>
      <c r="B28" s="70"/>
      <c r="C28" s="69"/>
      <c r="D28" s="71"/>
      <c r="E28" s="59"/>
      <c r="F28" s="70"/>
    </row>
    <row r="29" spans="1:6" ht="16.350000000000001">
      <c r="A29" s="72" t="s">
        <v>3</v>
      </c>
      <c r="B29" s="52" t="s">
        <v>172</v>
      </c>
      <c r="C29" s="53" t="s">
        <v>151</v>
      </c>
      <c r="D29" s="53" t="s">
        <v>152</v>
      </c>
      <c r="E29" s="54">
        <f>SUM(E30:E62)</f>
        <v>1541730.32</v>
      </c>
      <c r="F29" s="55" t="s">
        <v>87</v>
      </c>
    </row>
    <row r="30" spans="1:6">
      <c r="A30" s="73" t="s">
        <v>283</v>
      </c>
      <c r="B30" s="74" t="s">
        <v>315</v>
      </c>
      <c r="C30" s="73" t="s">
        <v>143</v>
      </c>
      <c r="D30" s="59">
        <v>189</v>
      </c>
      <c r="E30" s="59">
        <f>+D30-18.9*C30</f>
        <v>170.1</v>
      </c>
      <c r="F30" s="60" t="s">
        <v>316</v>
      </c>
    </row>
    <row r="31" spans="1:6">
      <c r="A31" s="73" t="s">
        <v>283</v>
      </c>
      <c r="B31" s="62" t="s">
        <v>317</v>
      </c>
      <c r="C31" s="61" t="s">
        <v>318</v>
      </c>
      <c r="D31" s="64">
        <v>25</v>
      </c>
      <c r="E31" s="75">
        <f>25*5-35</f>
        <v>90</v>
      </c>
      <c r="F31" s="65"/>
    </row>
    <row r="32" spans="1:6">
      <c r="A32" s="73" t="s">
        <v>283</v>
      </c>
      <c r="B32" s="62" t="s">
        <v>319</v>
      </c>
      <c r="C32" s="61" t="s">
        <v>161</v>
      </c>
      <c r="D32" s="64">
        <v>53</v>
      </c>
      <c r="E32" s="76">
        <f>+C32*D32-21.2</f>
        <v>190.8</v>
      </c>
      <c r="F32" s="65"/>
    </row>
    <row r="33" spans="1:6">
      <c r="A33" s="73" t="s">
        <v>283</v>
      </c>
      <c r="B33" s="62" t="s">
        <v>320</v>
      </c>
      <c r="C33" s="61" t="s">
        <v>138</v>
      </c>
      <c r="D33" s="64">
        <v>209</v>
      </c>
      <c r="E33" s="76">
        <f>+C33*D33-58.9</f>
        <v>359.1</v>
      </c>
      <c r="F33" s="65" t="s">
        <v>321</v>
      </c>
    </row>
    <row r="34" spans="1:6">
      <c r="A34" s="73" t="s">
        <v>283</v>
      </c>
      <c r="B34" s="62" t="s">
        <v>322</v>
      </c>
      <c r="C34" s="61" t="s">
        <v>143</v>
      </c>
      <c r="D34" s="64">
        <v>274</v>
      </c>
      <c r="E34" s="76">
        <f>+C34*D34-27.4</f>
        <v>246.6</v>
      </c>
      <c r="F34" s="65"/>
    </row>
    <row r="35" spans="1:6">
      <c r="A35" s="73" t="s">
        <v>283</v>
      </c>
      <c r="B35" s="62" t="s">
        <v>323</v>
      </c>
      <c r="C35" s="61" t="s">
        <v>143</v>
      </c>
      <c r="D35" s="64">
        <v>162</v>
      </c>
      <c r="E35" s="76">
        <f>+C35*D35-16.2</f>
        <v>145.80000000000001</v>
      </c>
      <c r="F35" s="65"/>
    </row>
    <row r="36" spans="1:6">
      <c r="A36" s="73" t="s">
        <v>283</v>
      </c>
      <c r="B36" s="62" t="s">
        <v>324</v>
      </c>
      <c r="C36" s="61" t="s">
        <v>138</v>
      </c>
      <c r="D36" s="64">
        <v>60</v>
      </c>
      <c r="E36" s="76">
        <f>+C36*D36-12</f>
        <v>108</v>
      </c>
      <c r="F36" s="65"/>
    </row>
    <row r="37" spans="1:6">
      <c r="A37" s="73" t="s">
        <v>283</v>
      </c>
      <c r="B37" s="62" t="s">
        <v>325</v>
      </c>
      <c r="C37" s="61" t="s">
        <v>138</v>
      </c>
      <c r="D37" s="64">
        <v>56</v>
      </c>
      <c r="E37" s="76">
        <f>+C37*D37-11.2</f>
        <v>100.8</v>
      </c>
      <c r="F37" s="65"/>
    </row>
    <row r="38" spans="1:6">
      <c r="A38" s="73" t="s">
        <v>283</v>
      </c>
      <c r="B38" s="62" t="s">
        <v>326</v>
      </c>
      <c r="C38" s="61" t="s">
        <v>143</v>
      </c>
      <c r="D38" s="64">
        <v>190</v>
      </c>
      <c r="E38" s="64">
        <f>+C38*D38-19</f>
        <v>171</v>
      </c>
      <c r="F38" s="65"/>
    </row>
    <row r="39" spans="1:6">
      <c r="A39" s="73" t="s">
        <v>283</v>
      </c>
      <c r="B39" s="77" t="s">
        <v>327</v>
      </c>
      <c r="C39" s="69" t="s">
        <v>143</v>
      </c>
      <c r="D39" s="78">
        <v>49</v>
      </c>
      <c r="E39" s="78">
        <f>1*49-4.9</f>
        <v>44.1</v>
      </c>
      <c r="F39" s="65"/>
    </row>
    <row r="40" spans="1:6">
      <c r="A40" s="73" t="s">
        <v>283</v>
      </c>
      <c r="B40" s="77" t="s">
        <v>328</v>
      </c>
      <c r="C40" s="69" t="s">
        <v>138</v>
      </c>
      <c r="D40" s="78">
        <v>129</v>
      </c>
      <c r="E40" s="78">
        <f>+C40*D40-25.8</f>
        <v>232.2</v>
      </c>
      <c r="F40" s="65" t="s">
        <v>329</v>
      </c>
    </row>
    <row r="41" spans="1:6">
      <c r="A41" s="73" t="s">
        <v>283</v>
      </c>
      <c r="B41" s="77" t="s">
        <v>330</v>
      </c>
      <c r="C41" s="69" t="s">
        <v>138</v>
      </c>
      <c r="D41" s="78">
        <v>599</v>
      </c>
      <c r="E41" s="78">
        <f>+C41*D41-119.8</f>
        <v>1078.2</v>
      </c>
      <c r="F41" s="65"/>
    </row>
    <row r="42" spans="1:6">
      <c r="A42" s="73" t="s">
        <v>283</v>
      </c>
      <c r="B42" s="77" t="s">
        <v>331</v>
      </c>
      <c r="C42" s="69" t="s">
        <v>238</v>
      </c>
      <c r="D42" s="78">
        <v>40.6</v>
      </c>
      <c r="E42" s="78">
        <f>+C42*D42-12.18</f>
        <v>109.62</v>
      </c>
      <c r="F42" s="65"/>
    </row>
    <row r="43" spans="1:6">
      <c r="A43" s="73" t="s">
        <v>283</v>
      </c>
      <c r="B43" s="77" t="s">
        <v>332</v>
      </c>
      <c r="C43" s="69" t="s">
        <v>143</v>
      </c>
      <c r="D43" s="78">
        <v>324</v>
      </c>
      <c r="E43" s="78">
        <f>+C43*D43-32.4</f>
        <v>291.60000000000002</v>
      </c>
      <c r="F43" s="65"/>
    </row>
    <row r="44" spans="1:6">
      <c r="A44" s="73" t="s">
        <v>283</v>
      </c>
      <c r="B44" s="77" t="s">
        <v>181</v>
      </c>
      <c r="C44" s="69" t="s">
        <v>333</v>
      </c>
      <c r="D44" s="78">
        <v>329</v>
      </c>
      <c r="E44" s="78">
        <f>+C44*D44-153.45</f>
        <v>1534302.55</v>
      </c>
      <c r="F44" s="65"/>
    </row>
    <row r="45" spans="1:6">
      <c r="A45" s="73" t="s">
        <v>283</v>
      </c>
      <c r="B45" s="77" t="s">
        <v>334</v>
      </c>
      <c r="C45" s="69" t="s">
        <v>143</v>
      </c>
      <c r="D45" s="78">
        <v>119</v>
      </c>
      <c r="E45" s="78">
        <f>+C45*D45-11.9</f>
        <v>107.1</v>
      </c>
      <c r="F45" s="65"/>
    </row>
    <row r="46" spans="1:6">
      <c r="A46" s="73" t="s">
        <v>283</v>
      </c>
      <c r="B46" s="77" t="s">
        <v>335</v>
      </c>
      <c r="C46" s="69" t="s">
        <v>143</v>
      </c>
      <c r="D46" s="78">
        <v>297</v>
      </c>
      <c r="E46" s="78">
        <f>+C46*D46-29.7</f>
        <v>267.3</v>
      </c>
      <c r="F46" s="65"/>
    </row>
    <row r="47" spans="1:6">
      <c r="A47" s="73" t="s">
        <v>283</v>
      </c>
      <c r="B47" s="77" t="s">
        <v>336</v>
      </c>
      <c r="C47" s="69" t="s">
        <v>143</v>
      </c>
      <c r="D47" s="78">
        <v>299</v>
      </c>
      <c r="E47" s="78">
        <f>+C47*D47-29.9</f>
        <v>269.10000000000002</v>
      </c>
      <c r="F47" s="65"/>
    </row>
    <row r="48" spans="1:6">
      <c r="A48" s="73" t="s">
        <v>283</v>
      </c>
      <c r="B48" s="77" t="s">
        <v>337</v>
      </c>
      <c r="C48" s="69" t="s">
        <v>143</v>
      </c>
      <c r="D48" s="78">
        <v>199</v>
      </c>
      <c r="E48" s="78">
        <f>+C48*D48-19.9</f>
        <v>179.1</v>
      </c>
      <c r="F48" s="65"/>
    </row>
    <row r="49" spans="1:6">
      <c r="A49" s="73" t="s">
        <v>283</v>
      </c>
      <c r="B49" s="77" t="s">
        <v>338</v>
      </c>
      <c r="C49" s="69" t="s">
        <v>143</v>
      </c>
      <c r="D49" s="78">
        <v>284</v>
      </c>
      <c r="E49" s="78">
        <f>+C49*D49-28.4</f>
        <v>255.6</v>
      </c>
      <c r="F49" s="65"/>
    </row>
    <row r="50" spans="1:6">
      <c r="A50" s="73" t="s">
        <v>283</v>
      </c>
      <c r="B50" s="77" t="s">
        <v>339</v>
      </c>
      <c r="C50" s="69" t="s">
        <v>143</v>
      </c>
      <c r="D50" s="78">
        <v>139</v>
      </c>
      <c r="E50" s="78">
        <f>+C50*D50-38.92</f>
        <v>100.08</v>
      </c>
      <c r="F50" s="65" t="s">
        <v>340</v>
      </c>
    </row>
    <row r="51" spans="1:6">
      <c r="A51" s="73" t="s">
        <v>283</v>
      </c>
      <c r="B51" s="77" t="s">
        <v>341</v>
      </c>
      <c r="C51" s="69" t="s">
        <v>138</v>
      </c>
      <c r="D51" s="78">
        <v>219</v>
      </c>
      <c r="E51" s="78">
        <f>+C51*D51-43.8</f>
        <v>394.2</v>
      </c>
      <c r="F51" s="65"/>
    </row>
    <row r="52" spans="1:6">
      <c r="A52" s="73" t="s">
        <v>283</v>
      </c>
      <c r="B52" s="77" t="s">
        <v>342</v>
      </c>
      <c r="C52" s="69" t="s">
        <v>143</v>
      </c>
      <c r="D52" s="78">
        <v>98</v>
      </c>
      <c r="E52" s="78">
        <f>+C52*D52-9.8</f>
        <v>88.2</v>
      </c>
      <c r="F52" s="65"/>
    </row>
    <row r="53" spans="1:6">
      <c r="A53" s="73" t="s">
        <v>283</v>
      </c>
      <c r="B53" s="77" t="s">
        <v>343</v>
      </c>
      <c r="C53" s="69" t="s">
        <v>143</v>
      </c>
      <c r="D53" s="78">
        <v>229</v>
      </c>
      <c r="E53" s="78">
        <f>+C53*D53-22.89</f>
        <v>206.11</v>
      </c>
      <c r="F53" s="65"/>
    </row>
    <row r="54" spans="1:6">
      <c r="A54" s="73" t="s">
        <v>283</v>
      </c>
      <c r="B54" s="77" t="s">
        <v>344</v>
      </c>
      <c r="C54" s="69" t="s">
        <v>143</v>
      </c>
      <c r="D54" s="78">
        <v>259</v>
      </c>
      <c r="E54" s="78">
        <f>+C54*D54-72.52</f>
        <v>186.48</v>
      </c>
      <c r="F54" s="65" t="s">
        <v>340</v>
      </c>
    </row>
    <row r="55" spans="1:6">
      <c r="A55" s="73" t="s">
        <v>283</v>
      </c>
      <c r="B55" s="77" t="s">
        <v>344</v>
      </c>
      <c r="C55" s="69" t="s">
        <v>143</v>
      </c>
      <c r="D55" s="78">
        <v>259</v>
      </c>
      <c r="E55" s="78">
        <f>+C55*D55-72.52</f>
        <v>186.48</v>
      </c>
      <c r="F55" s="65"/>
    </row>
    <row r="56" spans="1:6">
      <c r="A56" s="73" t="s">
        <v>283</v>
      </c>
      <c r="B56" s="77" t="s">
        <v>345</v>
      </c>
      <c r="C56" s="69" t="s">
        <v>138</v>
      </c>
      <c r="D56" s="78">
        <v>48</v>
      </c>
      <c r="E56" s="78">
        <f>+C56*D56-4.8-4.8</f>
        <v>86.4</v>
      </c>
      <c r="F56" s="65"/>
    </row>
    <row r="57" spans="1:6">
      <c r="A57" s="73" t="s">
        <v>283</v>
      </c>
      <c r="B57" s="77" t="s">
        <v>346</v>
      </c>
      <c r="C57" s="69" t="s">
        <v>143</v>
      </c>
      <c r="D57" s="78">
        <v>223</v>
      </c>
      <c r="E57" s="78">
        <f>+C57*D57-22.3</f>
        <v>200.7</v>
      </c>
      <c r="F57" s="65"/>
    </row>
    <row r="58" spans="1:6">
      <c r="A58" s="69" t="s">
        <v>347</v>
      </c>
      <c r="B58" s="77" t="s">
        <v>348</v>
      </c>
      <c r="C58" s="69"/>
      <c r="D58" s="78"/>
      <c r="E58" s="78">
        <f>2747-1184</f>
        <v>1563</v>
      </c>
      <c r="F58" s="65"/>
    </row>
    <row r="59" spans="1:6">
      <c r="A59" s="69"/>
      <c r="B59" s="77"/>
      <c r="C59" s="69"/>
      <c r="D59" s="78"/>
      <c r="E59" s="78"/>
      <c r="F59" s="65"/>
    </row>
    <row r="60" spans="1:6">
      <c r="A60" s="69"/>
      <c r="B60" s="77"/>
      <c r="C60" s="69"/>
      <c r="D60" s="78"/>
      <c r="E60" s="78"/>
      <c r="F60" s="65"/>
    </row>
    <row r="61" spans="1:6">
      <c r="A61" s="69"/>
      <c r="B61" s="77"/>
      <c r="C61" s="69"/>
      <c r="D61" s="78"/>
      <c r="E61" s="78"/>
      <c r="F61" s="65"/>
    </row>
    <row r="62" spans="1:6" ht="15.2">
      <c r="A62" s="69"/>
      <c r="B62" s="79"/>
      <c r="C62" s="69"/>
      <c r="D62" s="78"/>
      <c r="E62" s="78"/>
      <c r="F62" s="65"/>
    </row>
    <row r="63" spans="1:6" ht="15.2">
      <c r="A63" s="72" t="s">
        <v>3</v>
      </c>
      <c r="B63" s="80" t="s">
        <v>175</v>
      </c>
      <c r="C63" s="53" t="s">
        <v>151</v>
      </c>
      <c r="D63" s="53" t="s">
        <v>152</v>
      </c>
      <c r="E63" s="81" t="e">
        <f>SUM(E65:E85)</f>
        <v>#VALUE!</v>
      </c>
      <c r="F63" s="55" t="s">
        <v>87</v>
      </c>
    </row>
    <row r="64" spans="1:6">
      <c r="A64" s="56"/>
      <c r="B64" s="82"/>
      <c r="C64" s="56"/>
      <c r="D64" s="83"/>
      <c r="E64" s="83"/>
      <c r="F64" s="84"/>
    </row>
    <row r="65" spans="1:6">
      <c r="A65" s="61" t="s">
        <v>349</v>
      </c>
      <c r="B65" s="85" t="s">
        <v>350</v>
      </c>
      <c r="C65" s="63"/>
      <c r="D65" s="64"/>
      <c r="E65" s="64"/>
      <c r="F65" s="65"/>
    </row>
    <row r="66" spans="1:6">
      <c r="A66" s="61" t="s">
        <v>349</v>
      </c>
      <c r="B66" s="62" t="s">
        <v>351</v>
      </c>
      <c r="C66" s="63" t="s">
        <v>143</v>
      </c>
      <c r="D66" s="64">
        <v>110.03</v>
      </c>
      <c r="E66" s="64">
        <v>54</v>
      </c>
      <c r="F66" s="65" t="s">
        <v>352</v>
      </c>
    </row>
    <row r="67" spans="1:6">
      <c r="A67" s="61" t="s">
        <v>349</v>
      </c>
      <c r="B67" s="62" t="s">
        <v>353</v>
      </c>
      <c r="C67" s="63" t="s">
        <v>143</v>
      </c>
      <c r="D67" s="64">
        <v>120</v>
      </c>
      <c r="E67" s="64"/>
      <c r="F67" s="65" t="s">
        <v>354</v>
      </c>
    </row>
    <row r="68" spans="1:6">
      <c r="A68" s="61" t="s">
        <v>349</v>
      </c>
      <c r="B68" s="62" t="s">
        <v>355</v>
      </c>
      <c r="C68" s="63"/>
      <c r="D68" s="64">
        <v>50</v>
      </c>
      <c r="E68" s="64"/>
      <c r="F68" s="65"/>
    </row>
    <row r="69" spans="1:6">
      <c r="A69" s="61" t="s">
        <v>349</v>
      </c>
      <c r="B69" s="62" t="s">
        <v>352</v>
      </c>
      <c r="C69" s="63"/>
      <c r="D69" s="64"/>
      <c r="E69" s="64"/>
      <c r="F69" s="65"/>
    </row>
    <row r="70" spans="1:6">
      <c r="A70" s="86" t="s">
        <v>356</v>
      </c>
      <c r="B70" s="87" t="s">
        <v>357</v>
      </c>
      <c r="C70" s="88" t="s">
        <v>358</v>
      </c>
      <c r="D70" s="89">
        <v>219</v>
      </c>
      <c r="E70" s="89" t="e">
        <f>+C70*D70-20.5</f>
        <v>#VALUE!</v>
      </c>
      <c r="F70" s="90"/>
    </row>
    <row r="71" spans="1:6">
      <c r="A71" s="91" t="s">
        <v>356</v>
      </c>
      <c r="B71" s="87" t="s">
        <v>359</v>
      </c>
      <c r="C71" s="87">
        <v>0.85</v>
      </c>
      <c r="D71" s="87">
        <v>470</v>
      </c>
      <c r="E71" s="87">
        <f>+C71*D71-39.95</f>
        <v>359.55</v>
      </c>
      <c r="F71" s="90"/>
    </row>
    <row r="72" spans="1:6">
      <c r="A72" s="91" t="s">
        <v>356</v>
      </c>
      <c r="B72" s="87" t="s">
        <v>360</v>
      </c>
      <c r="C72" s="87">
        <v>0.85799999999999998</v>
      </c>
      <c r="D72" s="87">
        <v>335</v>
      </c>
      <c r="E72" s="87">
        <f>+C72*D72-28.74</f>
        <v>258.69</v>
      </c>
      <c r="F72" s="90"/>
    </row>
    <row r="73" spans="1:6">
      <c r="A73" s="91" t="s">
        <v>356</v>
      </c>
      <c r="B73" s="87" t="s">
        <v>361</v>
      </c>
      <c r="C73" s="87">
        <v>2</v>
      </c>
      <c r="D73" s="87">
        <v>9</v>
      </c>
      <c r="E73" s="87">
        <f>+C73*D73-1.8</f>
        <v>16.2</v>
      </c>
      <c r="F73" s="90"/>
    </row>
    <row r="74" spans="1:6">
      <c r="A74" s="91" t="s">
        <v>356</v>
      </c>
      <c r="B74" s="87" t="s">
        <v>362</v>
      </c>
      <c r="C74" s="87">
        <v>1</v>
      </c>
      <c r="D74" s="87">
        <v>120</v>
      </c>
      <c r="E74" s="87">
        <f>+C74*D74-12</f>
        <v>108</v>
      </c>
      <c r="F74" s="90"/>
    </row>
    <row r="75" spans="1:6">
      <c r="A75" s="91" t="s">
        <v>356</v>
      </c>
      <c r="B75" s="87" t="s">
        <v>363</v>
      </c>
      <c r="C75" s="87">
        <v>1</v>
      </c>
      <c r="D75" s="87">
        <v>119</v>
      </c>
      <c r="E75" s="87">
        <f>+C75*D75-11.9</f>
        <v>107.1</v>
      </c>
      <c r="F75" s="90"/>
    </row>
    <row r="76" spans="1:6">
      <c r="A76" s="91" t="s">
        <v>356</v>
      </c>
      <c r="B76" s="87" t="s">
        <v>183</v>
      </c>
      <c r="C76" s="87">
        <v>1</v>
      </c>
      <c r="D76" s="87">
        <v>118</v>
      </c>
      <c r="E76" s="87">
        <f>+C76*D76-11.8</f>
        <v>106.2</v>
      </c>
      <c r="F76" s="90"/>
    </row>
    <row r="77" spans="1:6">
      <c r="A77" s="91" t="s">
        <v>356</v>
      </c>
      <c r="B77" s="87" t="s">
        <v>345</v>
      </c>
      <c r="C77" s="87">
        <v>2</v>
      </c>
      <c r="D77" s="87">
        <v>105</v>
      </c>
      <c r="E77" s="87">
        <f>+C77*D77-10.5-10.5</f>
        <v>189</v>
      </c>
      <c r="F77" s="90"/>
    </row>
    <row r="78" spans="1:6">
      <c r="A78" s="91" t="s">
        <v>71</v>
      </c>
      <c r="B78" s="87" t="s">
        <v>361</v>
      </c>
      <c r="C78" s="87">
        <v>2</v>
      </c>
      <c r="D78" s="87">
        <v>9</v>
      </c>
      <c r="E78" s="87">
        <f>+C78*D78-1.8</f>
        <v>16.2</v>
      </c>
      <c r="F78" s="90"/>
    </row>
    <row r="79" spans="1:6">
      <c r="A79" s="91" t="s">
        <v>71</v>
      </c>
      <c r="B79" s="87" t="s">
        <v>362</v>
      </c>
      <c r="C79" s="87">
        <v>1</v>
      </c>
      <c r="D79" s="87">
        <v>120</v>
      </c>
      <c r="E79" s="87">
        <f>+C79*D79-12</f>
        <v>108</v>
      </c>
      <c r="F79" s="90"/>
    </row>
    <row r="80" spans="1:6">
      <c r="A80" s="91" t="s">
        <v>71</v>
      </c>
      <c r="B80" s="87" t="s">
        <v>331</v>
      </c>
      <c r="C80" s="87">
        <v>3</v>
      </c>
      <c r="D80" s="87">
        <v>40.6</v>
      </c>
      <c r="E80" s="87">
        <f>+C80*D80-12.18</f>
        <v>109.62</v>
      </c>
      <c r="F80" s="90"/>
    </row>
    <row r="81" spans="1:6">
      <c r="A81" s="91" t="s">
        <v>71</v>
      </c>
      <c r="B81" s="87" t="s">
        <v>364</v>
      </c>
      <c r="C81" s="87">
        <v>1</v>
      </c>
      <c r="D81" s="87">
        <v>27</v>
      </c>
      <c r="E81" s="87">
        <f>+C81*27-2.7</f>
        <v>24.3</v>
      </c>
      <c r="F81" s="90"/>
    </row>
    <row r="82" spans="1:6">
      <c r="A82" s="91" t="s">
        <v>71</v>
      </c>
      <c r="B82" s="87" t="s">
        <v>363</v>
      </c>
      <c r="C82" s="87">
        <v>2</v>
      </c>
      <c r="D82" s="87">
        <v>119</v>
      </c>
      <c r="E82" s="87">
        <f>+C82*D82-23.8</f>
        <v>214.2</v>
      </c>
      <c r="F82" s="90"/>
    </row>
    <row r="83" spans="1:6">
      <c r="A83" s="92" t="s">
        <v>71</v>
      </c>
      <c r="B83" s="93" t="s">
        <v>365</v>
      </c>
      <c r="C83" s="93">
        <v>2</v>
      </c>
      <c r="D83" s="93">
        <v>45</v>
      </c>
      <c r="E83" s="93">
        <f>+C83*D83-22.55</f>
        <v>67.45</v>
      </c>
      <c r="F83" s="94"/>
    </row>
    <row r="84" spans="1:6">
      <c r="A84" s="92" t="s">
        <v>71</v>
      </c>
      <c r="B84" s="93" t="s">
        <v>366</v>
      </c>
      <c r="C84" s="93">
        <v>1</v>
      </c>
      <c r="D84" s="93">
        <v>79</v>
      </c>
      <c r="E84" s="93">
        <f>+C84*D84-7.9</f>
        <v>71.099999999999994</v>
      </c>
      <c r="F84" s="94"/>
    </row>
    <row r="85" spans="1:6" ht="15.2">
      <c r="A85" s="95"/>
      <c r="B85" s="96"/>
      <c r="C85" s="96"/>
      <c r="D85" s="96"/>
      <c r="E85" s="96"/>
      <c r="F85" s="97"/>
    </row>
    <row r="86" spans="1:6" ht="15.2">
      <c r="A86" s="72" t="s">
        <v>3</v>
      </c>
      <c r="B86" s="80" t="s">
        <v>189</v>
      </c>
      <c r="C86" s="53" t="s">
        <v>151</v>
      </c>
      <c r="D86" s="53" t="s">
        <v>152</v>
      </c>
      <c r="E86" s="81" t="e">
        <f>SUM(E87:E106)</f>
        <v>#VALUE!</v>
      </c>
      <c r="F86" s="55" t="s">
        <v>87</v>
      </c>
    </row>
    <row r="87" spans="1:6" ht="15.2">
      <c r="A87" s="56" t="s">
        <v>367</v>
      </c>
      <c r="B87" s="82" t="s">
        <v>368</v>
      </c>
      <c r="C87" s="56" t="s">
        <v>369</v>
      </c>
      <c r="D87" s="83">
        <v>34.5</v>
      </c>
      <c r="E87" s="83">
        <f>+D87*C87</f>
        <v>71070</v>
      </c>
      <c r="F87" s="84" t="s">
        <v>370</v>
      </c>
    </row>
    <row r="88" spans="1:6">
      <c r="A88" s="61" t="s">
        <v>367</v>
      </c>
      <c r="B88" s="62" t="s">
        <v>371</v>
      </c>
      <c r="C88" s="63" t="s">
        <v>372</v>
      </c>
      <c r="D88" s="64">
        <v>159</v>
      </c>
      <c r="E88" s="83" t="e">
        <f>+D88*C88</f>
        <v>#VALUE!</v>
      </c>
      <c r="F88" s="65" t="s">
        <v>370</v>
      </c>
    </row>
    <row r="89" spans="1:6">
      <c r="A89" s="61" t="s">
        <v>373</v>
      </c>
      <c r="B89" s="62" t="s">
        <v>370</v>
      </c>
      <c r="C89" s="63" t="s">
        <v>143</v>
      </c>
      <c r="D89" s="64">
        <v>390</v>
      </c>
      <c r="E89" s="64">
        <f>+C89*D89</f>
        <v>390</v>
      </c>
      <c r="F89" s="65"/>
    </row>
    <row r="90" spans="1:6">
      <c r="A90" s="61"/>
      <c r="B90" s="62"/>
      <c r="C90" s="63"/>
      <c r="D90" s="64"/>
      <c r="E90" s="64"/>
      <c r="F90" s="65"/>
    </row>
    <row r="91" spans="1:6">
      <c r="A91" s="61" t="s">
        <v>125</v>
      </c>
      <c r="B91" s="85" t="s">
        <v>193</v>
      </c>
      <c r="C91" s="63"/>
      <c r="D91" s="64"/>
      <c r="E91" s="64"/>
      <c r="F91" s="65"/>
    </row>
    <row r="92" spans="1:6">
      <c r="A92" s="61" t="s">
        <v>125</v>
      </c>
      <c r="B92" s="62" t="s">
        <v>374</v>
      </c>
      <c r="C92" s="63" t="s">
        <v>138</v>
      </c>
      <c r="D92" s="64">
        <v>315</v>
      </c>
      <c r="E92" s="64">
        <v>315</v>
      </c>
      <c r="F92" s="65" t="s">
        <v>211</v>
      </c>
    </row>
    <row r="93" spans="1:6">
      <c r="A93" s="61" t="s">
        <v>125</v>
      </c>
      <c r="B93" s="62" t="s">
        <v>375</v>
      </c>
      <c r="C93" s="63" t="s">
        <v>306</v>
      </c>
      <c r="D93" s="64">
        <v>40</v>
      </c>
      <c r="E93" s="64">
        <v>40</v>
      </c>
      <c r="F93" s="65" t="s">
        <v>211</v>
      </c>
    </row>
    <row r="94" spans="1:6">
      <c r="A94" s="86" t="s">
        <v>125</v>
      </c>
      <c r="B94" s="87" t="s">
        <v>376</v>
      </c>
      <c r="C94" s="88" t="s">
        <v>143</v>
      </c>
      <c r="D94" s="89">
        <v>136</v>
      </c>
      <c r="E94" s="89">
        <v>136</v>
      </c>
      <c r="F94" s="65" t="s">
        <v>211</v>
      </c>
    </row>
    <row r="95" spans="1:6">
      <c r="A95" s="91" t="s">
        <v>125</v>
      </c>
      <c r="B95" s="87" t="s">
        <v>377</v>
      </c>
      <c r="C95" s="87">
        <v>1.028</v>
      </c>
      <c r="D95" s="87">
        <v>143.91999999999999</v>
      </c>
      <c r="E95" s="87">
        <v>143.91999999999999</v>
      </c>
      <c r="F95" s="65" t="s">
        <v>211</v>
      </c>
    </row>
    <row r="96" spans="1:6">
      <c r="A96" s="91" t="s">
        <v>125</v>
      </c>
      <c r="B96" s="87" t="s">
        <v>378</v>
      </c>
      <c r="C96" s="87">
        <v>1</v>
      </c>
      <c r="D96" s="87">
        <v>120</v>
      </c>
      <c r="E96" s="87">
        <v>120</v>
      </c>
      <c r="F96" s="65" t="s">
        <v>211</v>
      </c>
    </row>
    <row r="97" spans="1:6">
      <c r="A97" s="91" t="s">
        <v>125</v>
      </c>
      <c r="B97" s="87" t="s">
        <v>371</v>
      </c>
      <c r="C97" s="87">
        <v>0.73199999999999998</v>
      </c>
      <c r="D97" s="87">
        <v>99</v>
      </c>
      <c r="E97" s="87">
        <f t="shared" ref="E97:E102" si="1">+C97*D97</f>
        <v>72.468000000000004</v>
      </c>
      <c r="F97" s="65" t="s">
        <v>211</v>
      </c>
    </row>
    <row r="98" spans="1:6">
      <c r="A98" s="91" t="s">
        <v>125</v>
      </c>
      <c r="B98" s="87" t="s">
        <v>379</v>
      </c>
      <c r="C98" s="87">
        <v>1</v>
      </c>
      <c r="D98" s="87">
        <v>25</v>
      </c>
      <c r="E98" s="87">
        <v>25</v>
      </c>
      <c r="F98" s="65" t="s">
        <v>211</v>
      </c>
    </row>
    <row r="99" spans="1:6">
      <c r="A99" s="92"/>
      <c r="B99" s="93"/>
      <c r="C99" s="93"/>
      <c r="D99" s="93"/>
      <c r="E99" s="93"/>
      <c r="F99" s="65"/>
    </row>
    <row r="100" spans="1:6">
      <c r="A100" s="92" t="s">
        <v>380</v>
      </c>
      <c r="B100" s="93" t="s">
        <v>381</v>
      </c>
      <c r="C100" s="93"/>
      <c r="D100" s="93"/>
      <c r="E100" s="93">
        <v>113</v>
      </c>
      <c r="F100" s="65" t="s">
        <v>370</v>
      </c>
    </row>
    <row r="101" spans="1:6">
      <c r="A101" s="92" t="s">
        <v>382</v>
      </c>
      <c r="B101" s="93" t="s">
        <v>383</v>
      </c>
      <c r="C101" s="93">
        <v>1</v>
      </c>
      <c r="D101" s="93">
        <v>205.21</v>
      </c>
      <c r="E101" s="93">
        <f t="shared" si="1"/>
        <v>205.21</v>
      </c>
      <c r="F101" s="65"/>
    </row>
    <row r="102" spans="1:6">
      <c r="A102" s="92" t="s">
        <v>384</v>
      </c>
      <c r="B102" s="93" t="s">
        <v>370</v>
      </c>
      <c r="C102" s="93">
        <v>1</v>
      </c>
      <c r="D102" s="93">
        <v>257</v>
      </c>
      <c r="E102" s="93">
        <f t="shared" si="1"/>
        <v>257</v>
      </c>
      <c r="F102" s="65"/>
    </row>
    <row r="103" spans="1:6">
      <c r="A103" s="92"/>
      <c r="B103" s="93"/>
      <c r="C103" s="93"/>
      <c r="D103" s="93"/>
      <c r="E103" s="93"/>
      <c r="F103" s="65"/>
    </row>
    <row r="104" spans="1:6">
      <c r="A104" s="92"/>
      <c r="B104" s="93"/>
      <c r="C104" s="93"/>
      <c r="D104" s="93"/>
      <c r="E104" s="93"/>
      <c r="F104" s="65"/>
    </row>
    <row r="105" spans="1:6">
      <c r="A105" s="92"/>
      <c r="B105" s="93"/>
      <c r="C105" s="93"/>
      <c r="D105" s="93"/>
      <c r="E105" s="93"/>
      <c r="F105" s="65"/>
    </row>
    <row r="106" spans="1:6">
      <c r="A106" s="92"/>
      <c r="B106" s="93"/>
      <c r="C106" s="93"/>
      <c r="D106" s="93"/>
      <c r="E106" s="93"/>
      <c r="F106" s="65"/>
    </row>
    <row r="107" spans="1:6" ht="15.2">
      <c r="A107" s="95" t="s">
        <v>125</v>
      </c>
      <c r="B107" s="96" t="s">
        <v>210</v>
      </c>
      <c r="C107" s="96">
        <v>3.1139999999999999</v>
      </c>
      <c r="D107" s="96">
        <v>33</v>
      </c>
      <c r="E107" s="96">
        <v>102.76</v>
      </c>
      <c r="F107" s="65" t="s">
        <v>211</v>
      </c>
    </row>
    <row r="108" spans="1:6" ht="15.2">
      <c r="A108" s="72" t="s">
        <v>3</v>
      </c>
      <c r="B108" s="80" t="s">
        <v>212</v>
      </c>
      <c r="C108" s="53" t="s">
        <v>151</v>
      </c>
      <c r="D108" s="53" t="s">
        <v>152</v>
      </c>
      <c r="E108" s="81">
        <f>SUM(E110:E115)</f>
        <v>0</v>
      </c>
      <c r="F108" s="55" t="s">
        <v>87</v>
      </c>
    </row>
    <row r="109" spans="1:6">
      <c r="A109" s="56"/>
      <c r="B109" s="82"/>
      <c r="C109" s="56"/>
      <c r="D109" s="83"/>
      <c r="E109" s="83"/>
      <c r="F109" s="84"/>
    </row>
    <row r="110" spans="1:6">
      <c r="A110" s="61"/>
      <c r="B110" s="62"/>
      <c r="C110" s="63"/>
      <c r="D110" s="64"/>
      <c r="E110" s="64"/>
      <c r="F110" s="65"/>
    </row>
    <row r="111" spans="1:6">
      <c r="A111" s="61"/>
      <c r="B111" s="62"/>
      <c r="C111" s="63"/>
      <c r="D111" s="64"/>
      <c r="E111" s="64"/>
      <c r="F111" s="65"/>
    </row>
    <row r="112" spans="1:6">
      <c r="A112" s="61"/>
      <c r="B112" s="62"/>
      <c r="C112" s="63"/>
      <c r="D112" s="64"/>
      <c r="E112" s="64"/>
      <c r="F112" s="65"/>
    </row>
    <row r="113" spans="1:6">
      <c r="A113" s="61"/>
      <c r="B113" s="62"/>
      <c r="C113" s="63"/>
      <c r="D113" s="64"/>
      <c r="E113" s="64"/>
      <c r="F113" s="65"/>
    </row>
    <row r="114" spans="1:6">
      <c r="A114" s="61"/>
      <c r="B114" s="62"/>
      <c r="C114" s="63"/>
      <c r="D114" s="64"/>
      <c r="E114" s="64"/>
      <c r="F114" s="65"/>
    </row>
    <row r="115" spans="1:6" ht="15.2">
      <c r="A115" s="86"/>
      <c r="B115" s="87"/>
      <c r="C115" s="88"/>
      <c r="D115" s="89"/>
      <c r="E115" s="89"/>
      <c r="F115" s="90"/>
    </row>
    <row r="116" spans="1:6" ht="15.2">
      <c r="A116" s="72" t="s">
        <v>3</v>
      </c>
      <c r="B116" s="80" t="s">
        <v>213</v>
      </c>
      <c r="C116" s="53" t="s">
        <v>151</v>
      </c>
      <c r="D116" s="53" t="s">
        <v>152</v>
      </c>
      <c r="E116" s="81">
        <f>SUM(E117:E122)</f>
        <v>2180824.7200000002</v>
      </c>
      <c r="F116" s="55" t="s">
        <v>87</v>
      </c>
    </row>
    <row r="117" spans="1:6" ht="15.2">
      <c r="A117" s="56" t="s">
        <v>367</v>
      </c>
      <c r="B117" s="82" t="s">
        <v>385</v>
      </c>
      <c r="C117" s="98" t="s">
        <v>138</v>
      </c>
      <c r="D117" s="83">
        <v>309</v>
      </c>
      <c r="E117" s="83">
        <f t="shared" ref="E117:E121" si="2">+D117*C117</f>
        <v>618</v>
      </c>
      <c r="F117" s="84"/>
    </row>
    <row r="118" spans="1:6" ht="15.2">
      <c r="A118" s="56" t="s">
        <v>367</v>
      </c>
      <c r="B118" s="62" t="s">
        <v>386</v>
      </c>
      <c r="C118" s="63" t="s">
        <v>387</v>
      </c>
      <c r="D118" s="64">
        <v>289</v>
      </c>
      <c r="E118" s="83">
        <f t="shared" si="2"/>
        <v>2179060</v>
      </c>
      <c r="F118" s="65"/>
    </row>
    <row r="119" spans="1:6" ht="15.2">
      <c r="A119" s="56" t="s">
        <v>367</v>
      </c>
      <c r="B119" s="62" t="s">
        <v>388</v>
      </c>
      <c r="C119" s="63" t="s">
        <v>143</v>
      </c>
      <c r="D119" s="64">
        <v>230</v>
      </c>
      <c r="E119" s="83">
        <f t="shared" si="2"/>
        <v>230</v>
      </c>
      <c r="F119" s="65"/>
    </row>
    <row r="120" spans="1:6" ht="15.2">
      <c r="A120" s="61" t="s">
        <v>64</v>
      </c>
      <c r="B120" s="62" t="s">
        <v>389</v>
      </c>
      <c r="C120" s="63" t="s">
        <v>143</v>
      </c>
      <c r="D120" s="64">
        <v>916.72</v>
      </c>
      <c r="E120" s="83">
        <f t="shared" si="2"/>
        <v>916.72</v>
      </c>
      <c r="F120" s="65"/>
    </row>
    <row r="121" spans="1:6">
      <c r="A121" s="61"/>
      <c r="B121" s="62"/>
      <c r="C121" s="63"/>
      <c r="D121" s="64"/>
      <c r="E121" s="83">
        <f t="shared" si="2"/>
        <v>0</v>
      </c>
      <c r="F121" s="65"/>
    </row>
    <row r="122" spans="1:6" ht="15.2">
      <c r="A122" s="61"/>
      <c r="B122" s="62"/>
      <c r="C122" s="63"/>
      <c r="D122" s="64"/>
      <c r="E122" s="64"/>
      <c r="F122" s="65"/>
    </row>
    <row r="123" spans="1:6" ht="15.2">
      <c r="A123" s="72" t="s">
        <v>3</v>
      </c>
      <c r="B123" s="80" t="s">
        <v>220</v>
      </c>
      <c r="C123" s="53" t="s">
        <v>151</v>
      </c>
      <c r="D123" s="53" t="s">
        <v>152</v>
      </c>
      <c r="E123" s="81">
        <f>SUM(E124:E139)</f>
        <v>1111.1300000000001</v>
      </c>
      <c r="F123" s="55" t="s">
        <v>87</v>
      </c>
    </row>
    <row r="124" spans="1:6" ht="15.2">
      <c r="A124" s="56" t="s">
        <v>367</v>
      </c>
      <c r="B124" s="82" t="s">
        <v>390</v>
      </c>
      <c r="C124" s="98" t="s">
        <v>143</v>
      </c>
      <c r="D124" s="83">
        <v>28</v>
      </c>
      <c r="E124" s="83">
        <f t="shared" ref="E124:E138" si="3">+D124*C124</f>
        <v>28</v>
      </c>
      <c r="F124" s="84"/>
    </row>
    <row r="125" spans="1:6" ht="15.2">
      <c r="A125" s="56" t="s">
        <v>367</v>
      </c>
      <c r="B125" s="62" t="s">
        <v>391</v>
      </c>
      <c r="C125" s="63" t="s">
        <v>143</v>
      </c>
      <c r="D125" s="64">
        <v>56</v>
      </c>
      <c r="E125" s="83">
        <f t="shared" si="3"/>
        <v>56</v>
      </c>
      <c r="F125" s="65"/>
    </row>
    <row r="126" spans="1:6" ht="15.2">
      <c r="A126" s="56" t="s">
        <v>367</v>
      </c>
      <c r="B126" s="62" t="s">
        <v>392</v>
      </c>
      <c r="C126" s="63" t="s">
        <v>143</v>
      </c>
      <c r="D126" s="64">
        <v>60</v>
      </c>
      <c r="E126" s="83">
        <f t="shared" si="3"/>
        <v>60</v>
      </c>
      <c r="F126" s="65"/>
    </row>
    <row r="127" spans="1:6" ht="15.2">
      <c r="A127" s="56" t="s">
        <v>367</v>
      </c>
      <c r="B127" s="62" t="s">
        <v>393</v>
      </c>
      <c r="C127" s="63" t="s">
        <v>143</v>
      </c>
      <c r="D127" s="64">
        <v>33</v>
      </c>
      <c r="E127" s="83">
        <f t="shared" si="3"/>
        <v>33</v>
      </c>
      <c r="F127" s="65"/>
    </row>
    <row r="128" spans="1:6" ht="15.2">
      <c r="A128" s="56" t="s">
        <v>367</v>
      </c>
      <c r="B128" s="62" t="s">
        <v>394</v>
      </c>
      <c r="C128" s="63" t="s">
        <v>143</v>
      </c>
      <c r="D128" s="64">
        <v>33</v>
      </c>
      <c r="E128" s="83">
        <f t="shared" si="3"/>
        <v>33</v>
      </c>
      <c r="F128" s="65"/>
    </row>
    <row r="129" spans="1:6" ht="15.2">
      <c r="A129" s="56" t="s">
        <v>367</v>
      </c>
      <c r="B129" s="62" t="s">
        <v>395</v>
      </c>
      <c r="C129" s="63" t="s">
        <v>143</v>
      </c>
      <c r="D129" s="64">
        <v>25</v>
      </c>
      <c r="E129" s="83">
        <f t="shared" si="3"/>
        <v>25</v>
      </c>
      <c r="F129" s="65"/>
    </row>
    <row r="130" spans="1:6" ht="15.2">
      <c r="A130" s="56" t="s">
        <v>367</v>
      </c>
      <c r="B130" s="62" t="s">
        <v>396</v>
      </c>
      <c r="C130" s="63" t="s">
        <v>143</v>
      </c>
      <c r="D130" s="64">
        <v>41</v>
      </c>
      <c r="E130" s="83">
        <f t="shared" si="3"/>
        <v>41</v>
      </c>
      <c r="F130" s="65"/>
    </row>
    <row r="131" spans="1:6" ht="15.2">
      <c r="A131" s="61" t="s">
        <v>309</v>
      </c>
      <c r="B131" s="62" t="s">
        <v>397</v>
      </c>
      <c r="C131" s="63" t="s">
        <v>143</v>
      </c>
      <c r="D131" s="64">
        <f>464-70</f>
        <v>394</v>
      </c>
      <c r="E131" s="83">
        <f t="shared" si="3"/>
        <v>394</v>
      </c>
      <c r="F131" s="65"/>
    </row>
    <row r="132" spans="1:6" ht="15.2">
      <c r="A132" s="61" t="s">
        <v>373</v>
      </c>
      <c r="B132" s="62" t="s">
        <v>398</v>
      </c>
      <c r="C132" s="63" t="s">
        <v>143</v>
      </c>
      <c r="D132" s="64">
        <f>80</f>
        <v>80</v>
      </c>
      <c r="E132" s="83">
        <f t="shared" si="3"/>
        <v>80</v>
      </c>
      <c r="F132" s="65" t="s">
        <v>399</v>
      </c>
    </row>
    <row r="133" spans="1:6" ht="15.2">
      <c r="A133" s="61" t="s">
        <v>310</v>
      </c>
      <c r="B133" s="62" t="s">
        <v>222</v>
      </c>
      <c r="C133" s="63" t="s">
        <v>143</v>
      </c>
      <c r="D133" s="64">
        <v>78</v>
      </c>
      <c r="E133" s="83">
        <f t="shared" si="3"/>
        <v>78</v>
      </c>
      <c r="F133" s="65"/>
    </row>
    <row r="134" spans="1:6" ht="15.2">
      <c r="A134" s="61" t="s">
        <v>400</v>
      </c>
      <c r="B134" s="62" t="s">
        <v>401</v>
      </c>
      <c r="C134" s="63" t="s">
        <v>143</v>
      </c>
      <c r="D134" s="64">
        <v>283.13</v>
      </c>
      <c r="E134" s="83">
        <f t="shared" si="3"/>
        <v>283.13</v>
      </c>
      <c r="F134" s="65"/>
    </row>
    <row r="135" spans="1:6" ht="15.2">
      <c r="A135" s="61"/>
      <c r="B135" s="62"/>
      <c r="C135" s="63"/>
      <c r="D135" s="64"/>
      <c r="E135" s="83">
        <f t="shared" si="3"/>
        <v>0</v>
      </c>
      <c r="F135" s="65"/>
    </row>
    <row r="136" spans="1:6" ht="15.2">
      <c r="A136" s="61"/>
      <c r="B136" s="62"/>
      <c r="C136" s="63"/>
      <c r="D136" s="64"/>
      <c r="E136" s="83">
        <f t="shared" si="3"/>
        <v>0</v>
      </c>
      <c r="F136" s="65"/>
    </row>
    <row r="137" spans="1:6" ht="15.2">
      <c r="A137" s="61"/>
      <c r="B137" s="62"/>
      <c r="C137" s="63"/>
      <c r="D137" s="64"/>
      <c r="E137" s="83">
        <f t="shared" si="3"/>
        <v>0</v>
      </c>
      <c r="F137" s="65"/>
    </row>
    <row r="138" spans="1:6">
      <c r="A138" s="61"/>
      <c r="B138" s="62"/>
      <c r="C138" s="63"/>
      <c r="D138" s="64"/>
      <c r="E138" s="83">
        <f t="shared" si="3"/>
        <v>0</v>
      </c>
      <c r="F138" s="65"/>
    </row>
    <row r="139" spans="1:6" ht="15.2">
      <c r="A139" s="61"/>
      <c r="B139" s="62"/>
      <c r="C139" s="63"/>
      <c r="D139" s="64"/>
      <c r="E139" s="64"/>
      <c r="F139" s="65"/>
    </row>
    <row r="140" spans="1:6" ht="15.2">
      <c r="A140" s="72" t="s">
        <v>3</v>
      </c>
      <c r="B140" s="80" t="s">
        <v>226</v>
      </c>
      <c r="C140" s="53" t="s">
        <v>151</v>
      </c>
      <c r="D140" s="53" t="s">
        <v>152</v>
      </c>
      <c r="E140" s="81">
        <f>SUM(E141:E155)</f>
        <v>3550.4</v>
      </c>
      <c r="F140" s="55" t="s">
        <v>87</v>
      </c>
    </row>
    <row r="141" spans="1:6" ht="15.2">
      <c r="A141" s="56" t="s">
        <v>402</v>
      </c>
      <c r="B141" s="82" t="s">
        <v>403</v>
      </c>
      <c r="C141" s="98" t="s">
        <v>138</v>
      </c>
      <c r="D141" s="83">
        <v>240</v>
      </c>
      <c r="E141" s="83">
        <f t="shared" ref="E141:E144" si="4">+C141*D141</f>
        <v>480</v>
      </c>
      <c r="F141" s="84"/>
    </row>
    <row r="142" spans="1:6" ht="15.2">
      <c r="A142" s="56" t="s">
        <v>402</v>
      </c>
      <c r="B142" s="82" t="s">
        <v>404</v>
      </c>
      <c r="C142" s="63" t="s">
        <v>138</v>
      </c>
      <c r="D142" s="64">
        <v>100</v>
      </c>
      <c r="E142" s="83">
        <f t="shared" si="4"/>
        <v>200</v>
      </c>
      <c r="F142" s="65">
        <f>480+200+680+90+260+160+180</f>
        <v>2050</v>
      </c>
    </row>
    <row r="143" spans="1:6" ht="15.2">
      <c r="A143" s="61"/>
      <c r="B143" s="62"/>
      <c r="C143" s="63"/>
      <c r="D143" s="64"/>
      <c r="E143" s="83">
        <f t="shared" si="4"/>
        <v>0</v>
      </c>
      <c r="F143" s="65"/>
    </row>
    <row r="144" spans="1:6" ht="15.2">
      <c r="A144" s="56" t="s">
        <v>402</v>
      </c>
      <c r="B144" s="62" t="s">
        <v>405</v>
      </c>
      <c r="C144" s="63" t="s">
        <v>138</v>
      </c>
      <c r="D144" s="64">
        <v>340</v>
      </c>
      <c r="E144" s="83">
        <f t="shared" si="4"/>
        <v>680</v>
      </c>
      <c r="F144" s="65" t="s">
        <v>406</v>
      </c>
    </row>
    <row r="145" spans="1:6" ht="15.2">
      <c r="A145" s="56" t="s">
        <v>402</v>
      </c>
      <c r="B145" s="62" t="s">
        <v>407</v>
      </c>
      <c r="C145" s="63" t="s">
        <v>143</v>
      </c>
      <c r="D145" s="64">
        <v>90</v>
      </c>
      <c r="E145" s="64">
        <v>90</v>
      </c>
      <c r="F145" s="65"/>
    </row>
    <row r="146" spans="1:6" ht="15.2">
      <c r="A146" s="56" t="s">
        <v>402</v>
      </c>
      <c r="B146" s="62" t="s">
        <v>408</v>
      </c>
      <c r="C146" s="63" t="s">
        <v>143</v>
      </c>
      <c r="D146" s="64">
        <v>260</v>
      </c>
      <c r="E146" s="83">
        <f t="shared" ref="E146:E148" si="5">+C146*D146</f>
        <v>260</v>
      </c>
      <c r="F146" s="65" t="s">
        <v>409</v>
      </c>
    </row>
    <row r="147" spans="1:6" ht="15.2">
      <c r="A147" s="56" t="s">
        <v>402</v>
      </c>
      <c r="B147" s="62" t="s">
        <v>410</v>
      </c>
      <c r="C147" s="63" t="s">
        <v>138</v>
      </c>
      <c r="D147" s="64">
        <v>80</v>
      </c>
      <c r="E147" s="83">
        <f t="shared" si="5"/>
        <v>160</v>
      </c>
      <c r="F147" s="65" t="s">
        <v>411</v>
      </c>
    </row>
    <row r="148" spans="1:6">
      <c r="A148" s="56" t="s">
        <v>402</v>
      </c>
      <c r="B148" s="62" t="s">
        <v>412</v>
      </c>
      <c r="C148" s="63" t="s">
        <v>138</v>
      </c>
      <c r="D148" s="64">
        <v>90</v>
      </c>
      <c r="E148" s="83">
        <f t="shared" si="5"/>
        <v>180</v>
      </c>
      <c r="F148" s="65" t="s">
        <v>413</v>
      </c>
    </row>
    <row r="149" spans="1:6" ht="15.2">
      <c r="A149" s="99"/>
      <c r="B149" s="100" t="s">
        <v>414</v>
      </c>
      <c r="C149" s="100"/>
      <c r="D149" s="100"/>
      <c r="E149" s="100"/>
      <c r="F149" s="101"/>
    </row>
    <row r="150" spans="1:6" ht="15.2">
      <c r="A150" s="61" t="s">
        <v>72</v>
      </c>
      <c r="B150" s="62" t="s">
        <v>231</v>
      </c>
      <c r="C150" s="63" t="s">
        <v>161</v>
      </c>
      <c r="D150" s="64">
        <v>90</v>
      </c>
      <c r="E150" s="83">
        <f t="shared" ref="E150:E155" si="6">+C150*D150</f>
        <v>360</v>
      </c>
      <c r="F150" s="100"/>
    </row>
    <row r="151" spans="1:6" ht="15.2">
      <c r="A151" s="61" t="s">
        <v>72</v>
      </c>
      <c r="B151" s="62" t="s">
        <v>410</v>
      </c>
      <c r="C151" s="63" t="s">
        <v>161</v>
      </c>
      <c r="D151" s="64">
        <v>85</v>
      </c>
      <c r="E151" s="83">
        <f t="shared" si="6"/>
        <v>340</v>
      </c>
      <c r="F151" s="100"/>
    </row>
    <row r="152" spans="1:6" ht="15.2">
      <c r="A152" s="61" t="s">
        <v>72</v>
      </c>
      <c r="B152" s="62" t="s">
        <v>415</v>
      </c>
      <c r="C152" s="63" t="s">
        <v>138</v>
      </c>
      <c r="D152" s="64">
        <v>100</v>
      </c>
      <c r="E152" s="83">
        <f t="shared" si="6"/>
        <v>200</v>
      </c>
      <c r="F152" s="100"/>
    </row>
    <row r="153" spans="1:6" ht="15.2">
      <c r="A153" s="61" t="s">
        <v>72</v>
      </c>
      <c r="B153" s="62" t="s">
        <v>416</v>
      </c>
      <c r="C153" s="63" t="s">
        <v>238</v>
      </c>
      <c r="D153" s="64">
        <v>16.8</v>
      </c>
      <c r="E153" s="83">
        <f t="shared" si="6"/>
        <v>50.4</v>
      </c>
      <c r="F153" s="100"/>
    </row>
    <row r="154" spans="1:6" ht="15.2">
      <c r="A154" s="61" t="s">
        <v>72</v>
      </c>
      <c r="B154" s="62" t="s">
        <v>417</v>
      </c>
      <c r="C154" s="63" t="s">
        <v>143</v>
      </c>
      <c r="D154" s="64">
        <v>550</v>
      </c>
      <c r="E154" s="83">
        <f t="shared" si="6"/>
        <v>550</v>
      </c>
      <c r="F154" s="65"/>
    </row>
    <row r="155" spans="1:6" ht="15.2">
      <c r="A155" s="61"/>
      <c r="B155" s="62"/>
      <c r="C155" s="63"/>
      <c r="D155" s="64"/>
      <c r="E155" s="83">
        <f t="shared" si="6"/>
        <v>0</v>
      </c>
      <c r="F155" s="65"/>
    </row>
    <row r="156" spans="1:6" ht="15.2">
      <c r="A156" s="72" t="s">
        <v>3</v>
      </c>
      <c r="B156" s="80" t="s">
        <v>234</v>
      </c>
      <c r="C156" s="53" t="s">
        <v>151</v>
      </c>
      <c r="D156" s="53" t="s">
        <v>152</v>
      </c>
      <c r="E156" s="81">
        <f>SUM(E157:E162)</f>
        <v>0</v>
      </c>
      <c r="F156" s="55" t="s">
        <v>87</v>
      </c>
    </row>
    <row r="157" spans="1:6">
      <c r="A157" s="56"/>
      <c r="B157" s="82"/>
      <c r="C157" s="56"/>
      <c r="D157" s="83"/>
      <c r="E157" s="83"/>
      <c r="F157" s="84"/>
    </row>
    <row r="158" spans="1:6">
      <c r="A158" s="61"/>
      <c r="B158" s="62"/>
      <c r="C158" s="63"/>
      <c r="D158" s="64"/>
      <c r="E158" s="64"/>
      <c r="F158" s="65"/>
    </row>
    <row r="159" spans="1:6">
      <c r="A159" s="61"/>
      <c r="B159" s="62"/>
      <c r="C159" s="63"/>
      <c r="D159" s="64"/>
      <c r="E159" s="64"/>
      <c r="F159" s="65"/>
    </row>
    <row r="160" spans="1:6">
      <c r="A160" s="61"/>
      <c r="B160" s="62"/>
      <c r="C160" s="63"/>
      <c r="D160" s="64"/>
      <c r="E160" s="64"/>
      <c r="F160" s="65"/>
    </row>
    <row r="161" spans="1:6">
      <c r="A161" s="61"/>
      <c r="B161" s="62"/>
      <c r="C161" s="63"/>
      <c r="D161" s="64"/>
      <c r="E161" s="64"/>
      <c r="F161" s="65"/>
    </row>
    <row r="162" spans="1:6" ht="15.2">
      <c r="A162" s="61"/>
      <c r="B162" s="62"/>
      <c r="C162" s="63"/>
      <c r="D162" s="64"/>
      <c r="E162" s="64"/>
      <c r="F162" s="65"/>
    </row>
    <row r="163" spans="1:6" ht="15.2">
      <c r="A163" s="72" t="s">
        <v>3</v>
      </c>
      <c r="B163" s="80" t="s">
        <v>241</v>
      </c>
      <c r="C163" s="53" t="s">
        <v>151</v>
      </c>
      <c r="D163" s="53" t="s">
        <v>152</v>
      </c>
      <c r="E163" s="81">
        <f>SUM(E164:E169)</f>
        <v>0</v>
      </c>
      <c r="F163" s="55" t="s">
        <v>87</v>
      </c>
    </row>
    <row r="164" spans="1:6">
      <c r="A164" s="61"/>
      <c r="B164" s="62"/>
      <c r="C164" s="61"/>
      <c r="D164" s="62"/>
      <c r="E164" s="61"/>
      <c r="F164" s="62"/>
    </row>
    <row r="165" spans="1:6">
      <c r="A165" s="61"/>
      <c r="B165" s="62"/>
      <c r="C165" s="61"/>
      <c r="D165" s="62"/>
      <c r="E165" s="61"/>
      <c r="F165" s="62"/>
    </row>
    <row r="166" spans="1:6">
      <c r="A166" s="61"/>
      <c r="B166" s="62"/>
      <c r="C166" s="61"/>
      <c r="D166" s="62"/>
      <c r="E166" s="61"/>
      <c r="F166" s="62"/>
    </row>
    <row r="167" spans="1:6">
      <c r="A167" s="61"/>
      <c r="B167" s="62"/>
      <c r="C167" s="61"/>
      <c r="D167" s="62"/>
      <c r="E167" s="61"/>
      <c r="F167" s="62"/>
    </row>
    <row r="168" spans="1:6">
      <c r="A168" s="61"/>
      <c r="B168" s="62"/>
      <c r="C168" s="61"/>
      <c r="D168" s="62"/>
      <c r="E168" s="61"/>
      <c r="F168" s="62"/>
    </row>
    <row r="169" spans="1:6" ht="15.2">
      <c r="A169" s="61"/>
      <c r="B169" s="62"/>
      <c r="C169" s="63"/>
      <c r="D169" s="64"/>
      <c r="E169" s="64"/>
      <c r="F169" s="65"/>
    </row>
    <row r="170" spans="1:6" ht="15.2">
      <c r="A170" s="72" t="s">
        <v>3</v>
      </c>
      <c r="B170" s="80" t="s">
        <v>242</v>
      </c>
      <c r="C170" s="53" t="s">
        <v>151</v>
      </c>
      <c r="D170" s="53" t="s">
        <v>152</v>
      </c>
      <c r="E170" s="81">
        <f>SUM(E171:E176)</f>
        <v>757</v>
      </c>
      <c r="F170" s="55" t="s">
        <v>87</v>
      </c>
    </row>
    <row r="171" spans="1:6">
      <c r="A171" s="56" t="s">
        <v>125</v>
      </c>
      <c r="B171" s="82" t="s">
        <v>418</v>
      </c>
      <c r="C171" s="56" t="s">
        <v>318</v>
      </c>
      <c r="D171" s="83">
        <v>99</v>
      </c>
      <c r="E171" s="83">
        <f t="shared" ref="E171:E174" si="7">+C171*D171</f>
        <v>495</v>
      </c>
      <c r="F171" s="84"/>
    </row>
    <row r="172" spans="1:6">
      <c r="A172" s="61" t="s">
        <v>125</v>
      </c>
      <c r="B172" s="62" t="s">
        <v>419</v>
      </c>
      <c r="C172" s="63" t="s">
        <v>318</v>
      </c>
      <c r="D172" s="64">
        <v>15</v>
      </c>
      <c r="E172" s="64">
        <f t="shared" si="7"/>
        <v>75</v>
      </c>
      <c r="F172" s="65"/>
    </row>
    <row r="173" spans="1:6">
      <c r="A173" s="61" t="s">
        <v>125</v>
      </c>
      <c r="B173" s="62" t="s">
        <v>363</v>
      </c>
      <c r="C173" s="63" t="s">
        <v>143</v>
      </c>
      <c r="D173" s="64">
        <v>109</v>
      </c>
      <c r="E173" s="64">
        <f t="shared" si="7"/>
        <v>109</v>
      </c>
      <c r="F173" s="65"/>
    </row>
    <row r="174" spans="1:6">
      <c r="A174" s="61" t="s">
        <v>125</v>
      </c>
      <c r="B174" s="62" t="s">
        <v>420</v>
      </c>
      <c r="C174" s="63" t="s">
        <v>143</v>
      </c>
      <c r="D174" s="64">
        <v>78</v>
      </c>
      <c r="E174" s="64">
        <f t="shared" si="7"/>
        <v>78</v>
      </c>
      <c r="F174" s="65"/>
    </row>
    <row r="175" spans="1:6">
      <c r="A175" s="61"/>
      <c r="B175" s="62"/>
      <c r="C175" s="63"/>
      <c r="D175" s="64"/>
      <c r="E175" s="64"/>
      <c r="F175" s="65"/>
    </row>
    <row r="176" spans="1:6" ht="15.2">
      <c r="A176" s="61"/>
      <c r="B176" s="62"/>
      <c r="C176" s="63"/>
      <c r="D176" s="64"/>
      <c r="E176" s="64"/>
      <c r="F176" s="65"/>
    </row>
    <row r="177" spans="1:6" ht="15.2">
      <c r="A177" s="72" t="s">
        <v>3</v>
      </c>
      <c r="B177" s="80" t="s">
        <v>246</v>
      </c>
      <c r="C177" s="53" t="s">
        <v>151</v>
      </c>
      <c r="D177" s="53" t="s">
        <v>152</v>
      </c>
      <c r="E177" s="81">
        <f>SUM(E178:E183)</f>
        <v>578</v>
      </c>
      <c r="F177" s="55" t="s">
        <v>87</v>
      </c>
    </row>
    <row r="178" spans="1:6">
      <c r="A178" s="56" t="s">
        <v>402</v>
      </c>
      <c r="B178" s="82" t="s">
        <v>421</v>
      </c>
      <c r="C178" s="56" t="s">
        <v>143</v>
      </c>
      <c r="D178" s="83">
        <v>48</v>
      </c>
      <c r="E178" s="102">
        <f t="shared" ref="E178:E182" si="8">+C178*D178</f>
        <v>48</v>
      </c>
      <c r="F178" s="84"/>
    </row>
    <row r="179" spans="1:6" ht="15.2">
      <c r="A179" s="61" t="s">
        <v>402</v>
      </c>
      <c r="B179" s="62" t="s">
        <v>422</v>
      </c>
      <c r="C179" s="63" t="s">
        <v>138</v>
      </c>
      <c r="D179" s="64">
        <v>85</v>
      </c>
      <c r="E179" s="64">
        <f t="shared" si="8"/>
        <v>170</v>
      </c>
      <c r="F179" s="65"/>
    </row>
    <row r="180" spans="1:6">
      <c r="A180" s="61" t="s">
        <v>423</v>
      </c>
      <c r="B180" s="62" t="s">
        <v>424</v>
      </c>
      <c r="C180" s="63" t="s">
        <v>143</v>
      </c>
      <c r="D180" s="64">
        <v>119</v>
      </c>
      <c r="E180" s="83">
        <f t="shared" si="8"/>
        <v>119</v>
      </c>
      <c r="F180" s="65"/>
    </row>
    <row r="181" spans="1:6">
      <c r="A181" s="61" t="s">
        <v>423</v>
      </c>
      <c r="B181" s="62" t="s">
        <v>425</v>
      </c>
      <c r="C181" s="63" t="s">
        <v>143</v>
      </c>
      <c r="D181" s="64">
        <v>116</v>
      </c>
      <c r="E181" s="64">
        <f t="shared" si="8"/>
        <v>116</v>
      </c>
      <c r="F181" s="65"/>
    </row>
    <row r="182" spans="1:6">
      <c r="A182" s="61" t="s">
        <v>423</v>
      </c>
      <c r="B182" s="62" t="s">
        <v>426</v>
      </c>
      <c r="C182" s="63" t="s">
        <v>143</v>
      </c>
      <c r="D182" s="64">
        <v>105</v>
      </c>
      <c r="E182" s="64">
        <f t="shared" si="8"/>
        <v>105</v>
      </c>
      <c r="F182" s="65"/>
    </row>
    <row r="183" spans="1:6" ht="15.2">
      <c r="A183" s="61" t="s">
        <v>310</v>
      </c>
      <c r="B183" s="62" t="s">
        <v>427</v>
      </c>
      <c r="C183" s="63" t="s">
        <v>143</v>
      </c>
      <c r="D183" s="64">
        <v>20</v>
      </c>
      <c r="E183" s="64">
        <v>20</v>
      </c>
      <c r="F183" s="65"/>
    </row>
    <row r="184" spans="1:6" ht="15.2">
      <c r="A184" s="72" t="s">
        <v>3</v>
      </c>
      <c r="B184" s="80" t="s">
        <v>249</v>
      </c>
      <c r="C184" s="53" t="s">
        <v>151</v>
      </c>
      <c r="D184" s="53" t="s">
        <v>152</v>
      </c>
      <c r="E184" s="81">
        <f>SUM(E185:E190)</f>
        <v>0</v>
      </c>
      <c r="F184" s="55" t="s">
        <v>87</v>
      </c>
    </row>
    <row r="185" spans="1:6">
      <c r="A185" s="56"/>
      <c r="B185" s="82"/>
      <c r="C185" s="56"/>
      <c r="D185" s="83"/>
      <c r="E185" s="83"/>
      <c r="F185" s="84"/>
    </row>
    <row r="186" spans="1:6">
      <c r="A186" s="61"/>
      <c r="B186" s="62"/>
      <c r="C186" s="63"/>
      <c r="D186" s="64"/>
      <c r="E186" s="64"/>
      <c r="F186" s="65"/>
    </row>
    <row r="187" spans="1:6">
      <c r="A187" s="61"/>
      <c r="B187" s="62"/>
      <c r="C187" s="63"/>
      <c r="D187" s="64"/>
      <c r="E187" s="64"/>
      <c r="F187" s="65"/>
    </row>
    <row r="188" spans="1:6">
      <c r="A188" s="61"/>
      <c r="B188" s="62"/>
      <c r="C188" s="63"/>
      <c r="D188" s="64"/>
      <c r="E188" s="64"/>
      <c r="F188" s="65"/>
    </row>
    <row r="189" spans="1:6">
      <c r="A189" s="61"/>
      <c r="B189" s="62"/>
      <c r="C189" s="63"/>
      <c r="D189" s="64"/>
      <c r="E189" s="64"/>
      <c r="F189" s="65"/>
    </row>
    <row r="190" spans="1:6" ht="15.2">
      <c r="A190" s="61"/>
      <c r="B190" s="62"/>
      <c r="C190" s="63"/>
      <c r="D190" s="64"/>
      <c r="E190" s="64"/>
      <c r="F190" s="65"/>
    </row>
    <row r="191" spans="1:6" ht="15.2">
      <c r="A191" s="72" t="s">
        <v>3</v>
      </c>
      <c r="B191" s="80" t="s">
        <v>250</v>
      </c>
      <c r="C191" s="53" t="s">
        <v>151</v>
      </c>
      <c r="D191" s="53" t="s">
        <v>152</v>
      </c>
      <c r="E191" s="81">
        <f>SUM(E192:E210)</f>
        <v>14225.92</v>
      </c>
      <c r="F191" s="55" t="s">
        <v>87</v>
      </c>
    </row>
    <row r="192" spans="1:6">
      <c r="A192" s="56" t="s">
        <v>428</v>
      </c>
      <c r="B192" s="82" t="s">
        <v>429</v>
      </c>
      <c r="C192" s="56" t="s">
        <v>157</v>
      </c>
      <c r="D192" s="83">
        <v>250</v>
      </c>
      <c r="E192" s="83">
        <f t="shared" ref="E192:E208" si="9">+C192*D192</f>
        <v>1500</v>
      </c>
      <c r="F192" s="84"/>
    </row>
    <row r="193" spans="1:6" ht="15.2">
      <c r="A193" s="61" t="s">
        <v>428</v>
      </c>
      <c r="B193" s="62" t="s">
        <v>430</v>
      </c>
      <c r="C193" s="63" t="s">
        <v>431</v>
      </c>
      <c r="D193" s="64">
        <v>140</v>
      </c>
      <c r="E193" s="64">
        <v>140</v>
      </c>
      <c r="F193" s="65"/>
    </row>
    <row r="194" spans="1:6" ht="15.2">
      <c r="A194" s="61" t="s">
        <v>428</v>
      </c>
      <c r="B194" s="62" t="s">
        <v>432</v>
      </c>
      <c r="C194" s="63" t="s">
        <v>138</v>
      </c>
      <c r="D194" s="64">
        <v>90</v>
      </c>
      <c r="E194" s="83">
        <f t="shared" si="9"/>
        <v>180</v>
      </c>
      <c r="F194" s="65"/>
    </row>
    <row r="195" spans="1:6" ht="15.2">
      <c r="A195" s="61" t="s">
        <v>428</v>
      </c>
      <c r="B195" s="62" t="s">
        <v>433</v>
      </c>
      <c r="C195" s="63" t="s">
        <v>143</v>
      </c>
      <c r="D195" s="64">
        <v>5775</v>
      </c>
      <c r="E195" s="83">
        <f t="shared" si="9"/>
        <v>5775</v>
      </c>
      <c r="F195" s="65"/>
    </row>
    <row r="196" spans="1:6" ht="15.2">
      <c r="A196" s="61" t="s">
        <v>310</v>
      </c>
      <c r="B196" s="62" t="s">
        <v>434</v>
      </c>
      <c r="C196" s="63" t="s">
        <v>435</v>
      </c>
      <c r="D196" s="64">
        <v>26</v>
      </c>
      <c r="E196" s="83">
        <f t="shared" si="9"/>
        <v>2600</v>
      </c>
      <c r="F196" s="65" t="s">
        <v>436</v>
      </c>
    </row>
    <row r="197" spans="1:6" ht="15.2">
      <c r="A197" s="61" t="s">
        <v>310</v>
      </c>
      <c r="B197" s="62" t="s">
        <v>437</v>
      </c>
      <c r="C197" s="63" t="s">
        <v>238</v>
      </c>
      <c r="D197" s="64">
        <v>249</v>
      </c>
      <c r="E197" s="83">
        <f t="shared" si="9"/>
        <v>747</v>
      </c>
      <c r="F197" s="65"/>
    </row>
    <row r="198" spans="1:6" ht="15.2">
      <c r="A198" s="61" t="s">
        <v>310</v>
      </c>
      <c r="B198" s="62" t="s">
        <v>438</v>
      </c>
      <c r="C198" s="63" t="s">
        <v>143</v>
      </c>
      <c r="D198" s="64">
        <v>206</v>
      </c>
      <c r="E198" s="83">
        <f t="shared" si="9"/>
        <v>206</v>
      </c>
      <c r="F198" s="65"/>
    </row>
    <row r="199" spans="1:6" ht="15.2">
      <c r="A199" s="61" t="s">
        <v>310</v>
      </c>
      <c r="B199" s="62" t="s">
        <v>439</v>
      </c>
      <c r="C199" s="63" t="s">
        <v>440</v>
      </c>
      <c r="D199" s="64">
        <v>68.2</v>
      </c>
      <c r="E199" s="83">
        <f t="shared" si="9"/>
        <v>682</v>
      </c>
      <c r="F199" s="65" t="s">
        <v>441</v>
      </c>
    </row>
    <row r="200" spans="1:6" ht="15.2">
      <c r="A200" s="61" t="s">
        <v>442</v>
      </c>
      <c r="B200" s="62" t="s">
        <v>437</v>
      </c>
      <c r="C200" s="63" t="s">
        <v>143</v>
      </c>
      <c r="D200" s="64">
        <v>270</v>
      </c>
      <c r="E200" s="83">
        <f t="shared" si="9"/>
        <v>270</v>
      </c>
      <c r="F200" s="65" t="s">
        <v>443</v>
      </c>
    </row>
    <row r="201" spans="1:6" ht="15.2">
      <c r="A201" s="61" t="s">
        <v>442</v>
      </c>
      <c r="B201" s="62" t="s">
        <v>430</v>
      </c>
      <c r="C201" s="63" t="s">
        <v>143</v>
      </c>
      <c r="D201" s="64">
        <v>187</v>
      </c>
      <c r="E201" s="83">
        <f t="shared" si="9"/>
        <v>187</v>
      </c>
      <c r="F201" s="65" t="s">
        <v>443</v>
      </c>
    </row>
    <row r="202" spans="1:6" ht="15.2">
      <c r="A202" s="61" t="s">
        <v>442</v>
      </c>
      <c r="B202" s="62" t="s">
        <v>444</v>
      </c>
      <c r="C202" s="63" t="s">
        <v>143</v>
      </c>
      <c r="D202" s="64">
        <v>380</v>
      </c>
      <c r="E202" s="83">
        <f t="shared" si="9"/>
        <v>380</v>
      </c>
      <c r="F202" s="65" t="s">
        <v>443</v>
      </c>
    </row>
    <row r="203" spans="1:6" ht="15.2">
      <c r="A203" s="61" t="s">
        <v>442</v>
      </c>
      <c r="B203" s="62" t="s">
        <v>445</v>
      </c>
      <c r="C203" s="63" t="s">
        <v>143</v>
      </c>
      <c r="D203" s="64">
        <v>380</v>
      </c>
      <c r="E203" s="83">
        <f t="shared" si="9"/>
        <v>380</v>
      </c>
      <c r="F203" s="65" t="s">
        <v>443</v>
      </c>
    </row>
    <row r="204" spans="1:6" ht="15.2">
      <c r="A204" s="61" t="s">
        <v>442</v>
      </c>
      <c r="B204" s="62" t="s">
        <v>446</v>
      </c>
      <c r="C204" s="63" t="s">
        <v>143</v>
      </c>
      <c r="D204" s="64">
        <v>30</v>
      </c>
      <c r="E204" s="83">
        <f t="shared" si="9"/>
        <v>30</v>
      </c>
      <c r="F204" s="65" t="s">
        <v>443</v>
      </c>
    </row>
    <row r="205" spans="1:6" ht="15.2">
      <c r="A205" s="61" t="s">
        <v>442</v>
      </c>
      <c r="B205" s="62" t="s">
        <v>447</v>
      </c>
      <c r="C205" s="63" t="s">
        <v>143</v>
      </c>
      <c r="D205" s="64">
        <v>49</v>
      </c>
      <c r="E205" s="83">
        <f t="shared" si="9"/>
        <v>49</v>
      </c>
      <c r="F205" s="65" t="s">
        <v>443</v>
      </c>
    </row>
    <row r="206" spans="1:6" ht="15.2">
      <c r="A206" s="61" t="s">
        <v>72</v>
      </c>
      <c r="B206" s="62" t="s">
        <v>437</v>
      </c>
      <c r="C206" s="63" t="s">
        <v>143</v>
      </c>
      <c r="D206" s="64">
        <v>270</v>
      </c>
      <c r="E206" s="83">
        <f t="shared" si="9"/>
        <v>270</v>
      </c>
      <c r="F206" s="65" t="s">
        <v>443</v>
      </c>
    </row>
    <row r="207" spans="1:6" ht="15.2">
      <c r="A207" s="61" t="s">
        <v>72</v>
      </c>
      <c r="B207" s="62" t="s">
        <v>448</v>
      </c>
      <c r="C207" s="63" t="s">
        <v>143</v>
      </c>
      <c r="D207" s="64">
        <v>225</v>
      </c>
      <c r="E207" s="83">
        <f t="shared" si="9"/>
        <v>225</v>
      </c>
      <c r="F207" s="65" t="s">
        <v>443</v>
      </c>
    </row>
    <row r="208" spans="1:6" ht="15.2">
      <c r="A208" s="61" t="s">
        <v>449</v>
      </c>
      <c r="B208" s="62" t="s">
        <v>450</v>
      </c>
      <c r="C208" s="63" t="s">
        <v>143</v>
      </c>
      <c r="D208" s="64">
        <v>604.91999999999996</v>
      </c>
      <c r="E208" s="83">
        <f t="shared" si="9"/>
        <v>604.91999999999996</v>
      </c>
      <c r="F208" s="65"/>
    </row>
    <row r="209" spans="1:6" ht="15.2">
      <c r="A209" s="61"/>
      <c r="B209" s="62"/>
      <c r="C209" s="63"/>
      <c r="D209" s="64"/>
      <c r="E209" s="83"/>
      <c r="F209" s="65"/>
    </row>
    <row r="210" spans="1:6" ht="15.2">
      <c r="A210" s="61"/>
      <c r="B210" s="62"/>
      <c r="C210" s="63"/>
      <c r="D210" s="64"/>
      <c r="E210" s="83">
        <f>+C210*D210</f>
        <v>0</v>
      </c>
      <c r="F210" s="65"/>
    </row>
    <row r="211" spans="1:6" ht="15.2">
      <c r="A211" s="72" t="s">
        <v>3</v>
      </c>
      <c r="B211" s="80" t="s">
        <v>260</v>
      </c>
      <c r="C211" s="53" t="s">
        <v>151</v>
      </c>
      <c r="D211" s="53" t="s">
        <v>152</v>
      </c>
      <c r="E211" s="81">
        <f>SUM(E212:E217)</f>
        <v>2760.49</v>
      </c>
      <c r="F211" s="55" t="s">
        <v>87</v>
      </c>
    </row>
    <row r="212" spans="1:6" ht="15.2">
      <c r="A212" s="56" t="s">
        <v>367</v>
      </c>
      <c r="B212" s="82" t="s">
        <v>451</v>
      </c>
      <c r="C212" s="56" t="s">
        <v>143</v>
      </c>
      <c r="D212" s="83">
        <v>188.85</v>
      </c>
      <c r="E212" s="83">
        <v>188.85</v>
      </c>
      <c r="F212" s="84"/>
    </row>
    <row r="213" spans="1:6">
      <c r="A213" s="61" t="s">
        <v>373</v>
      </c>
      <c r="B213" s="62" t="s">
        <v>452</v>
      </c>
      <c r="C213" s="63" t="s">
        <v>138</v>
      </c>
      <c r="D213" s="64">
        <v>168</v>
      </c>
      <c r="E213" s="83">
        <f>+C213*D213</f>
        <v>336</v>
      </c>
      <c r="F213" s="65"/>
    </row>
    <row r="214" spans="1:6">
      <c r="A214" s="61" t="s">
        <v>380</v>
      </c>
      <c r="B214" s="62" t="s">
        <v>453</v>
      </c>
      <c r="C214" s="63" t="s">
        <v>138</v>
      </c>
      <c r="D214" s="64">
        <v>275</v>
      </c>
      <c r="E214" s="64">
        <v>510</v>
      </c>
      <c r="F214" s="65"/>
    </row>
    <row r="215" spans="1:6">
      <c r="A215" s="61" t="s">
        <v>310</v>
      </c>
      <c r="B215" s="62" t="s">
        <v>454</v>
      </c>
      <c r="C215" s="63" t="s">
        <v>143</v>
      </c>
      <c r="D215" s="64">
        <v>1357</v>
      </c>
      <c r="E215" s="64">
        <v>1357</v>
      </c>
      <c r="F215" s="65"/>
    </row>
    <row r="216" spans="1:6">
      <c r="A216" s="61" t="s">
        <v>310</v>
      </c>
      <c r="B216" s="62" t="s">
        <v>455</v>
      </c>
      <c r="C216" s="63" t="s">
        <v>143</v>
      </c>
      <c r="D216" s="64">
        <v>368.64</v>
      </c>
      <c r="E216" s="64">
        <f>+C216*D216</f>
        <v>368.64</v>
      </c>
      <c r="F216" s="65"/>
    </row>
    <row r="217" spans="1:6">
      <c r="A217" s="61"/>
      <c r="B217" s="62"/>
      <c r="C217" s="63"/>
      <c r="D217" s="64"/>
      <c r="E217" s="64"/>
      <c r="F217" s="65"/>
    </row>
    <row r="218" spans="1:6" ht="15.2"/>
    <row r="219" spans="1:6" ht="16.350000000000001">
      <c r="A219" s="53" t="s">
        <v>83</v>
      </c>
      <c r="B219" s="51" t="s">
        <v>84</v>
      </c>
      <c r="C219" s="52" t="s">
        <v>85</v>
      </c>
      <c r="D219" s="53" t="s">
        <v>86</v>
      </c>
      <c r="E219" s="54">
        <f>SUM(E220:E223)</f>
        <v>4132</v>
      </c>
      <c r="F219" s="55" t="s">
        <v>87</v>
      </c>
    </row>
    <row r="220" spans="1:6">
      <c r="A220" s="103" t="s">
        <v>349</v>
      </c>
      <c r="B220" s="104" t="s">
        <v>456</v>
      </c>
      <c r="C220" s="105" t="s">
        <v>90</v>
      </c>
      <c r="D220" s="58" t="s">
        <v>457</v>
      </c>
      <c r="E220" s="59">
        <v>2274</v>
      </c>
      <c r="F220" s="106" t="s">
        <v>458</v>
      </c>
    </row>
    <row r="221" spans="1:6">
      <c r="A221" s="107" t="s">
        <v>176</v>
      </c>
      <c r="B221" s="108" t="s">
        <v>456</v>
      </c>
      <c r="C221" s="66" t="s">
        <v>94</v>
      </c>
      <c r="D221" s="63" t="s">
        <v>459</v>
      </c>
      <c r="E221" s="64">
        <v>1858</v>
      </c>
      <c r="F221" s="67" t="s">
        <v>458</v>
      </c>
    </row>
    <row r="222" spans="1:6">
      <c r="A222" s="107"/>
      <c r="B222" s="61"/>
      <c r="C222" s="62"/>
      <c r="D222" s="63"/>
      <c r="E222" s="64"/>
      <c r="F222" s="65"/>
    </row>
    <row r="223" spans="1:6" ht="15.2">
      <c r="A223" s="107"/>
      <c r="B223" s="61"/>
      <c r="C223" s="62"/>
      <c r="D223" s="63"/>
      <c r="E223" s="64"/>
      <c r="F223" s="65"/>
    </row>
    <row r="224" spans="1:6" ht="16.350000000000001">
      <c r="A224" s="109" t="s">
        <v>54</v>
      </c>
      <c r="B224" s="51" t="s">
        <v>84</v>
      </c>
      <c r="C224" s="52" t="s">
        <v>96</v>
      </c>
      <c r="D224" s="53" t="s">
        <v>86</v>
      </c>
      <c r="E224" s="54">
        <f>SUM(E225:E231)</f>
        <v>8621.7999999999993</v>
      </c>
      <c r="F224" s="55" t="s">
        <v>87</v>
      </c>
    </row>
    <row r="225" spans="1:6">
      <c r="A225" s="110" t="s">
        <v>460</v>
      </c>
      <c r="B225" s="108" t="s">
        <v>367</v>
      </c>
      <c r="C225" s="67" t="s">
        <v>97</v>
      </c>
      <c r="D225" s="63"/>
      <c r="E225" s="64">
        <v>2261.8000000000002</v>
      </c>
      <c r="F225" s="67" t="s">
        <v>461</v>
      </c>
    </row>
    <row r="226" spans="1:6">
      <c r="A226" s="107" t="s">
        <v>462</v>
      </c>
      <c r="B226" s="108" t="s">
        <v>367</v>
      </c>
      <c r="C226" s="66" t="s">
        <v>99</v>
      </c>
      <c r="D226" s="63"/>
      <c r="E226" s="64">
        <v>1000</v>
      </c>
      <c r="F226" s="67" t="s">
        <v>461</v>
      </c>
    </row>
    <row r="227" spans="1:6">
      <c r="A227" s="107"/>
      <c r="B227" s="61" t="s">
        <v>356</v>
      </c>
      <c r="C227" s="62" t="s">
        <v>100</v>
      </c>
      <c r="D227" s="63"/>
      <c r="E227" s="64">
        <v>3096</v>
      </c>
      <c r="F227" s="65"/>
    </row>
    <row r="228" spans="1:6">
      <c r="A228" s="107"/>
      <c r="B228" s="61" t="s">
        <v>72</v>
      </c>
      <c r="C228" s="62" t="s">
        <v>463</v>
      </c>
      <c r="D228" s="63"/>
      <c r="E228" s="64"/>
      <c r="F228" s="65"/>
    </row>
    <row r="229" spans="1:6">
      <c r="A229" s="107"/>
      <c r="B229" s="61" t="s">
        <v>71</v>
      </c>
      <c r="C229" s="62" t="s">
        <v>464</v>
      </c>
      <c r="D229" s="63"/>
      <c r="E229" s="64">
        <v>2264</v>
      </c>
      <c r="F229" s="65"/>
    </row>
    <row r="230" spans="1:6">
      <c r="A230" s="107"/>
      <c r="B230" s="61"/>
      <c r="C230" s="62"/>
      <c r="D230" s="63"/>
      <c r="E230" s="64"/>
      <c r="F230" s="65"/>
    </row>
    <row r="231" spans="1:6" ht="15.2">
      <c r="A231" s="107"/>
      <c r="B231" s="61"/>
      <c r="C231" s="62"/>
      <c r="D231" s="63"/>
      <c r="E231" s="64"/>
      <c r="F231" s="65"/>
    </row>
    <row r="232" spans="1:6" ht="16.350000000000001">
      <c r="A232" s="111"/>
      <c r="B232" s="51" t="s">
        <v>84</v>
      </c>
      <c r="C232" s="52" t="s">
        <v>101</v>
      </c>
      <c r="D232" s="53" t="s">
        <v>86</v>
      </c>
      <c r="E232" s="54">
        <f>SUM(E233:E237)</f>
        <v>299</v>
      </c>
      <c r="F232" s="55" t="s">
        <v>87</v>
      </c>
    </row>
    <row r="233" spans="1:6">
      <c r="A233" s="107"/>
      <c r="B233" s="61" t="s">
        <v>283</v>
      </c>
      <c r="C233" s="66" t="s">
        <v>465</v>
      </c>
      <c r="D233" s="63"/>
      <c r="E233" s="64">
        <v>299</v>
      </c>
      <c r="F233" s="67" t="s">
        <v>466</v>
      </c>
    </row>
    <row r="234" spans="1:6">
      <c r="A234" s="107"/>
      <c r="B234" s="61"/>
      <c r="C234" s="62"/>
      <c r="D234" s="63"/>
      <c r="E234" s="64"/>
      <c r="F234" s="65"/>
    </row>
    <row r="235" spans="1:6">
      <c r="A235" s="107"/>
      <c r="B235" s="61"/>
      <c r="C235" s="62"/>
      <c r="D235" s="63"/>
      <c r="E235" s="64"/>
      <c r="F235" s="65"/>
    </row>
    <row r="236" spans="1:6">
      <c r="A236" s="107"/>
      <c r="B236" s="61"/>
      <c r="C236" s="62"/>
      <c r="D236" s="63"/>
      <c r="E236" s="64"/>
      <c r="F236" s="65"/>
    </row>
    <row r="237" spans="1:6" ht="15.2">
      <c r="A237" s="69"/>
      <c r="B237" s="69"/>
      <c r="C237" s="70"/>
      <c r="D237" s="69"/>
      <c r="E237" s="71"/>
      <c r="F237" s="70"/>
    </row>
    <row r="238" spans="1:6" ht="16.350000000000001">
      <c r="A238" s="53" t="s">
        <v>83</v>
      </c>
      <c r="B238" s="72" t="s">
        <v>112</v>
      </c>
      <c r="C238" s="52" t="s">
        <v>113</v>
      </c>
      <c r="D238" s="53" t="s">
        <v>86</v>
      </c>
      <c r="E238" s="54">
        <f>SUM(E239:E246)</f>
        <v>5118</v>
      </c>
      <c r="F238" s="55" t="s">
        <v>87</v>
      </c>
    </row>
    <row r="239" spans="1:6">
      <c r="A239" s="107"/>
      <c r="B239" s="108" t="s">
        <v>456</v>
      </c>
      <c r="C239" s="112" t="s">
        <v>115</v>
      </c>
      <c r="D239" s="63" t="s">
        <v>467</v>
      </c>
      <c r="E239" s="64">
        <v>1234</v>
      </c>
      <c r="F239" s="67" t="s">
        <v>458</v>
      </c>
    </row>
    <row r="240" spans="1:6">
      <c r="A240" s="107" t="s">
        <v>384</v>
      </c>
      <c r="B240" s="108" t="s">
        <v>428</v>
      </c>
      <c r="C240" s="112" t="s">
        <v>117</v>
      </c>
      <c r="D240" s="63"/>
      <c r="E240" s="64">
        <v>924</v>
      </c>
      <c r="F240" s="67" t="s">
        <v>92</v>
      </c>
    </row>
    <row r="241" spans="1:6">
      <c r="A241" s="107"/>
      <c r="B241" s="61" t="s">
        <v>310</v>
      </c>
      <c r="C241" s="113" t="s">
        <v>118</v>
      </c>
      <c r="D241" s="63"/>
      <c r="E241" s="64">
        <v>300</v>
      </c>
      <c r="F241" s="65" t="s">
        <v>468</v>
      </c>
    </row>
    <row r="242" spans="1:6">
      <c r="A242" s="107"/>
      <c r="B242" s="108" t="s">
        <v>423</v>
      </c>
      <c r="C242" s="112" t="s">
        <v>119</v>
      </c>
      <c r="D242" s="114"/>
      <c r="E242" s="115">
        <v>300</v>
      </c>
      <c r="F242" s="65"/>
    </row>
    <row r="243" spans="1:6">
      <c r="A243" s="107" t="s">
        <v>469</v>
      </c>
      <c r="B243" s="61"/>
      <c r="C243" s="113" t="s">
        <v>120</v>
      </c>
      <c r="D243" s="63"/>
      <c r="E243" s="64"/>
      <c r="F243" s="65"/>
    </row>
    <row r="244" spans="1:6">
      <c r="A244" s="107"/>
      <c r="B244" s="108" t="s">
        <v>456</v>
      </c>
      <c r="C244" s="112" t="s">
        <v>470</v>
      </c>
      <c r="D244" s="63"/>
      <c r="E244" s="64">
        <f>(12*215)-220</f>
        <v>2360</v>
      </c>
      <c r="F244" s="67" t="s">
        <v>471</v>
      </c>
    </row>
    <row r="245" spans="1:6">
      <c r="A245" s="61"/>
      <c r="B245" s="61"/>
      <c r="C245" s="113"/>
      <c r="D245" s="63"/>
      <c r="E245" s="64"/>
      <c r="F245" s="65"/>
    </row>
    <row r="246" spans="1:6">
      <c r="A246" s="61"/>
      <c r="B246" s="61"/>
      <c r="C246" s="113"/>
      <c r="D246" s="63"/>
      <c r="E246" s="64"/>
      <c r="F246" s="65"/>
    </row>
    <row r="247" spans="1:6" ht="15.2">
      <c r="A247" s="69"/>
      <c r="B247" s="69"/>
      <c r="C247" s="79"/>
      <c r="D247" s="69"/>
      <c r="E247" s="78"/>
      <c r="F247" s="65"/>
    </row>
    <row r="248" spans="1:6" ht="15.2">
      <c r="A248" s="53" t="s">
        <v>83</v>
      </c>
      <c r="B248" s="72" t="s">
        <v>112</v>
      </c>
      <c r="C248" s="80" t="s">
        <v>124</v>
      </c>
      <c r="D248" s="53" t="s">
        <v>86</v>
      </c>
      <c r="E248" s="81">
        <f>SUM(E250:E255)</f>
        <v>4416</v>
      </c>
      <c r="F248" s="55" t="s">
        <v>87</v>
      </c>
    </row>
    <row r="249" spans="1:6">
      <c r="A249" s="73"/>
      <c r="B249" s="73"/>
      <c r="C249" s="116"/>
      <c r="D249" s="73"/>
      <c r="E249" s="117"/>
      <c r="F249" s="60"/>
    </row>
    <row r="250" spans="1:6">
      <c r="A250" s="107" t="s">
        <v>125</v>
      </c>
      <c r="B250" s="108" t="s">
        <v>472</v>
      </c>
      <c r="C250" s="112" t="s">
        <v>127</v>
      </c>
      <c r="D250" s="63"/>
      <c r="E250" s="64">
        <v>0</v>
      </c>
      <c r="F250" s="67" t="s">
        <v>473</v>
      </c>
    </row>
    <row r="251" spans="1:6">
      <c r="A251" s="107"/>
      <c r="B251" s="61"/>
      <c r="C251" s="112" t="s">
        <v>129</v>
      </c>
      <c r="D251" s="63" t="s">
        <v>474</v>
      </c>
      <c r="E251" s="64">
        <v>1533</v>
      </c>
      <c r="F251" s="65"/>
    </row>
    <row r="252" spans="1:6">
      <c r="A252" s="107"/>
      <c r="B252" s="61"/>
      <c r="C252" s="112" t="s">
        <v>131</v>
      </c>
      <c r="D252" s="63"/>
      <c r="E252" s="64">
        <v>2858</v>
      </c>
      <c r="F252" s="65"/>
    </row>
    <row r="253" spans="1:6">
      <c r="A253" s="107"/>
      <c r="B253" s="61"/>
      <c r="C253" s="112" t="s">
        <v>132</v>
      </c>
      <c r="D253" s="63"/>
      <c r="E253" s="64">
        <v>25</v>
      </c>
      <c r="F253" s="65"/>
    </row>
    <row r="254" spans="1:6">
      <c r="A254" s="107"/>
      <c r="B254" s="61"/>
      <c r="C254" s="113"/>
      <c r="D254" s="63"/>
      <c r="E254" s="64"/>
      <c r="F254" s="65"/>
    </row>
    <row r="255" spans="1:6" ht="15.2">
      <c r="A255" s="118"/>
      <c r="B255" s="69"/>
      <c r="C255" s="70"/>
      <c r="D255" s="69"/>
      <c r="E255" s="71"/>
      <c r="F255" s="70"/>
    </row>
    <row r="256" spans="1:6" ht="15.2">
      <c r="A256" s="53" t="s">
        <v>83</v>
      </c>
      <c r="B256" s="72" t="s">
        <v>112</v>
      </c>
      <c r="C256" s="80" t="s">
        <v>135</v>
      </c>
      <c r="D256" s="53" t="s">
        <v>86</v>
      </c>
      <c r="E256" s="119">
        <f>SUM(E258:E263)</f>
        <v>4214</v>
      </c>
      <c r="F256" s="55" t="s">
        <v>87</v>
      </c>
    </row>
    <row r="257" spans="1:6">
      <c r="A257" s="73"/>
      <c r="B257" s="73"/>
      <c r="C257" s="74"/>
      <c r="D257" s="73"/>
      <c r="E257" s="59"/>
      <c r="F257" s="60"/>
    </row>
    <row r="258" spans="1:6">
      <c r="A258" s="61"/>
      <c r="B258" s="61"/>
      <c r="C258" s="112" t="s">
        <v>140</v>
      </c>
      <c r="D258" s="61" t="s">
        <v>161</v>
      </c>
      <c r="E258" s="59">
        <f>377*2+378*2</f>
        <v>1510</v>
      </c>
      <c r="F258" s="67" t="s">
        <v>473</v>
      </c>
    </row>
    <row r="259" spans="1:6">
      <c r="A259" s="61"/>
      <c r="B259" s="61"/>
      <c r="C259" s="112" t="s">
        <v>475</v>
      </c>
      <c r="D259" s="61" t="s">
        <v>161</v>
      </c>
      <c r="E259" s="59">
        <f>199*2</f>
        <v>398</v>
      </c>
      <c r="F259" s="67" t="s">
        <v>473</v>
      </c>
    </row>
    <row r="260" spans="1:6">
      <c r="A260" s="61"/>
      <c r="B260" s="61"/>
      <c r="C260" s="112" t="s">
        <v>144</v>
      </c>
      <c r="D260" s="61" t="s">
        <v>161</v>
      </c>
      <c r="E260" s="59">
        <f>199*2+199*2</f>
        <v>796</v>
      </c>
      <c r="F260" s="67" t="s">
        <v>473</v>
      </c>
    </row>
    <row r="261" spans="1:6">
      <c r="A261" s="61"/>
      <c r="B261" s="61"/>
      <c r="C261" s="112" t="s">
        <v>476</v>
      </c>
      <c r="D261" s="61"/>
      <c r="E261" s="59"/>
      <c r="F261" s="65"/>
    </row>
    <row r="262" spans="1:6">
      <c r="A262" s="61"/>
      <c r="B262" s="61"/>
      <c r="C262" s="112" t="s">
        <v>477</v>
      </c>
      <c r="D262" s="61" t="s">
        <v>143</v>
      </c>
      <c r="E262" s="59">
        <f>341+37</f>
        <v>378</v>
      </c>
      <c r="F262" s="65"/>
    </row>
    <row r="263" spans="1:6" ht="15.2">
      <c r="A263" s="120"/>
      <c r="B263" s="120"/>
      <c r="C263" s="121" t="s">
        <v>147</v>
      </c>
      <c r="D263" s="120" t="s">
        <v>238</v>
      </c>
      <c r="E263" s="59">
        <f>377*2+378</f>
        <v>1132</v>
      </c>
      <c r="F263" s="67" t="s">
        <v>473</v>
      </c>
    </row>
    <row r="264" spans="1:6" ht="15.2">
      <c r="A264" s="122"/>
      <c r="B264" s="122"/>
      <c r="C264" s="123"/>
      <c r="D264" s="122"/>
      <c r="E264" s="124"/>
    </row>
    <row r="265" spans="1:6" ht="15.2">
      <c r="A265" s="53" t="s">
        <v>83</v>
      </c>
      <c r="B265" s="72" t="s">
        <v>112</v>
      </c>
      <c r="C265" s="80" t="s">
        <v>148</v>
      </c>
      <c r="D265" s="53" t="s">
        <v>86</v>
      </c>
      <c r="E265" s="119">
        <f>SUM(E266:E268)</f>
        <v>954</v>
      </c>
      <c r="F265" s="55" t="s">
        <v>87</v>
      </c>
    </row>
    <row r="266" spans="1:6">
      <c r="A266" s="122"/>
      <c r="B266" s="122" t="s">
        <v>356</v>
      </c>
      <c r="C266" t="s">
        <v>478</v>
      </c>
      <c r="D266" s="122"/>
      <c r="E266" s="102">
        <v>954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XFC32"/>
  <sheetViews>
    <sheetView topLeftCell="C4" workbookViewId="0">
      <selection activeCell="G16" sqref="G16"/>
    </sheetView>
  </sheetViews>
  <sheetFormatPr defaultColWidth="8.875" defaultRowHeight="14.45"/>
  <cols>
    <col min="1" max="2" width="8.875" style="1"/>
    <col min="3" max="3" width="18.875" style="1" customWidth="1"/>
    <col min="4" max="16383" width="8.875" style="1"/>
  </cols>
  <sheetData>
    <row r="4" spans="3:20" ht="15.2">
      <c r="F4" s="1" t="s">
        <v>479</v>
      </c>
      <c r="H4" s="1" t="s">
        <v>480</v>
      </c>
    </row>
    <row r="5" spans="3:20" ht="15.2">
      <c r="F5" s="1" t="s">
        <v>481</v>
      </c>
      <c r="H5" s="1" t="s">
        <v>482</v>
      </c>
      <c r="K5" s="358" t="s">
        <v>483</v>
      </c>
      <c r="L5" s="17" t="s">
        <v>484</v>
      </c>
      <c r="M5" s="17" t="s">
        <v>485</v>
      </c>
      <c r="N5" s="17" t="s">
        <v>486</v>
      </c>
      <c r="P5" s="18" t="s">
        <v>487</v>
      </c>
      <c r="Q5" s="18"/>
      <c r="R5" s="18"/>
      <c r="S5" s="18"/>
      <c r="T5" s="18"/>
    </row>
    <row r="6" spans="3:20" ht="15.2">
      <c r="C6" s="1" t="s">
        <v>488</v>
      </c>
      <c r="D6" s="1" t="s">
        <v>489</v>
      </c>
      <c r="J6" s="1" t="s">
        <v>490</v>
      </c>
    </row>
    <row r="7" spans="3:20">
      <c r="C7" s="2" t="s">
        <v>491</v>
      </c>
      <c r="D7" s="3" t="s">
        <v>492</v>
      </c>
      <c r="E7" s="3" t="s">
        <v>493</v>
      </c>
      <c r="F7" s="3">
        <v>701</v>
      </c>
      <c r="G7" s="3" t="s">
        <v>494</v>
      </c>
      <c r="H7" s="4" t="s">
        <v>495</v>
      </c>
      <c r="I7" s="19" t="s">
        <v>496</v>
      </c>
      <c r="J7" s="20"/>
      <c r="K7" s="21"/>
      <c r="L7" s="22">
        <v>0.96180555555555602</v>
      </c>
      <c r="M7" s="23"/>
      <c r="N7" s="21"/>
      <c r="O7" s="24"/>
    </row>
    <row r="8" spans="3:20">
      <c r="C8" s="5" t="s">
        <v>497</v>
      </c>
      <c r="D8" s="6" t="s">
        <v>498</v>
      </c>
      <c r="E8" s="6" t="s">
        <v>499</v>
      </c>
      <c r="F8" s="6">
        <v>1386</v>
      </c>
      <c r="G8" s="6" t="s">
        <v>500</v>
      </c>
      <c r="H8" s="7" t="s">
        <v>495</v>
      </c>
      <c r="I8" s="25"/>
      <c r="J8" s="26">
        <v>0.77777777777777801</v>
      </c>
      <c r="K8" s="27">
        <v>0.77083333333333304</v>
      </c>
      <c r="L8" s="28">
        <v>0.77291666666666703</v>
      </c>
      <c r="M8" s="29"/>
      <c r="N8" s="14"/>
      <c r="O8" s="30"/>
    </row>
    <row r="9" spans="3:20">
      <c r="C9" s="5" t="s">
        <v>497</v>
      </c>
      <c r="D9" s="6" t="s">
        <v>498</v>
      </c>
      <c r="E9" s="6" t="s">
        <v>499</v>
      </c>
      <c r="F9" s="6">
        <v>1387</v>
      </c>
      <c r="G9" s="6" t="s">
        <v>500</v>
      </c>
      <c r="H9" s="7" t="s">
        <v>495</v>
      </c>
      <c r="I9" s="25"/>
      <c r="J9" s="31"/>
      <c r="K9" s="32"/>
      <c r="L9" s="33"/>
      <c r="M9" s="29"/>
      <c r="N9" s="14"/>
      <c r="O9" s="30"/>
    </row>
    <row r="10" spans="3:20">
      <c r="C10" s="5"/>
      <c r="D10" s="6" t="s">
        <v>501</v>
      </c>
      <c r="E10" s="6" t="s">
        <v>502</v>
      </c>
      <c r="F10" s="6">
        <v>841</v>
      </c>
      <c r="G10" s="6" t="s">
        <v>503</v>
      </c>
      <c r="H10" s="7">
        <v>30</v>
      </c>
      <c r="I10" s="25"/>
      <c r="J10" s="26">
        <v>0.82291666666666696</v>
      </c>
      <c r="K10" s="14"/>
      <c r="L10" s="30"/>
      <c r="M10" s="29"/>
      <c r="N10" s="14"/>
      <c r="O10" s="30"/>
    </row>
    <row r="11" spans="3:20">
      <c r="C11" s="5"/>
      <c r="D11" s="6" t="s">
        <v>498</v>
      </c>
      <c r="E11" s="6" t="s">
        <v>499</v>
      </c>
      <c r="F11" s="6">
        <v>1382</v>
      </c>
      <c r="G11" s="6" t="s">
        <v>500</v>
      </c>
      <c r="H11" s="7" t="s">
        <v>495</v>
      </c>
      <c r="I11" s="25"/>
      <c r="J11" s="26">
        <v>0.84375</v>
      </c>
      <c r="K11" s="14"/>
      <c r="L11" s="30"/>
      <c r="M11" s="29"/>
      <c r="N11" s="14"/>
      <c r="O11" s="30"/>
    </row>
    <row r="12" spans="3:20">
      <c r="C12" s="5"/>
      <c r="D12" s="6" t="s">
        <v>501</v>
      </c>
      <c r="E12" s="6" t="s">
        <v>502</v>
      </c>
      <c r="F12" s="6">
        <v>848</v>
      </c>
      <c r="G12" s="6" t="s">
        <v>503</v>
      </c>
      <c r="H12" s="7">
        <v>30</v>
      </c>
      <c r="I12" s="25"/>
      <c r="J12" s="31"/>
      <c r="K12" s="32"/>
      <c r="L12" s="33"/>
      <c r="M12" s="29"/>
      <c r="N12" s="14"/>
      <c r="O12" s="30"/>
    </row>
    <row r="13" spans="3:20">
      <c r="C13" s="5"/>
      <c r="D13" s="6" t="s">
        <v>498</v>
      </c>
      <c r="E13" s="6" t="s">
        <v>499</v>
      </c>
      <c r="F13" s="6">
        <v>1383</v>
      </c>
      <c r="G13" s="6" t="s">
        <v>500</v>
      </c>
      <c r="H13" s="7" t="s">
        <v>495</v>
      </c>
      <c r="I13" s="25"/>
      <c r="J13" s="31"/>
      <c r="K13" s="32"/>
      <c r="L13" s="33"/>
      <c r="M13" s="29"/>
      <c r="N13" s="14"/>
      <c r="O13" s="30"/>
    </row>
    <row r="14" spans="3:20">
      <c r="C14" s="5"/>
      <c r="D14" s="6" t="s">
        <v>504</v>
      </c>
      <c r="E14" s="6" t="s">
        <v>505</v>
      </c>
      <c r="F14" s="6">
        <v>125</v>
      </c>
      <c r="G14" s="6" t="s">
        <v>506</v>
      </c>
      <c r="H14" s="7" t="s">
        <v>507</v>
      </c>
      <c r="I14" s="25"/>
      <c r="J14" s="26">
        <v>0.88958333333333295</v>
      </c>
      <c r="K14" s="14"/>
      <c r="L14" s="30"/>
      <c r="M14" s="29"/>
      <c r="N14" s="14"/>
      <c r="O14" s="30"/>
    </row>
    <row r="15" spans="3:20" ht="15.2">
      <c r="C15" s="8"/>
      <c r="D15" s="9" t="s">
        <v>508</v>
      </c>
      <c r="E15" s="9" t="s">
        <v>509</v>
      </c>
      <c r="F15" s="9">
        <v>4091</v>
      </c>
      <c r="G15" s="9" t="s">
        <v>510</v>
      </c>
      <c r="H15" s="10">
        <v>10</v>
      </c>
      <c r="I15" s="34"/>
      <c r="J15" s="35">
        <v>0.98958333333333304</v>
      </c>
      <c r="K15" s="16"/>
      <c r="L15" s="36"/>
      <c r="M15" s="37"/>
      <c r="N15" s="16"/>
      <c r="O15" s="36"/>
    </row>
    <row r="16" spans="3:20" s="1" customFormat="1">
      <c r="T16" s="46"/>
    </row>
    <row r="17" spans="3:22" s="1" customFormat="1" ht="15.2"/>
    <row r="18" spans="3:22" ht="15.2">
      <c r="M18" s="359" t="s">
        <v>511</v>
      </c>
      <c r="N18" s="360"/>
      <c r="O18" s="361"/>
    </row>
    <row r="19" spans="3:22" ht="15.2"/>
    <row r="20" spans="3:22" ht="15.2">
      <c r="C20" s="1" t="s">
        <v>512</v>
      </c>
      <c r="M20" s="359" t="s">
        <v>513</v>
      </c>
      <c r="N20" s="360"/>
      <c r="O20" s="361"/>
      <c r="P20" s="38" t="s">
        <v>514</v>
      </c>
      <c r="Q20" s="38">
        <v>0</v>
      </c>
      <c r="R20" s="38" t="s">
        <v>515</v>
      </c>
      <c r="S20" s="47" t="s">
        <v>516</v>
      </c>
      <c r="T20" s="48"/>
      <c r="U20" s="49"/>
      <c r="V20" s="18"/>
    </row>
    <row r="21" spans="3:22" ht="15.2">
      <c r="C21" s="11"/>
      <c r="D21" s="12" t="s">
        <v>504</v>
      </c>
      <c r="E21" s="12" t="s">
        <v>505</v>
      </c>
      <c r="F21" s="12">
        <v>283</v>
      </c>
      <c r="G21" s="12" t="s">
        <v>506</v>
      </c>
      <c r="H21" s="12" t="s">
        <v>496</v>
      </c>
      <c r="I21" s="39"/>
      <c r="J21" s="40">
        <v>3.7499999999999999E-2</v>
      </c>
      <c r="K21" s="41"/>
      <c r="L21" s="42"/>
      <c r="M21" s="43"/>
      <c r="N21" s="41"/>
      <c r="O21" s="42"/>
    </row>
    <row r="22" spans="3:22">
      <c r="C22" s="5"/>
      <c r="D22" s="6" t="s">
        <v>504</v>
      </c>
      <c r="E22" s="6" t="s">
        <v>505</v>
      </c>
      <c r="F22" s="6">
        <v>284</v>
      </c>
      <c r="G22" s="6" t="s">
        <v>506</v>
      </c>
      <c r="H22" s="6" t="s">
        <v>507</v>
      </c>
      <c r="I22" s="44"/>
      <c r="J22" s="41">
        <v>12</v>
      </c>
      <c r="K22" s="32"/>
      <c r="L22" s="33"/>
      <c r="M22" s="29"/>
      <c r="N22" s="14"/>
      <c r="O22" s="30"/>
      <c r="R22" s="362" t="s">
        <v>517</v>
      </c>
      <c r="S22" s="363"/>
      <c r="T22" s="363"/>
      <c r="U22" s="363"/>
      <c r="V22" s="364"/>
    </row>
    <row r="23" spans="3:22" ht="15.2">
      <c r="C23" s="5"/>
      <c r="D23" s="6" t="s">
        <v>508</v>
      </c>
      <c r="E23" s="6" t="s">
        <v>509</v>
      </c>
      <c r="F23" s="6">
        <v>4091</v>
      </c>
      <c r="G23" s="6" t="s">
        <v>518</v>
      </c>
      <c r="H23" s="6">
        <v>10</v>
      </c>
      <c r="I23" s="44"/>
      <c r="J23" s="31"/>
      <c r="K23" s="32"/>
      <c r="L23" s="33"/>
      <c r="M23" s="29"/>
      <c r="N23" s="14"/>
      <c r="O23" s="30"/>
      <c r="R23" s="365" t="s">
        <v>519</v>
      </c>
      <c r="S23" s="366"/>
      <c r="T23" s="366"/>
      <c r="U23" s="366"/>
      <c r="V23" s="367"/>
    </row>
    <row r="24" spans="3:22">
      <c r="C24" s="5"/>
      <c r="D24" s="6" t="s">
        <v>504</v>
      </c>
      <c r="E24" s="6" t="s">
        <v>505</v>
      </c>
      <c r="F24" s="6">
        <v>124</v>
      </c>
      <c r="G24" s="6" t="s">
        <v>506</v>
      </c>
      <c r="H24" s="6" t="s">
        <v>496</v>
      </c>
      <c r="I24" s="44"/>
      <c r="J24" s="31"/>
      <c r="K24" s="32"/>
      <c r="L24" s="33"/>
      <c r="M24" s="29"/>
      <c r="N24" s="14"/>
      <c r="O24" s="30"/>
    </row>
    <row r="25" spans="3:22" ht="15.2">
      <c r="C25" s="5"/>
      <c r="D25" s="6">
        <v>320</v>
      </c>
      <c r="E25" s="6" t="s">
        <v>520</v>
      </c>
      <c r="F25" s="6">
        <v>2420</v>
      </c>
      <c r="G25" s="6" t="s">
        <v>521</v>
      </c>
      <c r="H25" s="6" t="s">
        <v>496</v>
      </c>
      <c r="I25" s="44"/>
      <c r="J25" s="35">
        <v>0.26736111111111099</v>
      </c>
      <c r="K25" s="16"/>
      <c r="L25" s="36"/>
      <c r="M25" s="29"/>
      <c r="N25" s="14"/>
      <c r="O25" s="30"/>
    </row>
    <row r="26" spans="3:22">
      <c r="C26" s="5"/>
      <c r="D26" s="6"/>
      <c r="E26" s="6"/>
      <c r="F26" s="6"/>
      <c r="G26" s="6"/>
      <c r="H26" s="6"/>
      <c r="I26" s="14"/>
      <c r="J26" s="45"/>
      <c r="K26" s="45"/>
      <c r="L26" s="45"/>
      <c r="M26" s="14"/>
      <c r="N26" s="14"/>
      <c r="O26" s="30"/>
    </row>
    <row r="27" spans="3:22">
      <c r="C27" s="5"/>
      <c r="D27" s="6"/>
      <c r="E27" s="6"/>
      <c r="F27" s="6"/>
      <c r="G27" s="6"/>
      <c r="H27" s="6"/>
      <c r="I27" s="14"/>
      <c r="J27" s="14"/>
      <c r="K27" s="14"/>
      <c r="L27" s="14"/>
      <c r="M27" s="14"/>
      <c r="N27" s="14"/>
      <c r="O27" s="30"/>
    </row>
    <row r="28" spans="3:22">
      <c r="C28" s="5"/>
      <c r="D28" s="6"/>
      <c r="E28" s="6"/>
      <c r="F28" s="6"/>
      <c r="G28" s="6"/>
      <c r="H28" s="6"/>
      <c r="I28" s="14"/>
      <c r="J28" s="14"/>
      <c r="K28" s="14"/>
      <c r="L28" s="14"/>
      <c r="M28" s="14"/>
      <c r="N28" s="14"/>
      <c r="O28" s="30"/>
    </row>
    <row r="29" spans="3:22">
      <c r="C29" s="13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30"/>
    </row>
    <row r="30" spans="3:22"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30"/>
    </row>
    <row r="31" spans="3:22"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30"/>
    </row>
    <row r="32" spans="3:22" ht="15.2"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36"/>
    </row>
  </sheetData>
  <autoFilter ref="C6:L15" xr:uid="{00000000-0009-0000-0000-000006000000}"/>
  <conditionalFormatting sqref="M18">
    <cfRule type="cellIs" dxfId="4" priority="5" operator="equal">
      <formula>"VACIA"</formula>
    </cfRule>
  </conditionalFormatting>
  <conditionalFormatting sqref="J21:L32">
    <cfRule type="cellIs" dxfId="3" priority="1" operator="equal">
      <formula>0</formula>
    </cfRule>
  </conditionalFormatting>
  <conditionalFormatting sqref="J21:L29">
    <cfRule type="cellIs" dxfId="2" priority="4" operator="equal">
      <formula>0</formula>
    </cfRule>
    <cfRule type="cellIs" dxfId="1" priority="2" operator="between">
      <formula>0</formula>
      <formula>0</formula>
    </cfRule>
  </conditionalFormatting>
  <conditionalFormatting sqref="J21:L30">
    <cfRule type="cellIs" dxfId="0" priority="3" operator="equal">
      <formula>0</formula>
    </cfRule>
  </conditionalFormatting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jaque</dc:creator>
  <cp:keywords/>
  <dc:description/>
  <cp:lastModifiedBy>Claudia Jacqueline Hernandez Mesones</cp:lastModifiedBy>
  <cp:revision/>
  <dcterms:created xsi:type="dcterms:W3CDTF">2023-04-01T20:48:00Z</dcterms:created>
  <dcterms:modified xsi:type="dcterms:W3CDTF">2023-06-18T00:12:52Z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1C29987FF30F4B2BA1E57BABEB3B8335</vt:lpwstr>
  </property>
  <property fmtid="{D5CDD505-2E9C-101B-9397-08002B2CF9AE}" pid="3" name="KSOProductBuildVer">
    <vt:lpwstr>2058-11.2.0.11219</vt:lpwstr>
  </property>
</Properties>
</file>