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055"/>
  </bookViews>
  <sheets>
    <sheet name="Experimental Data" sheetId="2" r:id="rId1"/>
  </sheets>
  <definedNames>
    <definedName name="n0021cd_partial_data_set" localSheetId="0">'Experimental Data'!$A$101:$N$163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9" i="2" l="1"/>
  <c r="M62" i="2"/>
  <c r="M64" i="2" s="1"/>
  <c r="F34" i="2"/>
  <c r="F35" i="2" s="1"/>
  <c r="B34" i="2"/>
  <c r="B35" i="2" s="1"/>
  <c r="Q69" i="2"/>
  <c r="R69" i="2"/>
  <c r="R71" i="2" s="1"/>
  <c r="D79" i="2" s="1"/>
  <c r="S69" i="2"/>
  <c r="S71" i="2" s="1"/>
  <c r="D83" i="2" s="1"/>
  <c r="R55" i="2"/>
  <c r="S55" i="2"/>
  <c r="Q55" i="2"/>
  <c r="Q59" i="2"/>
  <c r="Q62" i="2" s="1"/>
  <c r="R59" i="2"/>
  <c r="S59" i="2"/>
  <c r="S62" i="2" s="1"/>
  <c r="R62" i="2"/>
  <c r="R64" i="2" s="1"/>
  <c r="N69" i="2"/>
  <c r="N71" i="2" s="1"/>
  <c r="C79" i="2" s="1"/>
  <c r="O69" i="2"/>
  <c r="M69" i="2"/>
  <c r="B71" i="2" s="1"/>
  <c r="N59" i="2"/>
  <c r="N62" i="2" s="1"/>
  <c r="O59" i="2"/>
  <c r="O62" i="2" s="1"/>
  <c r="M59" i="2"/>
  <c r="H40" i="2"/>
  <c r="I40" i="2"/>
  <c r="I41" i="2" s="1"/>
  <c r="H31" i="2"/>
  <c r="H32" i="2" s="1"/>
  <c r="H33" i="2" s="1"/>
  <c r="I31" i="2"/>
  <c r="I34" i="2" s="1"/>
  <c r="I35" i="2" s="1"/>
  <c r="H27" i="2"/>
  <c r="I27" i="2"/>
  <c r="Q5" i="2"/>
  <c r="B19" i="2" s="1"/>
  <c r="Q10" i="2"/>
  <c r="B47" i="2" s="1"/>
  <c r="B48" i="2" s="1"/>
  <c r="O12" i="2"/>
  <c r="N12" i="2"/>
  <c r="M12" i="2"/>
  <c r="P12" i="2" s="1"/>
  <c r="P5" i="2"/>
  <c r="B18" i="2" s="1"/>
  <c r="P6" i="2"/>
  <c r="R6" i="2" s="1"/>
  <c r="Q6" i="2"/>
  <c r="P7" i="2"/>
  <c r="M18" i="2" s="1"/>
  <c r="Q7" i="2"/>
  <c r="M19" i="2"/>
  <c r="P8" i="2"/>
  <c r="Q8" i="2"/>
  <c r="P9" i="2"/>
  <c r="Q70" i="2" s="1"/>
  <c r="Q9" i="2"/>
  <c r="P10" i="2"/>
  <c r="P11" i="2"/>
  <c r="Q11" i="2"/>
  <c r="I32" i="2"/>
  <c r="I33" i="2"/>
  <c r="Q12" i="2"/>
  <c r="B7" i="2"/>
  <c r="B10" i="2"/>
  <c r="E5" i="2"/>
  <c r="G40" i="2"/>
  <c r="G41" i="2" s="1"/>
  <c r="G31" i="2"/>
  <c r="G34" i="2" s="1"/>
  <c r="G35" i="2" s="1"/>
  <c r="G27" i="2"/>
  <c r="G32" i="2"/>
  <c r="G33" i="2"/>
  <c r="B8" i="2"/>
  <c r="B11" i="2" s="1"/>
  <c r="E69" i="2"/>
  <c r="C69" i="2"/>
  <c r="I75" i="2" s="1"/>
  <c r="D69" i="2"/>
  <c r="J75" i="2" s="1"/>
  <c r="F59" i="2"/>
  <c r="E59" i="2"/>
  <c r="E62" i="2" s="1"/>
  <c r="D59" i="2"/>
  <c r="D62" i="2" s="1"/>
  <c r="C59" i="2"/>
  <c r="C62" i="2" s="1"/>
  <c r="B59" i="2"/>
  <c r="B62" i="2" s="1"/>
  <c r="F55" i="2"/>
  <c r="E55" i="2"/>
  <c r="E60" i="2" s="1"/>
  <c r="E61" i="2" s="1"/>
  <c r="D55" i="2"/>
  <c r="C55" i="2"/>
  <c r="B55" i="2"/>
  <c r="B60" i="2"/>
  <c r="B61" i="2" s="1"/>
  <c r="C60" i="2"/>
  <c r="C61" i="2" s="1"/>
  <c r="D60" i="2"/>
  <c r="D61" i="2" s="1"/>
  <c r="F60" i="2"/>
  <c r="F61" i="2" s="1"/>
  <c r="Q40" i="2"/>
  <c r="P40" i="2"/>
  <c r="O40" i="2"/>
  <c r="O35" i="2" s="1"/>
  <c r="O44" i="2" s="1"/>
  <c r="N40" i="2"/>
  <c r="M40" i="2"/>
  <c r="Q31" i="2"/>
  <c r="P31" i="2"/>
  <c r="O31" i="2"/>
  <c r="O34" i="2" s="1"/>
  <c r="O43" i="2" s="1"/>
  <c r="O41" i="2" s="1"/>
  <c r="N31" i="2"/>
  <c r="M31" i="2"/>
  <c r="M34" i="2" s="1"/>
  <c r="M43" i="2" s="1"/>
  <c r="M41" i="2" s="1"/>
  <c r="Q27" i="2"/>
  <c r="P27" i="2"/>
  <c r="O27" i="2"/>
  <c r="N27" i="2"/>
  <c r="N34" i="2" s="1"/>
  <c r="N43" i="2" s="1"/>
  <c r="N41" i="2" s="1"/>
  <c r="M27" i="2"/>
  <c r="B27" i="2"/>
  <c r="C27" i="2"/>
  <c r="D27" i="2"/>
  <c r="E27" i="2"/>
  <c r="F27" i="2"/>
  <c r="B31" i="2"/>
  <c r="C31" i="2"/>
  <c r="C34" i="2" s="1"/>
  <c r="C35" i="2" s="1"/>
  <c r="D31" i="2"/>
  <c r="D34" i="2" s="1"/>
  <c r="D35" i="2" s="1"/>
  <c r="E31" i="2"/>
  <c r="E34" i="2" s="1"/>
  <c r="E35" i="2" s="1"/>
  <c r="F31" i="2"/>
  <c r="Q32" i="2"/>
  <c r="Q33" i="2" s="1"/>
  <c r="B32" i="2"/>
  <c r="B33" i="2" s="1"/>
  <c r="M32" i="2"/>
  <c r="M33" i="2" s="1"/>
  <c r="O32" i="2"/>
  <c r="O33" i="2" s="1"/>
  <c r="P32" i="2"/>
  <c r="P33" i="2" s="1"/>
  <c r="F32" i="2"/>
  <c r="F33" i="2" s="1"/>
  <c r="E32" i="2"/>
  <c r="E33" i="2" s="1"/>
  <c r="D32" i="2"/>
  <c r="D33" i="2" s="1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91" i="2"/>
  <c r="O88" i="2"/>
  <c r="P88" i="2"/>
  <c r="Q88" i="2"/>
  <c r="R88" i="2"/>
  <c r="N88" i="2"/>
  <c r="F40" i="2"/>
  <c r="F41" i="2" s="1"/>
  <c r="E40" i="2"/>
  <c r="D40" i="2"/>
  <c r="D41" i="2" s="1"/>
  <c r="C40" i="2"/>
  <c r="B40" i="2"/>
  <c r="B41" i="2" s="1"/>
  <c r="R8" i="2"/>
  <c r="C41" i="2" l="1"/>
  <c r="B64" i="2"/>
  <c r="B63" i="2"/>
  <c r="H76" i="2" s="1"/>
  <c r="O71" i="2"/>
  <c r="C83" i="2" s="1"/>
  <c r="O63" i="2"/>
  <c r="O64" i="2"/>
  <c r="Q71" i="2"/>
  <c r="D75" i="2" s="1"/>
  <c r="Q63" i="2"/>
  <c r="Q64" i="2"/>
  <c r="C63" i="2"/>
  <c r="I76" i="2" s="1"/>
  <c r="C64" i="2"/>
  <c r="M35" i="2"/>
  <c r="M44" i="2" s="1"/>
  <c r="D63" i="2"/>
  <c r="J76" i="2" s="1"/>
  <c r="D64" i="2"/>
  <c r="B77" i="2" s="1"/>
  <c r="N64" i="2"/>
  <c r="N63" i="2"/>
  <c r="N35" i="2"/>
  <c r="N44" i="2" s="1"/>
  <c r="E63" i="2"/>
  <c r="K76" i="2" s="1"/>
  <c r="E64" i="2"/>
  <c r="E70" i="2"/>
  <c r="S64" i="2"/>
  <c r="S63" i="2"/>
  <c r="B70" i="2"/>
  <c r="E41" i="2"/>
  <c r="R5" i="2"/>
  <c r="C70" i="2"/>
  <c r="M63" i="2"/>
  <c r="R63" i="2"/>
  <c r="M70" i="2"/>
  <c r="R70" i="2"/>
  <c r="E71" i="2"/>
  <c r="B83" i="2" s="1"/>
  <c r="M71" i="2"/>
  <c r="C75" i="2" s="1"/>
  <c r="H75" i="2"/>
  <c r="N32" i="2"/>
  <c r="N33" i="2" s="1"/>
  <c r="R7" i="2"/>
  <c r="H34" i="2"/>
  <c r="H35" i="2" s="1"/>
  <c r="D70" i="2"/>
  <c r="N70" i="2"/>
  <c r="S70" i="2"/>
  <c r="D71" i="2"/>
  <c r="B79" i="2" s="1"/>
  <c r="K75" i="2"/>
  <c r="C32" i="2"/>
  <c r="C33" i="2" s="1"/>
  <c r="O70" i="2"/>
  <c r="C71" i="2"/>
  <c r="B75" i="2" s="1"/>
  <c r="H41" i="2" l="1"/>
  <c r="B81" i="2"/>
  <c r="B73" i="2"/>
</calcChain>
</file>

<file path=xl/sharedStrings.xml><?xml version="1.0" encoding="utf-8"?>
<sst xmlns="http://schemas.openxmlformats.org/spreadsheetml/2006/main" count="127" uniqueCount="75">
  <si>
    <t>Lab Group 3</t>
  </si>
  <si>
    <t xml:space="preserve"> at Standard Temperature and Pressure (STP)</t>
  </si>
  <si>
    <t>15:10-16:30</t>
  </si>
  <si>
    <t>R_dry_air</t>
  </si>
  <si>
    <t>J/kg K</t>
  </si>
  <si>
    <t xml:space="preserve">T </t>
  </si>
  <si>
    <r>
      <t>º</t>
    </r>
    <r>
      <rPr>
        <sz val="11"/>
        <color theme="1"/>
        <rFont val="Calibri"/>
        <family val="2"/>
        <scheme val="minor"/>
      </rPr>
      <t>C</t>
    </r>
  </si>
  <si>
    <t>averages</t>
  </si>
  <si>
    <t>T_S125 [F], at time (15:24)</t>
  </si>
  <si>
    <t>p_air</t>
  </si>
  <si>
    <t>Pa</t>
  </si>
  <si>
    <t>length measurements</t>
  </si>
  <si>
    <t>[inch]</t>
  </si>
  <si>
    <t>[mm]</t>
  </si>
  <si>
    <t>blockage</t>
  </si>
  <si>
    <t>T_S125 [F], at time (15:54)</t>
  </si>
  <si>
    <t>rho_STP=</t>
  </si>
  <si>
    <t>kg/m3</t>
  </si>
  <si>
    <t>Round cylinder [in] - D</t>
  </si>
  <si>
    <t>T_S125 [F], at time (16:24)</t>
  </si>
  <si>
    <t>Round cylinder [in] - L</t>
  </si>
  <si>
    <t>T_S125, avg [F]</t>
  </si>
  <si>
    <t>Square [in] - H</t>
  </si>
  <si>
    <t>T_S125 [C]</t>
  </si>
  <si>
    <t>Square [in] - L</t>
  </si>
  <si>
    <t>p_S125 [in Hg]</t>
  </si>
  <si>
    <t>Airfoil [in] - D</t>
  </si>
  <si>
    <t>p_S125 [Pa]</t>
  </si>
  <si>
    <t>Airfoil [in] - chord</t>
  </si>
  <si>
    <t>rho_air [kg/m^3]=</t>
  </si>
  <si>
    <t>Airfoil [in] - L</t>
  </si>
  <si>
    <t>mu_air [Ns/m^2]</t>
  </si>
  <si>
    <t>Airfoil [in] - D calc from chord</t>
  </si>
  <si>
    <t>nu_air [m^2/s]</t>
  </si>
  <si>
    <t>rho_H2O [kg/m^3]</t>
  </si>
  <si>
    <t>Round Cylinder</t>
  </si>
  <si>
    <t>Square</t>
  </si>
  <si>
    <t>D [inch]</t>
  </si>
  <si>
    <t>D [m]</t>
  </si>
  <si>
    <t>runs 1, 2, 3, 4: no tape</t>
  </si>
  <si>
    <t xml:space="preserve">runs 5, 6, 7, 8: tape facing forward </t>
  </si>
  <si>
    <t>Run</t>
  </si>
  <si>
    <t>fan RPM</t>
  </si>
  <si>
    <t>manometer h_1 [inch]</t>
  </si>
  <si>
    <t>man h_1 avg [inch]</t>
  </si>
  <si>
    <t>manometer h_2 [inch]</t>
  </si>
  <si>
    <t>man h_2 avg [inch]</t>
  </si>
  <si>
    <t>delta h [inch]</t>
  </si>
  <si>
    <t>delta h [m]</t>
  </si>
  <si>
    <t>U_inf [m/s]=</t>
  </si>
  <si>
    <t>Re_D=</t>
  </si>
  <si>
    <t>c_D=</t>
  </si>
  <si>
    <t>F_drag [N]</t>
  </si>
  <si>
    <t>F_drag, avg [N]</t>
  </si>
  <si>
    <t>c_D</t>
  </si>
  <si>
    <t>comparative values from literature</t>
  </si>
  <si>
    <t>NACA 0020 Airfoil</t>
  </si>
  <si>
    <t>AoA=0 deg</t>
  </si>
  <si>
    <t>AoA=8 deg</t>
  </si>
  <si>
    <t>AoA=16 deg</t>
  </si>
  <si>
    <t>chord c [mm]</t>
  </si>
  <si>
    <t>height = 0.2*chord [mm]</t>
  </si>
  <si>
    <t>Re_H=</t>
  </si>
  <si>
    <t>Re_c=</t>
  </si>
  <si>
    <t>c_D,H</t>
  </si>
  <si>
    <t>c_D,c</t>
  </si>
  <si>
    <t>Re_c =</t>
  </si>
  <si>
    <t>AoA</t>
  </si>
  <si>
    <t>Sheldahl &amp; Klimas data, NACA 0021 (close to NACA 0020)</t>
  </si>
  <si>
    <t>Reynolds number</t>
  </si>
  <si>
    <t>change to Reynolds number based on foil height, and drag coefficient based on flow-facing area</t>
  </si>
  <si>
    <t>Re_c</t>
  </si>
  <si>
    <t>Re_D</t>
  </si>
  <si>
    <t>ALPHA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</si>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</sst>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[$-F800]dddd\,\ mmmm\ dd\,\ yyyy"/>
    <numFmt numFmtId="167" formatCode="0.000E+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u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10" fontId="0" fillId="0" borderId="0" xfId="1" applyNumberFormat="1" applyFont="1"/>
    <xf numFmtId="0" fontId="6" fillId="0" borderId="0" xfId="0" applyFont="1" applyBorder="1"/>
    <xf numFmtId="0" fontId="0" fillId="0" borderId="0" xfId="0" applyBorder="1"/>
    <xf numFmtId="0" fontId="8" fillId="0" borderId="0" xfId="0" applyFont="1"/>
    <xf numFmtId="0" fontId="0" fillId="3" borderId="0" xfId="0" applyFill="1" applyBorder="1"/>
    <xf numFmtId="0" fontId="5" fillId="3" borderId="0" xfId="0" applyFont="1" applyFill="1" applyBorder="1"/>
    <xf numFmtId="0" fontId="3" fillId="0" borderId="0" xfId="0" applyFont="1"/>
    <xf numFmtId="0" fontId="0" fillId="4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0" fillId="0" borderId="1" xfId="0" applyNumberFormat="1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504824</xdr:colOff>
      <xdr:row>7</xdr:row>
      <xdr:rowOff>34977</xdr:rowOff>
    </xdr:from>
    <xdr:to>
      <xdr:col>5</xdr:col>
      <xdr:colOff>505557</xdr:colOff>
      <xdr:row>10</xdr:row>
      <xdr:rowOff>104774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49" y="1416102"/>
          <a:ext cx="1467583" cy="641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304800</xdr:colOff>
      <xdr:row>10</xdr:row>
      <xdr:rowOff>152400</xdr:rowOff>
    </xdr:from>
    <xdr:to>
      <xdr:col>6</xdr:col>
      <xdr:colOff>255191</xdr:colOff>
      <xdr:row>12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25" y="2105025"/>
          <a:ext cx="2131616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tabSelected="1" topLeftCell="A16" zoomScaleNormal="100" workbookViewId="0">
      <selection activeCell="B81" sqref="B81"/>
    </sheetView>
  </sheetViews>
  <sheetFormatPr defaultRowHeight="15" x14ac:dyDescent="0.25"/>
  <cols>
    <col min="1" max="1" width="31.85546875" customWidth="1"/>
    <col min="2" max="2" width="10.7109375" style="6" customWidth="1"/>
    <col min="3" max="3" width="10.7109375" customWidth="1"/>
    <col min="4" max="4" width="11.28515625" style="6" customWidth="1"/>
    <col min="5" max="6" width="10.7109375" style="6" customWidth="1"/>
    <col min="7" max="10" width="10.7109375" customWidth="1"/>
    <col min="11" max="11" width="13.42578125" customWidth="1"/>
    <col min="12" max="12" width="26.85546875" customWidth="1"/>
    <col min="13" max="17" width="10.7109375" customWidth="1"/>
    <col min="18" max="19" width="9.28515625" customWidth="1"/>
  </cols>
  <sheetData>
    <row r="1" spans="1:18" ht="18.75" x14ac:dyDescent="0.3">
      <c r="A1" s="7" t="s">
        <v>0</v>
      </c>
      <c r="B1" s="41"/>
      <c r="D1" s="41" t="s">
        <v>1</v>
      </c>
      <c r="E1" s="41"/>
      <c r="F1" s="41"/>
    </row>
    <row r="2" spans="1:18" x14ac:dyDescent="0.25">
      <c r="A2" s="5">
        <v>43438</v>
      </c>
      <c r="B2" s="41" t="s">
        <v>2</v>
      </c>
      <c r="D2" s="35" t="s">
        <v>3</v>
      </c>
      <c r="E2" s="35">
        <v>287</v>
      </c>
      <c r="F2" s="35" t="s">
        <v>4</v>
      </c>
      <c r="G2" s="14"/>
      <c r="H2" s="14"/>
      <c r="I2" s="14"/>
    </row>
    <row r="3" spans="1:18" x14ac:dyDescent="0.25">
      <c r="A3" s="5"/>
      <c r="B3" s="41"/>
      <c r="D3" s="35" t="s">
        <v>5</v>
      </c>
      <c r="E3" s="18">
        <v>0</v>
      </c>
      <c r="F3" s="36" t="s">
        <v>6</v>
      </c>
      <c r="G3" s="15"/>
      <c r="H3" s="15"/>
      <c r="I3" s="15"/>
      <c r="P3" t="s">
        <v>7</v>
      </c>
    </row>
    <row r="4" spans="1:18" x14ac:dyDescent="0.25">
      <c r="A4" t="s">
        <v>8</v>
      </c>
      <c r="B4" s="17">
        <v>75.2</v>
      </c>
      <c r="D4" s="35" t="s">
        <v>9</v>
      </c>
      <c r="E4" s="27">
        <v>100000</v>
      </c>
      <c r="F4" s="35" t="s">
        <v>10</v>
      </c>
      <c r="G4" s="14"/>
      <c r="H4" s="14"/>
      <c r="I4" s="14"/>
      <c r="M4" t="s">
        <v>11</v>
      </c>
      <c r="P4" t="s">
        <v>12</v>
      </c>
      <c r="Q4" t="s">
        <v>13</v>
      </c>
      <c r="R4" t="s">
        <v>14</v>
      </c>
    </row>
    <row r="5" spans="1:18" x14ac:dyDescent="0.25">
      <c r="A5" t="s">
        <v>15</v>
      </c>
      <c r="B5" s="17">
        <v>76.8</v>
      </c>
      <c r="D5" s="37" t="s">
        <v>16</v>
      </c>
      <c r="E5" s="28">
        <f>E4/(E2*(E3+273.15))</f>
        <v>1.275607013542482</v>
      </c>
      <c r="F5" s="37" t="s">
        <v>17</v>
      </c>
      <c r="G5" s="11"/>
      <c r="H5" s="11"/>
      <c r="I5" s="11"/>
      <c r="L5" t="s">
        <v>18</v>
      </c>
      <c r="M5" s="17">
        <v>2.38</v>
      </c>
      <c r="N5" s="17"/>
      <c r="O5" s="17"/>
      <c r="P5" s="24">
        <f>AVERAGE(M5:O5)</f>
        <v>2.38</v>
      </c>
      <c r="Q5" s="25">
        <f>(M5*25.4)</f>
        <v>60.451999999999991</v>
      </c>
      <c r="R5" s="10">
        <f>P5/18</f>
        <v>0.13222222222222221</v>
      </c>
    </row>
    <row r="6" spans="1:18" x14ac:dyDescent="0.25">
      <c r="A6" t="s">
        <v>19</v>
      </c>
      <c r="B6" s="17">
        <v>77</v>
      </c>
      <c r="D6" s="41"/>
      <c r="E6" s="41"/>
      <c r="F6" s="41"/>
      <c r="L6" t="s">
        <v>20</v>
      </c>
      <c r="M6" s="26">
        <v>17.9375</v>
      </c>
      <c r="N6" s="17"/>
      <c r="O6" s="17"/>
      <c r="P6" s="24">
        <f t="shared" ref="P6:P12" si="0">AVERAGE(M6:O6)</f>
        <v>17.9375</v>
      </c>
      <c r="Q6" s="25">
        <f t="shared" ref="Q6:Q12" si="1">(M6*25.4)</f>
        <v>455.61249999999995</v>
      </c>
      <c r="R6" s="10">
        <f>P6/18</f>
        <v>0.99652777777777779</v>
      </c>
    </row>
    <row r="7" spans="1:18" x14ac:dyDescent="0.25">
      <c r="A7" t="s">
        <v>21</v>
      </c>
      <c r="B7" s="18">
        <f>AVERAGE(B4:B6)</f>
        <v>76.333333333333329</v>
      </c>
      <c r="D7" s="41"/>
      <c r="E7" s="41"/>
      <c r="F7" s="41"/>
      <c r="L7" t="s">
        <v>22</v>
      </c>
      <c r="M7" s="17">
        <v>1.01</v>
      </c>
      <c r="N7" s="17"/>
      <c r="O7" s="17"/>
      <c r="P7" s="24">
        <f t="shared" si="0"/>
        <v>1.01</v>
      </c>
      <c r="Q7" s="25">
        <f t="shared" si="1"/>
        <v>25.654</v>
      </c>
      <c r="R7" s="10">
        <f>P7/18</f>
        <v>5.6111111111111112E-2</v>
      </c>
    </row>
    <row r="8" spans="1:18" x14ac:dyDescent="0.25">
      <c r="A8" t="s">
        <v>23</v>
      </c>
      <c r="B8" s="18">
        <f>(B7-32)*5/9</f>
        <v>24.629629629629626</v>
      </c>
      <c r="D8" s="41"/>
      <c r="E8" s="41"/>
      <c r="F8" s="41"/>
      <c r="L8" t="s">
        <v>24</v>
      </c>
      <c r="M8" s="17">
        <v>18</v>
      </c>
      <c r="N8" s="17"/>
      <c r="O8" s="17"/>
      <c r="P8" s="24">
        <f t="shared" si="0"/>
        <v>18</v>
      </c>
      <c r="Q8" s="25">
        <f t="shared" si="1"/>
        <v>457.2</v>
      </c>
      <c r="R8" s="10">
        <f>P8*0.2/18</f>
        <v>0.2</v>
      </c>
    </row>
    <row r="9" spans="1:18" x14ac:dyDescent="0.25">
      <c r="A9" t="s">
        <v>25</v>
      </c>
      <c r="B9" s="17">
        <v>29.81</v>
      </c>
      <c r="D9" s="41"/>
      <c r="E9" s="41"/>
      <c r="F9" s="41"/>
      <c r="J9" s="11"/>
      <c r="L9" t="s">
        <v>26</v>
      </c>
      <c r="M9" s="17">
        <v>1.0900000000000001</v>
      </c>
      <c r="N9" s="17">
        <v>1.01</v>
      </c>
      <c r="O9" s="17"/>
      <c r="P9" s="24">
        <f t="shared" si="0"/>
        <v>1.05</v>
      </c>
      <c r="Q9" s="25">
        <f t="shared" si="1"/>
        <v>27.686</v>
      </c>
      <c r="R9" s="10"/>
    </row>
    <row r="10" spans="1:18" x14ac:dyDescent="0.25">
      <c r="A10" t="s">
        <v>27</v>
      </c>
      <c r="B10" s="27">
        <f>B9*25.4/760/1.01325*100000</f>
        <v>98325.347046372408</v>
      </c>
      <c r="D10" s="41"/>
      <c r="E10" s="41"/>
      <c r="F10" s="41"/>
      <c r="L10" t="s">
        <v>28</v>
      </c>
      <c r="M10" s="17">
        <v>5.44</v>
      </c>
      <c r="N10" s="17"/>
      <c r="O10" s="17"/>
      <c r="P10" s="24">
        <f t="shared" si="0"/>
        <v>5.44</v>
      </c>
      <c r="Q10" s="25">
        <f t="shared" si="1"/>
        <v>138.17600000000002</v>
      </c>
      <c r="R10" s="10"/>
    </row>
    <row r="11" spans="1:18" x14ac:dyDescent="0.25">
      <c r="A11" s="2" t="s">
        <v>29</v>
      </c>
      <c r="B11" s="28">
        <f>B10/(E2*(B8+273.15))</f>
        <v>1.1505052527006427</v>
      </c>
      <c r="D11" s="41"/>
      <c r="E11" s="41"/>
      <c r="F11" s="41"/>
      <c r="J11" s="12"/>
      <c r="L11" t="s">
        <v>30</v>
      </c>
      <c r="M11" s="17">
        <v>17.875</v>
      </c>
      <c r="N11" s="17"/>
      <c r="O11" s="17"/>
      <c r="P11" s="24">
        <f t="shared" si="0"/>
        <v>17.875</v>
      </c>
      <c r="Q11" s="25">
        <f t="shared" si="1"/>
        <v>454.02499999999998</v>
      </c>
      <c r="R11" s="10"/>
    </row>
    <row r="12" spans="1:18" x14ac:dyDescent="0.25">
      <c r="A12" t="s">
        <v>31</v>
      </c>
      <c r="B12" s="29"/>
      <c r="D12" s="41"/>
      <c r="E12" s="41"/>
      <c r="F12" s="41"/>
      <c r="J12" s="12"/>
      <c r="L12" t="s">
        <v>32</v>
      </c>
      <c r="M12" s="18">
        <f>M10*0.2</f>
        <v>1.0880000000000001</v>
      </c>
      <c r="N12" s="18">
        <f>N10*0.2</f>
        <v>0</v>
      </c>
      <c r="O12" s="18">
        <f>O10*0.2</f>
        <v>0</v>
      </c>
      <c r="P12" s="24">
        <f t="shared" si="0"/>
        <v>0.36266666666666669</v>
      </c>
      <c r="Q12" s="25">
        <f t="shared" si="1"/>
        <v>27.635200000000001</v>
      </c>
    </row>
    <row r="13" spans="1:18" x14ac:dyDescent="0.25">
      <c r="A13" t="s">
        <v>33</v>
      </c>
      <c r="B13" s="30"/>
      <c r="D13" s="41"/>
      <c r="E13" s="41"/>
      <c r="F13" s="41"/>
    </row>
    <row r="14" spans="1:18" x14ac:dyDescent="0.25">
      <c r="A14" t="s">
        <v>34</v>
      </c>
      <c r="B14" s="17"/>
      <c r="D14" s="41"/>
      <c r="E14" s="41"/>
      <c r="F14" s="41"/>
    </row>
    <row r="17" spans="1:17" ht="26.25" x14ac:dyDescent="0.4">
      <c r="A17" s="13" t="s">
        <v>35</v>
      </c>
      <c r="B17" s="41"/>
      <c r="D17" s="41"/>
      <c r="E17" s="41"/>
      <c r="F17" s="41"/>
      <c r="L17" s="13" t="s">
        <v>36</v>
      </c>
    </row>
    <row r="18" spans="1:17" x14ac:dyDescent="0.25">
      <c r="A18" t="s">
        <v>37</v>
      </c>
      <c r="B18" s="31">
        <f>P5</f>
        <v>2.38</v>
      </c>
      <c r="D18" s="41"/>
      <c r="E18" s="41"/>
      <c r="F18" s="41"/>
      <c r="L18" t="s">
        <v>37</v>
      </c>
      <c r="M18" s="31">
        <f>P7</f>
        <v>1.01</v>
      </c>
    </row>
    <row r="19" spans="1:17" x14ac:dyDescent="0.25">
      <c r="A19" t="s">
        <v>38</v>
      </c>
      <c r="B19" s="31">
        <f>Q5</f>
        <v>60.451999999999991</v>
      </c>
      <c r="D19" s="41"/>
      <c r="E19" s="41"/>
      <c r="F19" s="41"/>
      <c r="L19" t="s">
        <v>38</v>
      </c>
      <c r="M19" s="31">
        <f>Q7</f>
        <v>25.654</v>
      </c>
    </row>
    <row r="20" spans="1:17" x14ac:dyDescent="0.25">
      <c r="B20" s="45" t="s">
        <v>39</v>
      </c>
      <c r="C20" s="45"/>
      <c r="D20" s="45"/>
      <c r="E20" s="45"/>
      <c r="F20" s="45" t="s">
        <v>40</v>
      </c>
      <c r="G20" s="45"/>
      <c r="H20" s="45"/>
      <c r="I20" s="45"/>
    </row>
    <row r="21" spans="1:17" x14ac:dyDescent="0.25">
      <c r="A21" t="s">
        <v>41</v>
      </c>
      <c r="B21" s="41">
        <v>1</v>
      </c>
      <c r="C21" s="41">
        <v>2</v>
      </c>
      <c r="D21" s="41">
        <v>3</v>
      </c>
      <c r="E21" s="41">
        <v>4</v>
      </c>
      <c r="F21" s="41">
        <v>5</v>
      </c>
      <c r="G21" s="41">
        <v>6</v>
      </c>
      <c r="H21" s="41">
        <v>7</v>
      </c>
      <c r="I21" s="41">
        <v>8</v>
      </c>
      <c r="L21" t="s">
        <v>41</v>
      </c>
      <c r="M21" s="41">
        <v>1</v>
      </c>
      <c r="N21" s="41">
        <v>2</v>
      </c>
      <c r="O21" s="41">
        <v>3</v>
      </c>
      <c r="P21" s="41">
        <v>4</v>
      </c>
      <c r="Q21" s="41">
        <v>5</v>
      </c>
    </row>
    <row r="22" spans="1:17" x14ac:dyDescent="0.25">
      <c r="A22" t="s">
        <v>42</v>
      </c>
      <c r="B22" s="17">
        <v>385</v>
      </c>
      <c r="C22" s="17">
        <v>744</v>
      </c>
      <c r="D22" s="17">
        <v>1090</v>
      </c>
      <c r="E22" s="17">
        <v>1263</v>
      </c>
      <c r="F22" s="17">
        <v>386</v>
      </c>
      <c r="G22" s="17">
        <v>744</v>
      </c>
      <c r="H22" s="17">
        <v>1090</v>
      </c>
      <c r="I22" s="17">
        <v>1263</v>
      </c>
      <c r="L22" t="s">
        <v>42</v>
      </c>
      <c r="M22" s="17">
        <v>751</v>
      </c>
      <c r="N22" s="17">
        <v>1096</v>
      </c>
      <c r="O22" s="17">
        <v>1445</v>
      </c>
      <c r="P22" s="17"/>
      <c r="Q22" s="17"/>
    </row>
    <row r="23" spans="1:17" x14ac:dyDescent="0.25">
      <c r="B23" s="41"/>
      <c r="C23" s="41"/>
      <c r="D23" s="41"/>
      <c r="E23" s="41"/>
      <c r="F23" s="41"/>
      <c r="G23" s="41"/>
      <c r="H23" s="41"/>
      <c r="I23" s="41"/>
      <c r="M23" s="41"/>
      <c r="N23" s="41"/>
      <c r="O23" s="41"/>
      <c r="P23" s="41"/>
      <c r="Q23" s="41"/>
    </row>
    <row r="24" spans="1:17" ht="15.75" x14ac:dyDescent="0.25">
      <c r="A24" s="1" t="s">
        <v>43</v>
      </c>
      <c r="B24" s="17">
        <v>0.2</v>
      </c>
      <c r="C24" s="17">
        <v>0.43</v>
      </c>
      <c r="D24" s="17">
        <v>0.7</v>
      </c>
      <c r="E24" s="17">
        <v>0.88</v>
      </c>
      <c r="F24" s="17">
        <v>0.2</v>
      </c>
      <c r="G24" s="17">
        <v>0.42</v>
      </c>
      <c r="H24" s="17">
        <v>0.7</v>
      </c>
      <c r="I24" s="17">
        <v>0.9</v>
      </c>
      <c r="L24" s="1" t="s">
        <v>43</v>
      </c>
      <c r="M24" s="17">
        <v>0.42</v>
      </c>
      <c r="N24" s="17">
        <v>0.7</v>
      </c>
      <c r="O24" s="17">
        <v>1.17</v>
      </c>
      <c r="P24" s="17"/>
      <c r="Q24" s="17"/>
    </row>
    <row r="25" spans="1:17" ht="15.75" x14ac:dyDescent="0.25">
      <c r="A25" s="1"/>
      <c r="B25" s="17">
        <v>0.2</v>
      </c>
      <c r="C25" s="17">
        <v>0.41</v>
      </c>
      <c r="D25" s="17">
        <v>0.71</v>
      </c>
      <c r="E25" s="17">
        <v>0.89</v>
      </c>
      <c r="F25" s="17">
        <v>0.2</v>
      </c>
      <c r="G25" s="17">
        <v>0.43</v>
      </c>
      <c r="H25" s="17">
        <v>0.71</v>
      </c>
      <c r="I25" s="17">
        <v>0.9</v>
      </c>
      <c r="L25" s="1"/>
      <c r="M25" s="17">
        <v>0.4</v>
      </c>
      <c r="N25" s="17">
        <v>0.7</v>
      </c>
      <c r="O25" s="17">
        <v>1.1499999999999999</v>
      </c>
      <c r="P25" s="17"/>
      <c r="Q25" s="17"/>
    </row>
    <row r="26" spans="1:17" x14ac:dyDescent="0.25">
      <c r="B26" s="17">
        <v>0.21</v>
      </c>
      <c r="C26" s="17">
        <v>0.41</v>
      </c>
      <c r="D26" s="17">
        <v>0.71</v>
      </c>
      <c r="E26" s="17">
        <v>0.89</v>
      </c>
      <c r="F26" s="17">
        <v>0.21</v>
      </c>
      <c r="G26" s="17">
        <v>0.43</v>
      </c>
      <c r="H26" s="17">
        <v>0.71</v>
      </c>
      <c r="I26" s="17">
        <v>0.9</v>
      </c>
      <c r="M26" s="17">
        <v>0.4</v>
      </c>
      <c r="N26" s="17">
        <v>0.71</v>
      </c>
      <c r="O26" s="17">
        <v>1.1499999999999999</v>
      </c>
      <c r="P26" s="17"/>
      <c r="Q26" s="17"/>
    </row>
    <row r="27" spans="1:17" x14ac:dyDescent="0.25">
      <c r="A27" s="2" t="s">
        <v>44</v>
      </c>
      <c r="B27" s="18">
        <f>AVERAGE(B24:B26)</f>
        <v>0.20333333333333334</v>
      </c>
      <c r="C27" s="18">
        <f t="shared" ref="C27:H27" si="2">AVERAGE(C24:C26)</f>
        <v>0.41666666666666669</v>
      </c>
      <c r="D27" s="18">
        <f t="shared" si="2"/>
        <v>0.70666666666666667</v>
      </c>
      <c r="E27" s="18">
        <f t="shared" si="2"/>
        <v>0.88666666666666671</v>
      </c>
      <c r="F27" s="18">
        <f t="shared" si="2"/>
        <v>0.20333333333333334</v>
      </c>
      <c r="G27" s="18">
        <f>AVERAGE(G24:G26)</f>
        <v>0.42666666666666669</v>
      </c>
      <c r="H27" s="18">
        <f t="shared" si="2"/>
        <v>0.70666666666666667</v>
      </c>
      <c r="I27" s="18">
        <f>AVERAGE(I24:I26)</f>
        <v>0.9</v>
      </c>
      <c r="L27" s="2" t="s">
        <v>44</v>
      </c>
      <c r="M27" s="18">
        <f>AVERAGE(M24:M26)</f>
        <v>0.40666666666666673</v>
      </c>
      <c r="N27" s="18">
        <f>AVERAGE(N24:N26)</f>
        <v>0.70333333333333325</v>
      </c>
      <c r="O27" s="18">
        <f t="shared" ref="O27:Q27" si="3">AVERAGE(O24:O26)</f>
        <v>1.1566666666666665</v>
      </c>
      <c r="P27" s="18" t="e">
        <f t="shared" si="3"/>
        <v>#DIV/0!</v>
      </c>
      <c r="Q27" s="18" t="e">
        <f t="shared" si="3"/>
        <v>#DIV/0!</v>
      </c>
    </row>
    <row r="28" spans="1:17" ht="15.75" x14ac:dyDescent="0.25">
      <c r="A28" s="1" t="s">
        <v>45</v>
      </c>
      <c r="B28" s="17">
        <v>0.32</v>
      </c>
      <c r="C28" s="17">
        <v>0.91</v>
      </c>
      <c r="D28" s="17">
        <v>1.84</v>
      </c>
      <c r="E28" s="17">
        <v>2.41</v>
      </c>
      <c r="F28" s="17">
        <v>0.31</v>
      </c>
      <c r="G28" s="17">
        <v>0.92</v>
      </c>
      <c r="H28" s="17">
        <v>1.84</v>
      </c>
      <c r="I28" s="17">
        <v>2.5</v>
      </c>
      <c r="L28" s="1" t="s">
        <v>45</v>
      </c>
      <c r="M28" s="17">
        <v>0.95</v>
      </c>
      <c r="N28" s="17">
        <v>1.82</v>
      </c>
      <c r="O28" s="17">
        <v>3.35</v>
      </c>
      <c r="P28" s="17"/>
      <c r="Q28" s="17"/>
    </row>
    <row r="29" spans="1:17" x14ac:dyDescent="0.25">
      <c r="B29" s="17">
        <v>0.31</v>
      </c>
      <c r="C29" s="17">
        <v>0.91</v>
      </c>
      <c r="D29" s="17">
        <v>1.83</v>
      </c>
      <c r="E29" s="17">
        <v>2.4300000000000002</v>
      </c>
      <c r="F29" s="17">
        <v>0.31</v>
      </c>
      <c r="G29" s="17">
        <v>0.93</v>
      </c>
      <c r="H29" s="17">
        <v>1.84</v>
      </c>
      <c r="I29" s="17">
        <v>2.5</v>
      </c>
      <c r="M29" s="17">
        <v>0.93</v>
      </c>
      <c r="N29" s="17">
        <v>1.84</v>
      </c>
      <c r="O29" s="17">
        <v>3.33</v>
      </c>
      <c r="P29" s="17"/>
      <c r="Q29" s="17"/>
    </row>
    <row r="30" spans="1:17" x14ac:dyDescent="0.25">
      <c r="B30" s="17">
        <v>0.32</v>
      </c>
      <c r="C30" s="17">
        <v>0.91</v>
      </c>
      <c r="D30" s="17">
        <v>1.83</v>
      </c>
      <c r="E30" s="17">
        <v>2.4300000000000002</v>
      </c>
      <c r="F30" s="17">
        <v>0.3</v>
      </c>
      <c r="G30" s="17">
        <v>0.92</v>
      </c>
      <c r="H30" s="17">
        <v>1.83</v>
      </c>
      <c r="I30" s="17">
        <v>2.48</v>
      </c>
      <c r="M30" s="17">
        <v>0.95</v>
      </c>
      <c r="N30" s="17">
        <v>1.82</v>
      </c>
      <c r="O30" s="17">
        <v>3.35</v>
      </c>
      <c r="P30" s="17"/>
      <c r="Q30" s="17"/>
    </row>
    <row r="31" spans="1:17" x14ac:dyDescent="0.25">
      <c r="A31" s="2" t="s">
        <v>46</v>
      </c>
      <c r="B31" s="18">
        <f>AVERAGE(B28:B30)</f>
        <v>0.31666666666666665</v>
      </c>
      <c r="C31" s="18">
        <f t="shared" ref="C31" si="4">AVERAGE(C28:C30)</f>
        <v>0.91</v>
      </c>
      <c r="D31" s="18">
        <f t="shared" ref="D31" si="5">AVERAGE(D28:D30)</f>
        <v>1.8333333333333333</v>
      </c>
      <c r="E31" s="18">
        <f t="shared" ref="E31" si="6">AVERAGE(E28:E30)</f>
        <v>2.4233333333333333</v>
      </c>
      <c r="F31" s="18">
        <f t="shared" ref="F31:H31" si="7">AVERAGE(F28:F30)</f>
        <v>0.30666666666666664</v>
      </c>
      <c r="G31" s="18">
        <f>AVERAGE(G28:G30)</f>
        <v>0.92333333333333334</v>
      </c>
      <c r="H31" s="18">
        <f t="shared" si="7"/>
        <v>1.8366666666666667</v>
      </c>
      <c r="I31" s="18">
        <f>AVERAGE(I28:I30)</f>
        <v>2.4933333333333336</v>
      </c>
      <c r="L31" s="2" t="s">
        <v>46</v>
      </c>
      <c r="M31" s="18">
        <f>AVERAGE(M28:M30)</f>
        <v>0.94333333333333336</v>
      </c>
      <c r="N31" s="18">
        <f t="shared" ref="N31:Q31" si="8">AVERAGE(N28:N30)</f>
        <v>1.8266666666666669</v>
      </c>
      <c r="O31" s="18">
        <f t="shared" si="8"/>
        <v>3.3433333333333333</v>
      </c>
      <c r="P31" s="18" t="e">
        <f t="shared" si="8"/>
        <v>#DIV/0!</v>
      </c>
      <c r="Q31" s="18" t="e">
        <f t="shared" si="8"/>
        <v>#DIV/0!</v>
      </c>
    </row>
    <row r="32" spans="1:17" x14ac:dyDescent="0.25">
      <c r="A32" t="s">
        <v>47</v>
      </c>
      <c r="B32" s="19">
        <f>B27-B31</f>
        <v>-0.11333333333333331</v>
      </c>
      <c r="C32" s="19">
        <f t="shared" ref="C32:F32" si="9">C27-C31</f>
        <v>-0.49333333333333335</v>
      </c>
      <c r="D32" s="19">
        <f t="shared" si="9"/>
        <v>-1.1266666666666665</v>
      </c>
      <c r="E32" s="19">
        <f t="shared" si="9"/>
        <v>-1.5366666666666666</v>
      </c>
      <c r="F32" s="19">
        <f t="shared" si="9"/>
        <v>-0.1033333333333333</v>
      </c>
      <c r="G32" s="19">
        <f>G27-G31</f>
        <v>-0.49666666666666665</v>
      </c>
      <c r="H32" s="19">
        <f t="shared" ref="H32" si="10">H27-H31</f>
        <v>-1.1299999999999999</v>
      </c>
      <c r="I32" s="19">
        <f>I27-I31</f>
        <v>-1.5933333333333337</v>
      </c>
      <c r="L32" t="s">
        <v>47</v>
      </c>
      <c r="M32" s="19">
        <f>M27-M31</f>
        <v>-0.53666666666666663</v>
      </c>
      <c r="N32" s="19">
        <f t="shared" ref="N32:Q32" si="11">N27-N31</f>
        <v>-1.1233333333333335</v>
      </c>
      <c r="O32" s="19">
        <f t="shared" si="11"/>
        <v>-2.1866666666666665</v>
      </c>
      <c r="P32" s="19" t="e">
        <f t="shared" si="11"/>
        <v>#DIV/0!</v>
      </c>
      <c r="Q32" s="19" t="e">
        <f t="shared" si="11"/>
        <v>#DIV/0!</v>
      </c>
    </row>
    <row r="33" spans="1:17" x14ac:dyDescent="0.25">
      <c r="A33" t="s">
        <v>48</v>
      </c>
      <c r="B33" s="20">
        <f>B32*0.0254</f>
        <v>-2.8786666666666661E-3</v>
      </c>
      <c r="C33" s="20">
        <f t="shared" ref="C33:F33" si="12">C32*0.0254</f>
        <v>-1.2530666666666666E-2</v>
      </c>
      <c r="D33" s="20">
        <f t="shared" si="12"/>
        <v>-2.8617333333333328E-2</v>
      </c>
      <c r="E33" s="20">
        <f t="shared" si="12"/>
        <v>-3.9031333333333328E-2</v>
      </c>
      <c r="F33" s="20">
        <f t="shared" si="12"/>
        <v>-2.6246666666666658E-3</v>
      </c>
      <c r="G33" s="20">
        <f>G32/39.37</f>
        <v>-1.2615358564050461E-2</v>
      </c>
      <c r="H33" s="20">
        <f t="shared" ref="H33" si="13">H32*0.0254</f>
        <v>-2.8701999999999995E-2</v>
      </c>
      <c r="I33" s="20">
        <f>I32/39.37</f>
        <v>-4.0470747608161897E-2</v>
      </c>
      <c r="L33" t="s">
        <v>48</v>
      </c>
      <c r="M33" s="20">
        <f>M32*0.0254</f>
        <v>-1.3631333333333332E-2</v>
      </c>
      <c r="N33" s="20">
        <f t="shared" ref="N33:Q33" si="14">N32*0.0254</f>
        <v>-2.8532666666666671E-2</v>
      </c>
      <c r="O33" s="20">
        <f t="shared" si="14"/>
        <v>-5.5541333333333325E-2</v>
      </c>
      <c r="P33" s="20" t="e">
        <f t="shared" si="14"/>
        <v>#DIV/0!</v>
      </c>
      <c r="Q33" s="20" t="e">
        <f t="shared" si="14"/>
        <v>#DIV/0!</v>
      </c>
    </row>
    <row r="34" spans="1:17" x14ac:dyDescent="0.25">
      <c r="A34" s="3" t="s">
        <v>49</v>
      </c>
      <c r="B34" s="21">
        <f>SQRT(1.633*((997)*(9.81)*(0.0254)*(B31-B27)))</f>
        <v>6.7806427698058229</v>
      </c>
      <c r="C34" s="21">
        <f t="shared" ref="C34:I34" si="15">SQRT(1.633*((997)*(9.81)*(0.0254)*(C31-C27)))</f>
        <v>14.146931929921767</v>
      </c>
      <c r="D34" s="21">
        <f t="shared" si="15"/>
        <v>21.379116620198317</v>
      </c>
      <c r="E34" s="21">
        <f t="shared" si="15"/>
        <v>24.967891526426094</v>
      </c>
      <c r="F34" s="21">
        <f t="shared" si="15"/>
        <v>6.4745897156483965</v>
      </c>
      <c r="G34" s="21">
        <f t="shared" si="15"/>
        <v>14.194645157890351</v>
      </c>
      <c r="H34" s="21">
        <f t="shared" si="15"/>
        <v>21.410719174951129</v>
      </c>
      <c r="I34" s="21">
        <f t="shared" si="15"/>
        <v>25.424086325003699</v>
      </c>
      <c r="L34" s="3" t="s">
        <v>49</v>
      </c>
      <c r="M34" s="21">
        <f>SQRT(1.633*((997)*(9.81)*(0.0254)*(M31-M27)))</f>
        <v>14.755174302643123</v>
      </c>
      <c r="N34" s="21">
        <f t="shared" ref="N34:O34" si="16">SQRT(1.633*((997)*(9.81)*(0.0254)*(N31-N27)))</f>
        <v>21.34746728142381</v>
      </c>
      <c r="O34" s="21">
        <f t="shared" si="16"/>
        <v>29.784020755238537</v>
      </c>
      <c r="P34" s="21"/>
      <c r="Q34" s="21"/>
    </row>
    <row r="35" spans="1:17" x14ac:dyDescent="0.25">
      <c r="A35" s="3" t="s">
        <v>50</v>
      </c>
      <c r="B35" s="22">
        <f>((1.225)*(B34)*(0.0256))/(1.85*10^-5)</f>
        <v>11494.105797897872</v>
      </c>
      <c r="C35" s="22">
        <f t="shared" ref="C35:I35" si="17">((1.225)*(C34)*(0.0256))/(1.85*10^-5)</f>
        <v>23980.96136877549</v>
      </c>
      <c r="D35" s="22">
        <f t="shared" si="17"/>
        <v>36240.491741049693</v>
      </c>
      <c r="E35" s="22">
        <f t="shared" si="17"/>
        <v>42323.950176687693</v>
      </c>
      <c r="F35" s="22">
        <f t="shared" si="17"/>
        <v>10975.3045125802</v>
      </c>
      <c r="G35" s="22">
        <f t="shared" si="17"/>
        <v>24061.841737915751</v>
      </c>
      <c r="H35" s="22">
        <f t="shared" si="17"/>
        <v>36294.062341971214</v>
      </c>
      <c r="I35" s="22">
        <f t="shared" si="17"/>
        <v>43097.262008222489</v>
      </c>
      <c r="L35" s="3" t="s">
        <v>51</v>
      </c>
      <c r="M35" s="42">
        <f>M40/((M7*M8)*(0.0254^2)*(0.5)*(1.225)*(M34)^2)</f>
        <v>1.5621640039954028</v>
      </c>
      <c r="N35" s="42">
        <f>N40/((M7*M8)*(0.0254^2)*(0.5)*(1.225)*(N34)^2)</f>
        <v>1.6942283665210012</v>
      </c>
      <c r="O35" s="42">
        <f>O40/((M7*M8)*(0.0254^2)*(0.5)*(1.225)*(O34)^2)</f>
        <v>1.752746531044246</v>
      </c>
      <c r="P35" s="22"/>
      <c r="Q35" s="22"/>
    </row>
    <row r="36" spans="1:17" x14ac:dyDescent="0.25">
      <c r="B36" s="23"/>
      <c r="C36" s="23"/>
      <c r="D36" s="23"/>
      <c r="E36" s="23"/>
      <c r="F36" s="23"/>
      <c r="G36" s="23"/>
      <c r="H36" s="23"/>
      <c r="I36" s="23"/>
      <c r="M36" s="32"/>
      <c r="N36" s="23"/>
      <c r="O36" s="23"/>
      <c r="P36" s="23"/>
      <c r="Q36" s="23"/>
    </row>
    <row r="37" spans="1:17" x14ac:dyDescent="0.25">
      <c r="A37" t="s">
        <v>52</v>
      </c>
      <c r="B37" s="17">
        <v>0.87</v>
      </c>
      <c r="C37" s="17">
        <v>3.65</v>
      </c>
      <c r="D37" s="17">
        <v>8.3699999999999992</v>
      </c>
      <c r="E37" s="17">
        <v>10.93</v>
      </c>
      <c r="F37" s="17">
        <v>0.97</v>
      </c>
      <c r="G37" s="17">
        <v>3.54</v>
      </c>
      <c r="H37" s="17">
        <v>6.82</v>
      </c>
      <c r="I37" s="17">
        <v>8.75</v>
      </c>
      <c r="L37" t="s">
        <v>52</v>
      </c>
      <c r="M37" s="17">
        <v>2.44</v>
      </c>
      <c r="N37" s="17">
        <v>5.55</v>
      </c>
      <c r="O37" s="17">
        <v>11.13</v>
      </c>
      <c r="P37" s="17"/>
      <c r="Q37" s="17"/>
    </row>
    <row r="38" spans="1:17" x14ac:dyDescent="0.25">
      <c r="B38" s="17">
        <v>0.89</v>
      </c>
      <c r="C38" s="17">
        <v>3.59</v>
      </c>
      <c r="D38" s="17">
        <v>8.75</v>
      </c>
      <c r="E38" s="17">
        <v>10.54</v>
      </c>
      <c r="F38" s="17">
        <v>0.94</v>
      </c>
      <c r="G38" s="17">
        <v>3.59</v>
      </c>
      <c r="H38" s="17">
        <v>6.73</v>
      </c>
      <c r="I38" s="17">
        <v>8.6</v>
      </c>
      <c r="M38" s="17">
        <v>2.4500000000000002</v>
      </c>
      <c r="N38" s="17">
        <v>5.56</v>
      </c>
      <c r="O38" s="17">
        <v>11.2</v>
      </c>
      <c r="P38" s="17"/>
      <c r="Q38" s="17"/>
    </row>
    <row r="39" spans="1:17" x14ac:dyDescent="0.25">
      <c r="B39" s="17">
        <v>0.9</v>
      </c>
      <c r="C39" s="17">
        <v>3.94</v>
      </c>
      <c r="D39" s="17">
        <v>8.57</v>
      </c>
      <c r="E39" s="17">
        <v>10.75</v>
      </c>
      <c r="F39" s="17">
        <v>1</v>
      </c>
      <c r="G39" s="17">
        <v>3.63</v>
      </c>
      <c r="H39" s="17">
        <v>6.93</v>
      </c>
      <c r="I39" s="17">
        <v>8.9</v>
      </c>
      <c r="M39" s="17">
        <v>2.44</v>
      </c>
      <c r="N39" s="17">
        <v>5.53</v>
      </c>
      <c r="O39" s="17">
        <v>11.18</v>
      </c>
      <c r="P39" s="17"/>
      <c r="Q39" s="17"/>
    </row>
    <row r="40" spans="1:17" x14ac:dyDescent="0.25">
      <c r="A40" s="3" t="s">
        <v>53</v>
      </c>
      <c r="B40" s="21">
        <f>AVERAGE(B37:B39)</f>
        <v>0.88666666666666671</v>
      </c>
      <c r="C40" s="21">
        <f t="shared" ref="C40" si="18">AVERAGE(C37:C39)</f>
        <v>3.7266666666666666</v>
      </c>
      <c r="D40" s="21">
        <f t="shared" ref="D40" si="19">AVERAGE(D37:D39)</f>
        <v>8.5633333333333326</v>
      </c>
      <c r="E40" s="21">
        <f t="shared" ref="E40" si="20">AVERAGE(E37:E39)</f>
        <v>10.74</v>
      </c>
      <c r="F40" s="21">
        <f t="shared" ref="F40" si="21">AVERAGE(F37:F39)</f>
        <v>0.97000000000000008</v>
      </c>
      <c r="G40" s="21">
        <f>AVERAGE(G37:G39)</f>
        <v>3.5866666666666664</v>
      </c>
      <c r="H40" s="21">
        <f t="shared" ref="H40:I40" si="22">AVERAGE(H37:H39)</f>
        <v>6.8266666666666671</v>
      </c>
      <c r="I40" s="21">
        <f t="shared" si="22"/>
        <v>8.75</v>
      </c>
      <c r="L40" s="3" t="s">
        <v>53</v>
      </c>
      <c r="M40" s="21">
        <f>AVERAGE(M37:M39)</f>
        <v>2.4433333333333334</v>
      </c>
      <c r="N40" s="21">
        <f t="shared" ref="N40:Q40" si="23">AVERAGE(N37:N39)</f>
        <v>5.5466666666666669</v>
      </c>
      <c r="O40" s="21">
        <f t="shared" si="23"/>
        <v>11.17</v>
      </c>
      <c r="P40" s="21" t="e">
        <f t="shared" si="23"/>
        <v>#DIV/0!</v>
      </c>
      <c r="Q40" s="21" t="e">
        <f t="shared" si="23"/>
        <v>#DIV/0!</v>
      </c>
    </row>
    <row r="41" spans="1:17" x14ac:dyDescent="0.25">
      <c r="A41" s="3" t="s">
        <v>54</v>
      </c>
      <c r="B41" s="24">
        <f>B40/((M5*M6)*(0.0254^2)*(0.5)*(1.225)*(B34)^2)</f>
        <v>1.143157987300371</v>
      </c>
      <c r="C41" s="24">
        <f>C40/((M5*M6)*(0.0254^2)*(0.5)*(1.225)*(C34)^2)</f>
        <v>1.1037828036288782</v>
      </c>
      <c r="D41" s="24">
        <f>D40/((M5*M6)*(0.0254^2)*(0.5)*(1.225)*(D34)^2)</f>
        <v>1.110582790838837</v>
      </c>
      <c r="E41" s="24">
        <f t="shared" ref="E41" si="24">E40/((P5*P6)*(0.0254^2)*(0.5)*(1.225)*(E34)^2)</f>
        <v>1.021240774328291</v>
      </c>
      <c r="F41" s="24">
        <f>F40/((M5*M6)*(0.0254^2)*(0.5)*(1.225)*(F34)^2)</f>
        <v>1.371623226576506</v>
      </c>
      <c r="G41" s="24">
        <f>G40/((M5*M6)*(0.0254^2)*(0.5)*(1.225)*(G34)^2)</f>
        <v>1.0551872586011191</v>
      </c>
      <c r="H41" s="24">
        <f>H40/((M5*M6)*(0.0254^2)*(0.5)*(1.225)*(H34)^2)</f>
        <v>0.88274199848847112</v>
      </c>
      <c r="I41" s="24">
        <f>I40/((M5*M6)*(0.0254^2)*(0.5)*(1.225)*(I34)^2)</f>
        <v>0.8024259159920567</v>
      </c>
      <c r="L41" s="3" t="s">
        <v>50</v>
      </c>
      <c r="M41" s="24">
        <f t="shared" ref="M41:N41" si="25">M43</f>
        <v>25012.014385453425</v>
      </c>
      <c r="N41" s="24">
        <f t="shared" si="25"/>
        <v>36186.841834889223</v>
      </c>
      <c r="O41" s="24">
        <f>O43</f>
        <v>50487.940047798947</v>
      </c>
      <c r="P41" s="24"/>
      <c r="Q41" s="24"/>
    </row>
    <row r="43" spans="1:17" x14ac:dyDescent="0.25">
      <c r="A43" s="3" t="s">
        <v>50</v>
      </c>
      <c r="B43" s="32"/>
      <c r="C43" s="9"/>
      <c r="D43" s="38" t="s">
        <v>55</v>
      </c>
      <c r="E43" s="41"/>
      <c r="F43" s="41"/>
      <c r="L43" s="3" t="s">
        <v>50</v>
      </c>
      <c r="M43" s="9">
        <f>((1.225)*(M34)*(0.0256))/(1.85*10^-5)</f>
        <v>25012.014385453425</v>
      </c>
      <c r="N43" s="9">
        <f>((1.225)*(N34)*(0.0256))/(1.85*10^-5)</f>
        <v>36186.841834889223</v>
      </c>
      <c r="O43" s="9">
        <f>((1.225)*(O34)*(0.0256))/(1.85*10^-5)</f>
        <v>50487.940047798947</v>
      </c>
    </row>
    <row r="44" spans="1:17" x14ac:dyDescent="0.25">
      <c r="A44" s="3" t="s">
        <v>54</v>
      </c>
      <c r="B44" s="23"/>
      <c r="C44" s="8"/>
      <c r="D44" s="41"/>
      <c r="E44" s="41"/>
      <c r="F44" s="41"/>
      <c r="L44" s="3" t="s">
        <v>54</v>
      </c>
      <c r="M44" s="43">
        <f>M35</f>
        <v>1.5621640039954028</v>
      </c>
      <c r="N44" s="43">
        <f>N35</f>
        <v>1.6942283665210012</v>
      </c>
      <c r="O44" s="43">
        <f t="shared" ref="O44" si="26">O35</f>
        <v>1.752746531044246</v>
      </c>
      <c r="P44" s="43"/>
    </row>
    <row r="46" spans="1:17" ht="26.25" x14ac:dyDescent="0.4">
      <c r="A46" s="13" t="s">
        <v>56</v>
      </c>
      <c r="B46" s="40" t="s">
        <v>57</v>
      </c>
      <c r="D46" s="41"/>
      <c r="E46" s="41"/>
      <c r="F46" s="41"/>
      <c r="M46" s="16" t="s">
        <v>58</v>
      </c>
      <c r="Q46" s="16" t="s">
        <v>59</v>
      </c>
    </row>
    <row r="47" spans="1:17" x14ac:dyDescent="0.25">
      <c r="A47" t="s">
        <v>60</v>
      </c>
      <c r="B47" s="18">
        <f>Q10</f>
        <v>138.17600000000002</v>
      </c>
      <c r="D47" s="41"/>
      <c r="E47" s="41"/>
      <c r="F47" s="41"/>
    </row>
    <row r="48" spans="1:17" x14ac:dyDescent="0.25">
      <c r="A48" t="s">
        <v>61</v>
      </c>
      <c r="B48" s="33">
        <f>(0.2*B47)</f>
        <v>27.635200000000005</v>
      </c>
      <c r="D48" s="41"/>
      <c r="E48" s="41"/>
      <c r="F48" s="41"/>
    </row>
    <row r="49" spans="1:19" x14ac:dyDescent="0.25">
      <c r="A49" t="s">
        <v>41</v>
      </c>
      <c r="B49" s="41">
        <v>1</v>
      </c>
      <c r="C49" s="41">
        <v>2</v>
      </c>
      <c r="D49" s="41">
        <v>3</v>
      </c>
      <c r="E49" s="41">
        <v>4</v>
      </c>
      <c r="F49" s="41">
        <v>5</v>
      </c>
      <c r="G49" s="41"/>
      <c r="H49" s="41"/>
      <c r="I49" s="41"/>
      <c r="L49" s="38" t="s">
        <v>41</v>
      </c>
      <c r="M49" s="41">
        <v>1</v>
      </c>
      <c r="N49" s="41">
        <v>2</v>
      </c>
      <c r="O49" s="41">
        <v>3</v>
      </c>
      <c r="P49" s="4" t="s">
        <v>41</v>
      </c>
      <c r="Q49" s="41">
        <v>1</v>
      </c>
      <c r="R49" s="41">
        <v>2</v>
      </c>
      <c r="S49" s="41">
        <v>3</v>
      </c>
    </row>
    <row r="50" spans="1:19" x14ac:dyDescent="0.25">
      <c r="A50" t="s">
        <v>42</v>
      </c>
      <c r="B50" s="17">
        <v>743</v>
      </c>
      <c r="C50" s="17">
        <v>1087</v>
      </c>
      <c r="D50" s="17">
        <v>1434</v>
      </c>
      <c r="E50" s="17">
        <v>1614</v>
      </c>
      <c r="F50" s="17"/>
      <c r="G50" s="17"/>
      <c r="H50" s="17"/>
      <c r="I50" s="17"/>
      <c r="L50" t="s">
        <v>42</v>
      </c>
      <c r="M50" s="17">
        <v>739</v>
      </c>
      <c r="N50" s="17">
        <v>1083</v>
      </c>
      <c r="O50" s="17">
        <v>1428</v>
      </c>
      <c r="P50" s="41"/>
      <c r="Q50" s="17">
        <v>738</v>
      </c>
      <c r="R50" s="17">
        <v>1083</v>
      </c>
      <c r="S50" s="17">
        <v>1428</v>
      </c>
    </row>
    <row r="51" spans="1:19" x14ac:dyDescent="0.25">
      <c r="B51" s="41"/>
      <c r="C51" s="41"/>
      <c r="D51" s="41"/>
      <c r="E51" s="41"/>
      <c r="F51" s="41"/>
      <c r="G51" s="41"/>
      <c r="H51" s="41"/>
      <c r="I51" s="41"/>
      <c r="L51" s="4"/>
      <c r="M51" s="41"/>
      <c r="N51" s="41"/>
      <c r="O51" s="41"/>
      <c r="P51" s="41"/>
      <c r="Q51" s="41"/>
      <c r="R51" s="41"/>
      <c r="S51" s="41"/>
    </row>
    <row r="52" spans="1:19" ht="15.75" x14ac:dyDescent="0.25">
      <c r="A52" s="1" t="s">
        <v>43</v>
      </c>
      <c r="B52" s="17">
        <v>0.44</v>
      </c>
      <c r="C52" s="17">
        <v>0.74</v>
      </c>
      <c r="D52" s="17">
        <v>1.21</v>
      </c>
      <c r="E52" s="17">
        <v>1.43</v>
      </c>
      <c r="F52" s="17"/>
      <c r="G52" s="17"/>
      <c r="H52" s="17"/>
      <c r="I52" s="17"/>
      <c r="L52" s="1" t="s">
        <v>43</v>
      </c>
      <c r="M52" s="17">
        <v>0.44</v>
      </c>
      <c r="N52" s="17">
        <v>0.75</v>
      </c>
      <c r="O52" s="17">
        <v>1.24</v>
      </c>
      <c r="P52" s="41"/>
      <c r="Q52" s="17">
        <v>0.4</v>
      </c>
      <c r="R52" s="17">
        <v>0.7</v>
      </c>
      <c r="S52" s="17">
        <v>1.2</v>
      </c>
    </row>
    <row r="53" spans="1:19" ht="15.75" x14ac:dyDescent="0.25">
      <c r="A53" s="1"/>
      <c r="B53" s="17">
        <v>0.45</v>
      </c>
      <c r="C53" s="17">
        <v>0.71</v>
      </c>
      <c r="D53" s="17">
        <v>1.2</v>
      </c>
      <c r="E53" s="17">
        <v>1.42</v>
      </c>
      <c r="F53" s="17"/>
      <c r="G53" s="17"/>
      <c r="H53" s="17"/>
      <c r="I53" s="17"/>
      <c r="L53" s="1"/>
      <c r="M53" s="17">
        <v>0.45</v>
      </c>
      <c r="N53" s="17">
        <v>0.76</v>
      </c>
      <c r="O53" s="17">
        <v>1.25</v>
      </c>
      <c r="P53" s="41"/>
      <c r="Q53" s="17">
        <v>0.45</v>
      </c>
      <c r="R53" s="17">
        <v>0.73</v>
      </c>
      <c r="S53" s="17">
        <v>1.19</v>
      </c>
    </row>
    <row r="54" spans="1:19" x14ac:dyDescent="0.25">
      <c r="B54" s="17">
        <v>0.4</v>
      </c>
      <c r="C54" s="17">
        <v>0.75</v>
      </c>
      <c r="D54" s="17">
        <v>1.2</v>
      </c>
      <c r="E54" s="17">
        <v>1.43</v>
      </c>
      <c r="F54" s="17"/>
      <c r="G54" s="17"/>
      <c r="H54" s="17"/>
      <c r="I54" s="17"/>
      <c r="M54" s="17">
        <v>0.45</v>
      </c>
      <c r="N54" s="17">
        <v>0.75</v>
      </c>
      <c r="O54" s="17">
        <v>1.25</v>
      </c>
      <c r="P54" s="41"/>
      <c r="Q54" s="17">
        <v>0.43</v>
      </c>
      <c r="R54" s="17">
        <v>0.72</v>
      </c>
      <c r="S54" s="17">
        <v>1.2</v>
      </c>
    </row>
    <row r="55" spans="1:19" x14ac:dyDescent="0.25">
      <c r="A55" s="2" t="s">
        <v>44</v>
      </c>
      <c r="B55" s="18">
        <f>AVERAGE(B52:B54)</f>
        <v>0.43</v>
      </c>
      <c r="C55" s="18">
        <f t="shared" ref="C55:F55" si="27">AVERAGE(C52:C54)</f>
        <v>0.73333333333333339</v>
      </c>
      <c r="D55" s="18">
        <f t="shared" si="27"/>
        <v>1.2033333333333334</v>
      </c>
      <c r="E55" s="18">
        <f t="shared" si="27"/>
        <v>1.4266666666666665</v>
      </c>
      <c r="F55" s="18" t="e">
        <f t="shared" si="27"/>
        <v>#DIV/0!</v>
      </c>
      <c r="G55" s="18"/>
      <c r="H55" s="18"/>
      <c r="I55" s="18"/>
      <c r="L55" s="2" t="s">
        <v>44</v>
      </c>
      <c r="M55" s="18">
        <v>0.44600000000000001</v>
      </c>
      <c r="N55" s="18">
        <v>0.75</v>
      </c>
      <c r="O55" s="18">
        <v>1.25</v>
      </c>
      <c r="P55" s="41"/>
      <c r="Q55" s="18">
        <f>AVERAGE(Q52:Q54)</f>
        <v>0.42666666666666669</v>
      </c>
      <c r="R55" s="18">
        <f t="shared" ref="R55:S55" si="28">AVERAGE(R52:R54)</f>
        <v>0.71666666666666667</v>
      </c>
      <c r="S55" s="18">
        <f t="shared" si="28"/>
        <v>1.1966666666666665</v>
      </c>
    </row>
    <row r="56" spans="1:19" ht="15.75" x14ac:dyDescent="0.25">
      <c r="A56" s="1" t="s">
        <v>45</v>
      </c>
      <c r="B56" s="17">
        <v>0.96</v>
      </c>
      <c r="C56" s="17">
        <v>1.89</v>
      </c>
      <c r="D56" s="17">
        <v>3.55</v>
      </c>
      <c r="E56" s="17">
        <v>4.3899999999999997</v>
      </c>
      <c r="F56" s="17"/>
      <c r="G56" s="17"/>
      <c r="H56" s="17"/>
      <c r="I56" s="17"/>
      <c r="L56" s="1" t="s">
        <v>45</v>
      </c>
      <c r="M56" s="17">
        <v>0.98</v>
      </c>
      <c r="N56" s="17">
        <v>1.98</v>
      </c>
      <c r="O56" s="17">
        <v>3.74</v>
      </c>
      <c r="P56" s="41"/>
      <c r="Q56" s="17">
        <v>0.9</v>
      </c>
      <c r="R56" s="17">
        <v>1.89</v>
      </c>
      <c r="S56" s="17">
        <v>3.8</v>
      </c>
    </row>
    <row r="57" spans="1:19" x14ac:dyDescent="0.25">
      <c r="B57" s="17">
        <v>0.98</v>
      </c>
      <c r="C57" s="17">
        <v>1.92</v>
      </c>
      <c r="D57" s="17">
        <v>3.57</v>
      </c>
      <c r="E57" s="17">
        <v>4.3899999999999997</v>
      </c>
      <c r="F57" s="17"/>
      <c r="G57" s="17"/>
      <c r="H57" s="17"/>
      <c r="I57" s="17"/>
      <c r="M57" s="17">
        <v>0.99</v>
      </c>
      <c r="N57" s="17">
        <v>1.99</v>
      </c>
      <c r="O57" s="17">
        <v>3.72</v>
      </c>
      <c r="P57" s="41"/>
      <c r="Q57" s="17">
        <v>0.95</v>
      </c>
      <c r="R57" s="17">
        <v>1.9</v>
      </c>
      <c r="S57" s="17">
        <v>3.79</v>
      </c>
    </row>
    <row r="58" spans="1:19" x14ac:dyDescent="0.25">
      <c r="B58" s="17">
        <v>0.9</v>
      </c>
      <c r="C58" s="17">
        <v>1.9</v>
      </c>
      <c r="D58" s="17">
        <v>3.56</v>
      </c>
      <c r="E58" s="17">
        <v>4.3899999999999997</v>
      </c>
      <c r="F58" s="17"/>
      <c r="G58" s="17"/>
      <c r="H58" s="17"/>
      <c r="I58" s="17"/>
      <c r="M58" s="17">
        <v>0.99</v>
      </c>
      <c r="N58" s="17">
        <v>2</v>
      </c>
      <c r="O58" s="17">
        <v>3.7</v>
      </c>
      <c r="P58" s="41"/>
      <c r="Q58" s="17">
        <v>0.95</v>
      </c>
      <c r="R58" s="17">
        <v>1.89</v>
      </c>
      <c r="S58" s="17">
        <v>3.78</v>
      </c>
    </row>
    <row r="59" spans="1:19" x14ac:dyDescent="0.25">
      <c r="A59" s="2" t="s">
        <v>46</v>
      </c>
      <c r="B59" s="18">
        <f>AVERAGE(B56:B58)</f>
        <v>0.94666666666666666</v>
      </c>
      <c r="C59" s="18">
        <f t="shared" ref="C59:F59" si="29">AVERAGE(C56:C58)</f>
        <v>1.9033333333333331</v>
      </c>
      <c r="D59" s="18">
        <f t="shared" si="29"/>
        <v>3.56</v>
      </c>
      <c r="E59" s="18">
        <f t="shared" si="29"/>
        <v>4.3899999999999997</v>
      </c>
      <c r="F59" s="18" t="e">
        <f t="shared" si="29"/>
        <v>#DIV/0!</v>
      </c>
      <c r="G59" s="18"/>
      <c r="H59" s="18"/>
      <c r="I59" s="18"/>
      <c r="L59" s="2" t="s">
        <v>46</v>
      </c>
      <c r="M59" s="18">
        <f>AVERAGE(M56:M58)</f>
        <v>0.98666666666666669</v>
      </c>
      <c r="N59" s="18">
        <f t="shared" ref="N59:O59" si="30">AVERAGE(N56:N58)</f>
        <v>1.99</v>
      </c>
      <c r="O59" s="18">
        <f t="shared" si="30"/>
        <v>3.72</v>
      </c>
      <c r="P59" s="18"/>
      <c r="Q59" s="18">
        <f t="shared" ref="Q59" si="31">AVERAGE(Q56:Q58)</f>
        <v>0.93333333333333324</v>
      </c>
      <c r="R59" s="18">
        <f t="shared" ref="R59" si="32">AVERAGE(R56:R58)</f>
        <v>1.8933333333333333</v>
      </c>
      <c r="S59" s="18">
        <f t="shared" ref="S59" si="33">AVERAGE(S56:S58)</f>
        <v>3.7899999999999996</v>
      </c>
    </row>
    <row r="60" spans="1:19" x14ac:dyDescent="0.25">
      <c r="A60" t="s">
        <v>47</v>
      </c>
      <c r="B60" s="19">
        <f>B55-B59</f>
        <v>-0.51666666666666661</v>
      </c>
      <c r="C60" s="19">
        <f t="shared" ref="C60:F60" si="34">C55-C59</f>
        <v>-1.1699999999999997</v>
      </c>
      <c r="D60" s="19">
        <f t="shared" si="34"/>
        <v>-2.3566666666666665</v>
      </c>
      <c r="E60" s="19">
        <f t="shared" si="34"/>
        <v>-2.9633333333333329</v>
      </c>
      <c r="F60" s="19" t="e">
        <f t="shared" si="34"/>
        <v>#DIV/0!</v>
      </c>
      <c r="G60" s="19"/>
      <c r="H60" s="19"/>
      <c r="I60" s="19"/>
      <c r="L60" t="s">
        <v>47</v>
      </c>
      <c r="M60" s="19"/>
      <c r="N60" s="19"/>
      <c r="O60" s="19"/>
      <c r="P60" s="41"/>
      <c r="Q60" s="19"/>
      <c r="R60" s="19"/>
      <c r="S60" s="19"/>
    </row>
    <row r="61" spans="1:19" x14ac:dyDescent="0.25">
      <c r="A61" t="s">
        <v>48</v>
      </c>
      <c r="B61" s="20">
        <f>B60*0.0254</f>
        <v>-1.3123333333333331E-2</v>
      </c>
      <c r="C61" s="20">
        <f t="shared" ref="C61:F61" si="35">C60*0.0254</f>
        <v>-2.9717999999999991E-2</v>
      </c>
      <c r="D61" s="20">
        <f t="shared" si="35"/>
        <v>-5.9859333333333327E-2</v>
      </c>
      <c r="E61" s="20">
        <f t="shared" si="35"/>
        <v>-7.526866666666665E-2</v>
      </c>
      <c r="F61" s="20" t="e">
        <f t="shared" si="35"/>
        <v>#DIV/0!</v>
      </c>
      <c r="G61" s="20"/>
      <c r="H61" s="20"/>
      <c r="I61" s="20"/>
      <c r="L61" t="s">
        <v>48</v>
      </c>
      <c r="M61" s="20"/>
      <c r="N61" s="20"/>
      <c r="O61" s="20"/>
      <c r="P61" s="41"/>
      <c r="Q61" s="20"/>
      <c r="R61" s="20"/>
      <c r="S61" s="20"/>
    </row>
    <row r="62" spans="1:19" x14ac:dyDescent="0.25">
      <c r="A62" s="3" t="s">
        <v>49</v>
      </c>
      <c r="B62" s="21">
        <f>SQRT(1.633*((997)*(9.81)*(0.0254)*(B59-B55)))</f>
        <v>14.47762273061085</v>
      </c>
      <c r="C62" s="21">
        <f t="shared" ref="C62:E62" si="36">SQRT(1.633*((997)*(9.81)*(0.0254)*(C59-C55)))</f>
        <v>21.786374483414626</v>
      </c>
      <c r="D62" s="21">
        <f t="shared" si="36"/>
        <v>30.920115894124002</v>
      </c>
      <c r="E62" s="21">
        <f t="shared" si="36"/>
        <v>34.672270855939331</v>
      </c>
      <c r="F62" s="21"/>
      <c r="G62" s="21"/>
      <c r="H62" s="21"/>
      <c r="I62" s="21"/>
      <c r="L62" s="3" t="s">
        <v>49</v>
      </c>
      <c r="M62" s="21">
        <f>SQRT(1.633*((997)*(9.81)*(0.0254)*(M59-M55)))</f>
        <v>14.810060447401151</v>
      </c>
      <c r="N62" s="21">
        <f t="shared" ref="N62:S62" si="37">SQRT(1.633*((997)*(9.81)*(0.0254)*(N59-N55)))</f>
        <v>22.428636691331906</v>
      </c>
      <c r="O62" s="21">
        <f t="shared" si="37"/>
        <v>31.654868239779173</v>
      </c>
      <c r="P62" s="21"/>
      <c r="Q62" s="21">
        <f t="shared" si="37"/>
        <v>14.336832130710047</v>
      </c>
      <c r="R62" s="21">
        <f t="shared" si="37"/>
        <v>21.848355759387022</v>
      </c>
      <c r="S62" s="21">
        <f t="shared" si="37"/>
        <v>32.435545379031936</v>
      </c>
    </row>
    <row r="63" spans="1:19" x14ac:dyDescent="0.25">
      <c r="A63" s="3" t="s">
        <v>62</v>
      </c>
      <c r="B63" s="22">
        <f>((1.225)*(B62)*(P9*P11)*(0.0254^2))/(1.85*10^-5)</f>
        <v>11608.187070966056</v>
      </c>
      <c r="C63" s="22">
        <f>((1.225)*(C62)*(P9*P11)*(0.0254^2))/(1.85*10^-5)</f>
        <v>17468.358950042068</v>
      </c>
      <c r="D63" s="22">
        <f>((1.225)*(D62)*(P9*P11)*(0.0254^2))/(1.85*10^-5)</f>
        <v>24791.811213317771</v>
      </c>
      <c r="E63" s="22">
        <f>((1.225)*(E62)*(P9*P11)*(0.0254^2))/(1.85*10^-5)</f>
        <v>27800.296620518882</v>
      </c>
      <c r="F63" s="22"/>
      <c r="G63" s="22"/>
      <c r="H63" s="22"/>
      <c r="I63" s="22"/>
      <c r="L63" s="3" t="s">
        <v>62</v>
      </c>
      <c r="M63" s="22">
        <f>((1.225)*(M62)*(P9*P11)*(0.0254^2))/(1.85*10^-5)</f>
        <v>11874.736301993284</v>
      </c>
      <c r="N63" s="22">
        <f>((1.225)*(N62)*(P9*P11)*(0.0254^2))/(1.85*10^-5)</f>
        <v>17983.326082204716</v>
      </c>
      <c r="O63" s="22">
        <f>((1.225)*(O62)*(P9*P11)*(0.0254^2))/(1.85*10^-5)</f>
        <v>25380.937124242544</v>
      </c>
      <c r="P63" s="22"/>
      <c r="Q63" s="22">
        <f>((1.225)*(Q62)*(P9*P11)*(0.0254^2))/(1.85*10^-5)</f>
        <v>11495.300884339122</v>
      </c>
      <c r="R63" s="22">
        <f>((1.225)*(R62)*(P9*P11)*(0.0254^2))/(1.85*10^-5)</f>
        <v>17518.055661979688</v>
      </c>
      <c r="S63" s="22">
        <f>((1.225)*(S62)*(P9*P11)*(0.0254^2))/(1.85*10^-5)</f>
        <v>26006.885627190612</v>
      </c>
    </row>
    <row r="64" spans="1:19" x14ac:dyDescent="0.25">
      <c r="A64" s="3" t="s">
        <v>63</v>
      </c>
      <c r="B64" s="22">
        <f>(B62)*(5.44)*(0.0254)/(1.825*10^-5)</f>
        <v>109614.24648903478</v>
      </c>
      <c r="C64" s="22">
        <f>(C62)*(M10)*(0.0254)/(1.825*10^-5)</f>
        <v>164950.90852713969</v>
      </c>
      <c r="D64" s="22">
        <f>(D62)*(M10)*(0.0254)/(1.825*10^-5)</f>
        <v>234105.09226227278</v>
      </c>
      <c r="E64" s="22">
        <f>(E62)*(M10)*(0.0254)/(1.825*10^-5)</f>
        <v>262513.73686522048</v>
      </c>
      <c r="F64" s="22"/>
      <c r="G64" s="22"/>
      <c r="H64" s="22"/>
      <c r="I64" s="22"/>
      <c r="L64" s="3" t="s">
        <v>63</v>
      </c>
      <c r="M64" s="22">
        <f>(M62)*(M10)*(0.0254)/(1.825*10^-5)</f>
        <v>112131.228075622</v>
      </c>
      <c r="N64" s="22">
        <f>(N62)*(M10)*(0.0254)/(1.825*10^-5)</f>
        <v>169813.66046364262</v>
      </c>
      <c r="O64" s="22">
        <f>(O62)*(M10)*(0.0254)/(1.825*10^-5)</f>
        <v>239668.11363834119</v>
      </c>
      <c r="P64" s="22"/>
      <c r="Q64" s="22">
        <f>(Q62)*(M10)*(0.0254)/(1.825*10^-5)</f>
        <v>108548.28035578036</v>
      </c>
      <c r="R64" s="22">
        <f>(R62)*(M10)*(0.0254)/(1.825*10^-5)</f>
        <v>165420.18659775681</v>
      </c>
      <c r="S64" s="22">
        <f>(S62)*(M10)*(0.0254)/(1.825*10^-5)</f>
        <v>245578.84483797901</v>
      </c>
    </row>
    <row r="65" spans="1:19" x14ac:dyDescent="0.25">
      <c r="B65" s="41"/>
      <c r="C65" s="41"/>
      <c r="D65" s="41"/>
      <c r="E65" s="41"/>
      <c r="F65" s="41"/>
      <c r="G65" s="41"/>
      <c r="H65" s="41"/>
      <c r="I65" s="41"/>
      <c r="M65" s="23"/>
      <c r="N65" s="23"/>
      <c r="O65" s="23"/>
      <c r="P65" s="41"/>
      <c r="Q65" s="23"/>
      <c r="R65" s="23"/>
      <c r="S65" s="23"/>
    </row>
    <row r="66" spans="1:19" x14ac:dyDescent="0.25">
      <c r="A66" t="s">
        <v>52</v>
      </c>
      <c r="B66" s="17">
        <v>0.11</v>
      </c>
      <c r="C66" s="17">
        <v>0.31</v>
      </c>
      <c r="D66" s="17">
        <v>0.62</v>
      </c>
      <c r="E66" s="17">
        <v>0.76</v>
      </c>
      <c r="F66" s="23"/>
      <c r="G66" s="23"/>
      <c r="H66" s="23"/>
      <c r="I66" s="23"/>
      <c r="L66" t="s">
        <v>52</v>
      </c>
      <c r="M66" s="17">
        <v>0.32</v>
      </c>
      <c r="N66" s="17">
        <v>0.81</v>
      </c>
      <c r="O66" s="17">
        <v>1.3</v>
      </c>
      <c r="P66" s="41"/>
      <c r="Q66" s="17">
        <v>1.61</v>
      </c>
      <c r="R66" s="17">
        <v>3.66</v>
      </c>
      <c r="S66" s="17">
        <v>2.87</v>
      </c>
    </row>
    <row r="67" spans="1:19" x14ac:dyDescent="0.25">
      <c r="B67" s="17">
        <v>0.14000000000000001</v>
      </c>
      <c r="C67" s="17">
        <v>0.31</v>
      </c>
      <c r="D67" s="17">
        <v>0.59</v>
      </c>
      <c r="E67" s="17">
        <v>0.77</v>
      </c>
      <c r="F67" s="23"/>
      <c r="G67" s="23"/>
      <c r="H67" s="23"/>
      <c r="I67" s="23"/>
      <c r="M67" s="17">
        <v>0.35</v>
      </c>
      <c r="N67" s="17">
        <v>0.83</v>
      </c>
      <c r="O67" s="17">
        <v>1.29</v>
      </c>
      <c r="P67" s="41"/>
      <c r="Q67" s="17">
        <v>1.61</v>
      </c>
      <c r="R67" s="17">
        <v>3.62</v>
      </c>
      <c r="S67" s="17">
        <v>2.85</v>
      </c>
    </row>
    <row r="68" spans="1:19" x14ac:dyDescent="0.25">
      <c r="B68" s="17">
        <v>0.15</v>
      </c>
      <c r="C68" s="17">
        <v>0.32</v>
      </c>
      <c r="D68" s="17">
        <v>0.63</v>
      </c>
      <c r="E68" s="17">
        <v>0.76</v>
      </c>
      <c r="F68" s="23"/>
      <c r="G68" s="23"/>
      <c r="H68" s="23"/>
      <c r="I68" s="23"/>
      <c r="M68" s="17">
        <v>0.31</v>
      </c>
      <c r="N68" s="17">
        <v>0.77</v>
      </c>
      <c r="O68" s="17">
        <v>1.33</v>
      </c>
      <c r="P68" s="41"/>
      <c r="Q68" s="17">
        <v>1.55</v>
      </c>
      <c r="R68" s="17">
        <v>3.7</v>
      </c>
      <c r="S68" s="17">
        <v>3</v>
      </c>
    </row>
    <row r="69" spans="1:19" x14ac:dyDescent="0.25">
      <c r="A69" s="3" t="s">
        <v>53</v>
      </c>
      <c r="B69" s="21">
        <f>AVERAGE(B66:B68)</f>
        <v>0.13333333333333333</v>
      </c>
      <c r="C69" s="21">
        <f t="shared" ref="C69:D69" si="38">AVERAGE(C66:C68)</f>
        <v>0.3133333333333333</v>
      </c>
      <c r="D69" s="21">
        <f t="shared" si="38"/>
        <v>0.61333333333333329</v>
      </c>
      <c r="E69" s="21">
        <f>AVERAGE(E66:E68)</f>
        <v>0.76333333333333331</v>
      </c>
      <c r="F69" s="21"/>
      <c r="G69" s="21"/>
      <c r="H69" s="21"/>
      <c r="I69" s="21"/>
      <c r="L69" s="3" t="s">
        <v>53</v>
      </c>
      <c r="M69" s="21">
        <f>AVERAGE(M66:M68)</f>
        <v>0.32666666666666666</v>
      </c>
      <c r="N69" s="21">
        <f t="shared" ref="N69:O69" si="39">AVERAGE(N66:N68)</f>
        <v>0.80333333333333334</v>
      </c>
      <c r="O69" s="21">
        <f t="shared" si="39"/>
        <v>1.3066666666666666</v>
      </c>
      <c r="P69" s="21"/>
      <c r="Q69" s="21">
        <f t="shared" ref="Q69" si="40">AVERAGE(Q66:Q68)</f>
        <v>1.59</v>
      </c>
      <c r="R69" s="21">
        <f t="shared" ref="R69" si="41">AVERAGE(R66:R68)</f>
        <v>3.66</v>
      </c>
      <c r="S69" s="21">
        <f t="shared" ref="S69" si="42">AVERAGE(S66:S68)</f>
        <v>2.9066666666666667</v>
      </c>
    </row>
    <row r="70" spans="1:19" x14ac:dyDescent="0.25">
      <c r="A70" s="3" t="s">
        <v>64</v>
      </c>
      <c r="B70" s="24">
        <f>B69/((P9*P11)*(0.0254^2)*(0.5)*(1.225)*(B62)^2)</f>
        <v>8.5769988192366434E-2</v>
      </c>
      <c r="C70" s="24">
        <f>C69/((P9*P11)*(0.0254^2)*(0.5)*(1.225)*(C62)^2)</f>
        <v>8.9007744156893082E-2</v>
      </c>
      <c r="D70" s="24">
        <f>D69/((P9*P11)*(0.0254^2)*(0.5)*(1.225)*(D62)^2)</f>
        <v>8.6497880595696283E-2</v>
      </c>
      <c r="E70" s="24">
        <f>E69/((P9*P11)*(0.0254^2)*(0.5)*(1.225)*(E62)^2)</f>
        <v>8.5613209530035039E-2</v>
      </c>
      <c r="F70" s="24"/>
      <c r="G70" s="24"/>
      <c r="H70" s="24"/>
      <c r="I70" s="24"/>
      <c r="L70" s="3" t="s">
        <v>64</v>
      </c>
      <c r="M70" s="24">
        <f>M69/((P9*P11)*(0.0254^2)*(0.5)*(1.225)*(M62)^2)</f>
        <v>0.20080858826172104</v>
      </c>
      <c r="N70" s="24">
        <f>N69/((P9*P11)*(0.0254^2)*(0.5)*(1.225)*(N62)^2)</f>
        <v>0.21531840785791995</v>
      </c>
      <c r="O70" s="24">
        <f>O69/((P9*P11)*(0.0254^2)*(0.5)*(1.225)*(O62)^2)</f>
        <v>0.17582268834575515</v>
      </c>
      <c r="P70" s="24"/>
      <c r="Q70" s="24">
        <f>Q69/((P9*P11)*(0.0254^2)*(0.5)*(1.225)*(Q62)^2)</f>
        <v>1.0429940916122717</v>
      </c>
      <c r="R70" s="24">
        <f>R69/((P9*P11)*(0.0254^2)*(0.5)*(1.225)*(R62)^2)</f>
        <v>1.0337956296358952</v>
      </c>
      <c r="S70" s="24">
        <f>S69/((P9*P11)*(0.0254^2)*(0.5)*(1.225)*(S62)^2)</f>
        <v>0.37251515437275862</v>
      </c>
    </row>
    <row r="71" spans="1:19" x14ac:dyDescent="0.25">
      <c r="A71" s="3" t="s">
        <v>65</v>
      </c>
      <c r="B71" s="24">
        <f>M69/((5.44*1.09)*(0.0254^2)*(0.5)*(1.225)*(M62)^2)</f>
        <v>0.6356122151472573</v>
      </c>
      <c r="C71" s="24">
        <f t="shared" ref="C71:E71" si="43">C69/((5.44*1.09)*(0.0254^2)*(0.5)*(1.225)*(C62)^2)</f>
        <v>0.28173301709131932</v>
      </c>
      <c r="D71" s="24">
        <f t="shared" si="43"/>
        <v>0.27378863606828024</v>
      </c>
      <c r="E71" s="24">
        <f t="shared" si="43"/>
        <v>0.2709884185049321</v>
      </c>
      <c r="F71" s="24"/>
      <c r="G71" s="24"/>
      <c r="H71" s="24"/>
      <c r="I71" s="24"/>
      <c r="L71" s="3" t="s">
        <v>65</v>
      </c>
      <c r="M71" s="24">
        <f>M69/((5.44*1.09)*(0.0254^2)*(0.5)*(1.225)*(M62)^2)</f>
        <v>0.6356122151472573</v>
      </c>
      <c r="N71" s="24">
        <f>N69/((5.44*1.09)*(0.0254^2)*(0.5)*(1.225)*(N62)^2)</f>
        <v>0.68153962619457209</v>
      </c>
      <c r="O71" s="24">
        <f>O69/((5.44*1.09)*(0.0254^2)*(0.5)*(1.225)*(O62)^2)</f>
        <v>0.55652524316807062</v>
      </c>
      <c r="P71" s="24"/>
      <c r="Q71" s="24">
        <f>Q69/((5.44*1.09)*(0.0254^2)*(0.5)*(1.225)*(Q62)^2)</f>
        <v>3.3013517533978387</v>
      </c>
      <c r="R71" s="24">
        <f>R69/((5.44*1.09)*(0.0254^2)*(0.5)*(1.225)*(R62)^2)</f>
        <v>3.2722361919402161</v>
      </c>
      <c r="S71" s="24">
        <f>S69/((5.44*1.09)*(0.0254^2)*(0.5)*(1.225)*(S62)^2)</f>
        <v>1.1791088443796736</v>
      </c>
    </row>
    <row r="72" spans="1:19" x14ac:dyDescent="0.25">
      <c r="B72" s="41"/>
      <c r="C72" s="41"/>
      <c r="D72" s="41"/>
      <c r="E72" s="41"/>
      <c r="F72" s="41"/>
      <c r="G72" s="41"/>
      <c r="H72" s="41"/>
      <c r="I72" s="41"/>
    </row>
    <row r="73" spans="1:19" x14ac:dyDescent="0.25">
      <c r="A73" s="3" t="s">
        <v>66</v>
      </c>
      <c r="B73" s="32">
        <f>AVERAGE(C64,M64,Q64)</f>
        <v>128543.47231951403</v>
      </c>
      <c r="C73" s="23"/>
      <c r="D73" s="23"/>
      <c r="E73" s="41"/>
      <c r="F73" s="41"/>
      <c r="G73" s="41"/>
      <c r="H73" s="41"/>
      <c r="I73" s="41"/>
    </row>
    <row r="74" spans="1:19" x14ac:dyDescent="0.25">
      <c r="A74" s="3" t="s">
        <v>67</v>
      </c>
      <c r="B74" s="23">
        <v>0</v>
      </c>
      <c r="C74" s="23">
        <v>8</v>
      </c>
      <c r="D74" s="23">
        <v>16</v>
      </c>
      <c r="E74" s="41"/>
      <c r="F74" s="41"/>
      <c r="G74" s="41"/>
      <c r="H74" s="41"/>
      <c r="I74" s="41"/>
    </row>
    <row r="75" spans="1:19" x14ac:dyDescent="0.25">
      <c r="A75" s="3" t="s">
        <v>54</v>
      </c>
      <c r="B75" s="34">
        <f>C71</f>
        <v>0.28173301709131932</v>
      </c>
      <c r="C75" s="34">
        <f>M71</f>
        <v>0.6356122151472573</v>
      </c>
      <c r="D75" s="34">
        <f>Q71</f>
        <v>3.3013517533978387</v>
      </c>
      <c r="E75" s="41"/>
      <c r="F75" s="41"/>
      <c r="G75" s="41"/>
      <c r="H75" s="44">
        <f>B69</f>
        <v>0.13333333333333333</v>
      </c>
      <c r="I75" s="44">
        <f t="shared" ref="I75:K75" si="44">C69</f>
        <v>0.3133333333333333</v>
      </c>
      <c r="J75" s="44">
        <f t="shared" si="44"/>
        <v>0.61333333333333329</v>
      </c>
      <c r="K75" s="44">
        <f t="shared" si="44"/>
        <v>0.76333333333333331</v>
      </c>
    </row>
    <row r="76" spans="1:19" x14ac:dyDescent="0.25">
      <c r="B76" s="41"/>
      <c r="C76" s="41"/>
      <c r="D76" s="41"/>
      <c r="E76" s="41" t="s">
        <v>74</v>
      </c>
      <c r="F76" s="41"/>
      <c r="G76" s="41"/>
      <c r="H76" s="24">
        <f>B63</f>
        <v>11608.187070966056</v>
      </c>
      <c r="I76" s="24">
        <f t="shared" ref="I76:K76" si="45">C63</f>
        <v>17468.358950042068</v>
      </c>
      <c r="J76" s="24">
        <f t="shared" si="45"/>
        <v>24791.811213317771</v>
      </c>
      <c r="K76" s="24">
        <f t="shared" si="45"/>
        <v>27800.296620518882</v>
      </c>
    </row>
    <row r="77" spans="1:19" x14ac:dyDescent="0.25">
      <c r="A77" s="3" t="s">
        <v>66</v>
      </c>
      <c r="B77" s="32">
        <f>AVERAGE(D64,N64,R64)</f>
        <v>189779.64644122406</v>
      </c>
      <c r="C77" s="23"/>
      <c r="D77" s="23"/>
      <c r="E77" s="41"/>
      <c r="F77" s="41"/>
      <c r="G77" s="41"/>
      <c r="H77" s="41"/>
      <c r="I77" s="41"/>
    </row>
    <row r="78" spans="1:19" x14ac:dyDescent="0.25">
      <c r="A78" s="3" t="s">
        <v>67</v>
      </c>
      <c r="B78" s="23">
        <v>0</v>
      </c>
      <c r="C78" s="23">
        <v>8</v>
      </c>
      <c r="D78" s="23">
        <v>16</v>
      </c>
      <c r="E78" s="41"/>
      <c r="F78" s="41"/>
      <c r="G78" s="41"/>
      <c r="H78" s="41"/>
      <c r="I78" s="41"/>
    </row>
    <row r="79" spans="1:19" x14ac:dyDescent="0.25">
      <c r="A79" s="3" t="s">
        <v>54</v>
      </c>
      <c r="B79" s="34">
        <f>D71</f>
        <v>0.27378863606828024</v>
      </c>
      <c r="C79" s="34">
        <f>N71</f>
        <v>0.68153962619457209</v>
      </c>
      <c r="D79" s="34">
        <f>R71</f>
        <v>3.2722361919402161</v>
      </c>
      <c r="E79" s="41"/>
      <c r="F79" s="41"/>
      <c r="G79" s="41"/>
      <c r="H79" s="41"/>
      <c r="I79" s="41"/>
    </row>
    <row r="80" spans="1:19" x14ac:dyDescent="0.25">
      <c r="B80" s="41"/>
      <c r="C80" s="41"/>
      <c r="D80" s="41"/>
      <c r="E80" s="41"/>
      <c r="F80" s="41"/>
      <c r="G80" s="41"/>
      <c r="H80" s="41"/>
      <c r="I80" s="41"/>
    </row>
    <row r="81" spans="1:18" x14ac:dyDescent="0.25">
      <c r="A81" s="3" t="s">
        <v>66</v>
      </c>
      <c r="B81" s="32">
        <f>AVERAGE(E64,O64,S64)</f>
        <v>249253.56511384691</v>
      </c>
      <c r="C81" s="23"/>
      <c r="D81" s="23"/>
      <c r="E81" s="41"/>
      <c r="F81" s="41"/>
      <c r="G81" s="41"/>
      <c r="H81" s="41"/>
      <c r="I81" s="41"/>
    </row>
    <row r="82" spans="1:18" x14ac:dyDescent="0.25">
      <c r="A82" s="3" t="s">
        <v>67</v>
      </c>
      <c r="B82" s="23">
        <v>0</v>
      </c>
      <c r="C82" s="23">
        <v>8</v>
      </c>
      <c r="D82" s="23">
        <v>16</v>
      </c>
      <c r="E82" s="41"/>
      <c r="F82" s="41"/>
      <c r="G82" s="41"/>
      <c r="H82" s="41"/>
      <c r="I82" s="41"/>
    </row>
    <row r="83" spans="1:18" x14ac:dyDescent="0.25">
      <c r="A83" s="3" t="s">
        <v>54</v>
      </c>
      <c r="B83" s="34">
        <f>E71</f>
        <v>0.2709884185049321</v>
      </c>
      <c r="C83" s="34">
        <f>O71</f>
        <v>0.55652524316807062</v>
      </c>
      <c r="D83" s="34">
        <f>S71</f>
        <v>1.1791088443796736</v>
      </c>
      <c r="E83" s="41"/>
      <c r="F83" s="41"/>
      <c r="G83" s="41"/>
      <c r="H83" s="41"/>
      <c r="I83" s="41"/>
    </row>
    <row r="86" spans="1:18" x14ac:dyDescent="0.25">
      <c r="B86" s="39" t="s">
        <v>68</v>
      </c>
      <c r="D86" s="41"/>
      <c r="E86" s="41"/>
      <c r="F86" s="41"/>
    </row>
    <row r="87" spans="1:18" x14ac:dyDescent="0.25">
      <c r="B87" s="41"/>
      <c r="C87" t="s">
        <v>69</v>
      </c>
      <c r="D87" s="41"/>
      <c r="E87" s="41"/>
      <c r="F87" s="41"/>
      <c r="M87" s="2" t="s">
        <v>70</v>
      </c>
    </row>
    <row r="88" spans="1:18" x14ac:dyDescent="0.25">
      <c r="B88" s="41" t="s">
        <v>71</v>
      </c>
      <c r="C88" s="41">
        <v>40000</v>
      </c>
      <c r="D88" s="41">
        <v>80000</v>
      </c>
      <c r="E88" s="41">
        <v>160000</v>
      </c>
      <c r="F88" s="41">
        <v>360000</v>
      </c>
      <c r="G88" s="41"/>
      <c r="H88" s="41"/>
      <c r="I88" s="41"/>
      <c r="J88" s="41"/>
      <c r="K88" s="41">
        <v>700000</v>
      </c>
      <c r="L88" s="41"/>
      <c r="M88" s="41" t="s">
        <v>72</v>
      </c>
      <c r="N88" s="41">
        <f>C88*0.21</f>
        <v>8400</v>
      </c>
      <c r="O88" s="41">
        <f>D88*0.21</f>
        <v>16800</v>
      </c>
      <c r="P88" s="41">
        <f>E88*0.21</f>
        <v>33600</v>
      </c>
      <c r="Q88" s="41">
        <f>F88*0.21</f>
        <v>75600</v>
      </c>
      <c r="R88" s="41">
        <f>K88*0.21</f>
        <v>147000</v>
      </c>
    </row>
    <row r="89" spans="1:18" x14ac:dyDescent="0.25"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</row>
    <row r="90" spans="1:18" x14ac:dyDescent="0.25">
      <c r="B90" s="41" t="s">
        <v>73</v>
      </c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</row>
    <row r="91" spans="1:18" x14ac:dyDescent="0.25">
      <c r="B91" s="23">
        <v>0</v>
      </c>
      <c r="C91" s="23">
        <v>2.3199999999999998E-2</v>
      </c>
      <c r="D91" s="23">
        <v>1.77E-2</v>
      </c>
      <c r="E91" s="23">
        <v>1.3899999999999999E-2</v>
      </c>
      <c r="F91" s="23">
        <v>1.11E-2</v>
      </c>
      <c r="G91" s="23"/>
      <c r="H91" s="23"/>
      <c r="I91" s="23"/>
      <c r="J91" s="23"/>
      <c r="K91" s="23">
        <v>9.4000000000000004E-3</v>
      </c>
      <c r="L91" s="41"/>
      <c r="M91" s="23">
        <v>0</v>
      </c>
      <c r="N91" s="34">
        <f>C91/0.21</f>
        <v>0.11047619047619048</v>
      </c>
      <c r="O91" s="34">
        <f>D91/0.21</f>
        <v>8.4285714285714297E-2</v>
      </c>
      <c r="P91" s="34">
        <f>E91/0.21</f>
        <v>6.6190476190476188E-2</v>
      </c>
      <c r="Q91" s="34">
        <f>F91/0.21</f>
        <v>5.2857142857142859E-2</v>
      </c>
      <c r="R91" s="34">
        <f t="shared" ref="R91:R106" si="46">K91/0.21</f>
        <v>4.4761904761904767E-2</v>
      </c>
    </row>
    <row r="92" spans="1:18" x14ac:dyDescent="0.25">
      <c r="B92" s="23">
        <v>1</v>
      </c>
      <c r="C92" s="23">
        <v>2.3300000000000001E-2</v>
      </c>
      <c r="D92" s="23">
        <v>1.78E-2</v>
      </c>
      <c r="E92" s="23">
        <v>1.4E-2</v>
      </c>
      <c r="F92" s="23">
        <v>1.11E-2</v>
      </c>
      <c r="G92" s="23"/>
      <c r="H92" s="23"/>
      <c r="I92" s="23"/>
      <c r="J92" s="23"/>
      <c r="K92" s="23">
        <v>9.4000000000000004E-3</v>
      </c>
      <c r="L92" s="41"/>
      <c r="M92" s="23">
        <v>1</v>
      </c>
      <c r="N92" s="34">
        <f t="shared" ref="N92:N111" si="47">C92/0.21</f>
        <v>0.11095238095238097</v>
      </c>
      <c r="O92" s="34">
        <f t="shared" ref="O92:O106" si="48">D92/0.21</f>
        <v>8.4761904761904761E-2</v>
      </c>
      <c r="P92" s="34">
        <f t="shared" ref="P92:P106" si="49">E92/0.21</f>
        <v>6.6666666666666666E-2</v>
      </c>
      <c r="Q92" s="34">
        <f t="shared" ref="Q92:Q106" si="50">F92/0.21</f>
        <v>5.2857142857142859E-2</v>
      </c>
      <c r="R92" s="34">
        <f t="shared" si="46"/>
        <v>4.4761904761904767E-2</v>
      </c>
    </row>
    <row r="93" spans="1:18" x14ac:dyDescent="0.25">
      <c r="B93" s="23">
        <v>2</v>
      </c>
      <c r="C93" s="23">
        <v>2.3699999999999999E-2</v>
      </c>
      <c r="D93" s="23">
        <v>1.8100000000000002E-2</v>
      </c>
      <c r="E93" s="23">
        <v>1.43E-2</v>
      </c>
      <c r="F93" s="23">
        <v>1.1299999999999999E-2</v>
      </c>
      <c r="G93" s="23"/>
      <c r="H93" s="23"/>
      <c r="I93" s="23"/>
      <c r="J93" s="23"/>
      <c r="K93" s="23">
        <v>9.5999999999999992E-3</v>
      </c>
      <c r="L93" s="41"/>
      <c r="M93" s="23">
        <v>2</v>
      </c>
      <c r="N93" s="34">
        <f t="shared" si="47"/>
        <v>0.11285714285714285</v>
      </c>
      <c r="O93" s="34">
        <f t="shared" si="48"/>
        <v>8.6190476190476206E-2</v>
      </c>
      <c r="P93" s="34">
        <f t="shared" si="49"/>
        <v>6.8095238095238098E-2</v>
      </c>
      <c r="Q93" s="34">
        <f t="shared" si="50"/>
        <v>5.3809523809523807E-2</v>
      </c>
      <c r="R93" s="34">
        <f t="shared" si="46"/>
        <v>4.5714285714285714E-2</v>
      </c>
    </row>
    <row r="94" spans="1:18" x14ac:dyDescent="0.25">
      <c r="B94" s="23">
        <v>3</v>
      </c>
      <c r="C94" s="23">
        <v>2.4299999999999999E-2</v>
      </c>
      <c r="D94" s="23">
        <v>1.8599999999999998E-2</v>
      </c>
      <c r="E94" s="23">
        <v>1.4800000000000001E-2</v>
      </c>
      <c r="F94" s="23">
        <v>1.17E-2</v>
      </c>
      <c r="G94" s="23"/>
      <c r="H94" s="23"/>
      <c r="I94" s="23"/>
      <c r="J94" s="23"/>
      <c r="K94" s="23">
        <v>9.7999999999999997E-3</v>
      </c>
      <c r="L94" s="41"/>
      <c r="M94" s="23">
        <v>3</v>
      </c>
      <c r="N94" s="34">
        <f t="shared" si="47"/>
        <v>0.11571428571428571</v>
      </c>
      <c r="O94" s="34">
        <f t="shared" si="48"/>
        <v>8.8571428571428565E-2</v>
      </c>
      <c r="P94" s="34">
        <f t="shared" si="49"/>
        <v>7.0476190476190484E-2</v>
      </c>
      <c r="Q94" s="34">
        <f t="shared" si="50"/>
        <v>5.5714285714285716E-2</v>
      </c>
      <c r="R94" s="34">
        <f t="shared" si="46"/>
        <v>4.6666666666666669E-2</v>
      </c>
    </row>
    <row r="95" spans="1:18" x14ac:dyDescent="0.25">
      <c r="B95" s="23">
        <v>4</v>
      </c>
      <c r="C95" s="23">
        <v>2.53E-2</v>
      </c>
      <c r="D95" s="23">
        <v>1.9400000000000001E-2</v>
      </c>
      <c r="E95" s="23">
        <v>1.55E-2</v>
      </c>
      <c r="F95" s="23">
        <v>1.2200000000000001E-2</v>
      </c>
      <c r="G95" s="23"/>
      <c r="H95" s="23"/>
      <c r="I95" s="23"/>
      <c r="J95" s="23"/>
      <c r="K95" s="23">
        <v>1.03E-2</v>
      </c>
      <c r="L95" s="41"/>
      <c r="M95" s="23">
        <v>4</v>
      </c>
      <c r="N95" s="34">
        <f t="shared" si="47"/>
        <v>0.12047619047619047</v>
      </c>
      <c r="O95" s="34">
        <f t="shared" si="48"/>
        <v>9.2380952380952383E-2</v>
      </c>
      <c r="P95" s="34">
        <f t="shared" si="49"/>
        <v>7.3809523809523811E-2</v>
      </c>
      <c r="Q95" s="34">
        <f t="shared" si="50"/>
        <v>5.8095238095238103E-2</v>
      </c>
      <c r="R95" s="34">
        <f t="shared" si="46"/>
        <v>4.9047619047619048E-2</v>
      </c>
    </row>
    <row r="96" spans="1:18" x14ac:dyDescent="0.25">
      <c r="B96" s="23">
        <v>5</v>
      </c>
      <c r="C96" s="23">
        <v>2.64E-2</v>
      </c>
      <c r="D96" s="23">
        <v>2.0400000000000001E-2</v>
      </c>
      <c r="E96" s="23">
        <v>1.6299999999999999E-2</v>
      </c>
      <c r="F96" s="23">
        <v>1.29E-2</v>
      </c>
      <c r="G96" s="23"/>
      <c r="H96" s="23"/>
      <c r="I96" s="23"/>
      <c r="J96" s="23"/>
      <c r="K96" s="23">
        <v>1.09E-2</v>
      </c>
      <c r="L96" s="41"/>
      <c r="M96" s="23">
        <v>5</v>
      </c>
      <c r="N96" s="34">
        <f t="shared" si="47"/>
        <v>0.12571428571428572</v>
      </c>
      <c r="O96" s="34">
        <f t="shared" si="48"/>
        <v>9.7142857142857156E-2</v>
      </c>
      <c r="P96" s="34">
        <f t="shared" si="49"/>
        <v>7.7619047619047615E-2</v>
      </c>
      <c r="Q96" s="34">
        <f t="shared" si="50"/>
        <v>6.142857142857143E-2</v>
      </c>
      <c r="R96" s="34">
        <f t="shared" si="46"/>
        <v>5.1904761904761905E-2</v>
      </c>
    </row>
    <row r="97" spans="2:18" x14ac:dyDescent="0.25">
      <c r="B97" s="23">
        <v>6</v>
      </c>
      <c r="C97" s="23">
        <v>2.7900000000000001E-2</v>
      </c>
      <c r="D97" s="23">
        <v>2.1700000000000001E-2</v>
      </c>
      <c r="E97" s="23">
        <v>1.7399999999999999E-2</v>
      </c>
      <c r="F97" s="23">
        <v>1.38E-2</v>
      </c>
      <c r="G97" s="23"/>
      <c r="H97" s="23"/>
      <c r="I97" s="23"/>
      <c r="J97" s="23"/>
      <c r="K97" s="23">
        <v>1.17E-2</v>
      </c>
      <c r="L97" s="41"/>
      <c r="M97" s="23">
        <v>6</v>
      </c>
      <c r="N97" s="34">
        <f t="shared" si="47"/>
        <v>0.13285714285714287</v>
      </c>
      <c r="O97" s="34">
        <f t="shared" si="48"/>
        <v>0.10333333333333335</v>
      </c>
      <c r="P97" s="34">
        <f t="shared" si="49"/>
        <v>8.2857142857142851E-2</v>
      </c>
      <c r="Q97" s="34">
        <f t="shared" si="50"/>
        <v>6.5714285714285711E-2</v>
      </c>
      <c r="R97" s="34">
        <f t="shared" si="46"/>
        <v>5.5714285714285716E-2</v>
      </c>
    </row>
    <row r="98" spans="2:18" x14ac:dyDescent="0.25">
      <c r="B98" s="23">
        <v>7</v>
      </c>
      <c r="C98" s="23">
        <v>2.9700000000000001E-2</v>
      </c>
      <c r="D98" s="23">
        <v>2.3300000000000001E-2</v>
      </c>
      <c r="E98" s="23">
        <v>1.8700000000000001E-2</v>
      </c>
      <c r="F98" s="23">
        <v>1.49E-2</v>
      </c>
      <c r="G98" s="23"/>
      <c r="H98" s="23"/>
      <c r="I98" s="23"/>
      <c r="J98" s="23"/>
      <c r="K98" s="23">
        <v>1.26E-2</v>
      </c>
      <c r="L98" s="41"/>
      <c r="M98" s="23">
        <v>7</v>
      </c>
      <c r="N98" s="34">
        <f t="shared" si="47"/>
        <v>0.14142857142857143</v>
      </c>
      <c r="O98" s="34">
        <f t="shared" si="48"/>
        <v>0.11095238095238097</v>
      </c>
      <c r="P98" s="34">
        <f t="shared" si="49"/>
        <v>8.9047619047619056E-2</v>
      </c>
      <c r="Q98" s="34">
        <f t="shared" si="50"/>
        <v>7.0952380952380961E-2</v>
      </c>
      <c r="R98" s="34">
        <f t="shared" si="46"/>
        <v>6.0000000000000005E-2</v>
      </c>
    </row>
    <row r="99" spans="2:18" x14ac:dyDescent="0.25">
      <c r="B99" s="23">
        <v>8</v>
      </c>
      <c r="C99" s="23">
        <v>3.1899999999999998E-2</v>
      </c>
      <c r="D99" s="23">
        <v>2.52E-2</v>
      </c>
      <c r="E99" s="23">
        <v>2.0400000000000001E-2</v>
      </c>
      <c r="F99" s="23">
        <v>1.6299999999999999E-2</v>
      </c>
      <c r="G99" s="23"/>
      <c r="H99" s="23"/>
      <c r="I99" s="23"/>
      <c r="J99" s="23"/>
      <c r="K99" s="23">
        <v>1.38E-2</v>
      </c>
      <c r="L99" s="41"/>
      <c r="M99" s="23">
        <v>8</v>
      </c>
      <c r="N99" s="34">
        <f t="shared" si="47"/>
        <v>0.1519047619047619</v>
      </c>
      <c r="O99" s="34">
        <f t="shared" si="48"/>
        <v>0.12000000000000001</v>
      </c>
      <c r="P99" s="34">
        <f t="shared" si="49"/>
        <v>9.7142857142857156E-2</v>
      </c>
      <c r="Q99" s="34">
        <f t="shared" si="50"/>
        <v>7.7619047619047615E-2</v>
      </c>
      <c r="R99" s="34">
        <f t="shared" si="46"/>
        <v>6.5714285714285711E-2</v>
      </c>
    </row>
    <row r="100" spans="2:18" x14ac:dyDescent="0.25">
      <c r="B100" s="23">
        <v>9</v>
      </c>
      <c r="C100" s="23">
        <v>3.4299999999999997E-2</v>
      </c>
      <c r="D100" s="23">
        <v>2.7300000000000001E-2</v>
      </c>
      <c r="E100" s="23">
        <v>2.2200000000000001E-2</v>
      </c>
      <c r="F100" s="23">
        <v>1.78E-2</v>
      </c>
      <c r="G100" s="23"/>
      <c r="H100" s="23"/>
      <c r="I100" s="23"/>
      <c r="J100" s="23"/>
      <c r="K100" s="23">
        <v>1.52E-2</v>
      </c>
      <c r="L100" s="41"/>
      <c r="M100" s="23">
        <v>9</v>
      </c>
      <c r="N100" s="34">
        <f t="shared" si="47"/>
        <v>0.16333333333333333</v>
      </c>
      <c r="O100" s="34">
        <f t="shared" si="48"/>
        <v>0.13</v>
      </c>
      <c r="P100" s="34">
        <f t="shared" si="49"/>
        <v>0.10571428571428572</v>
      </c>
      <c r="Q100" s="34">
        <f t="shared" si="50"/>
        <v>8.4761904761904761E-2</v>
      </c>
      <c r="R100" s="34">
        <f t="shared" si="46"/>
        <v>7.2380952380952379E-2</v>
      </c>
    </row>
    <row r="101" spans="2:18" x14ac:dyDescent="0.25">
      <c r="B101" s="23">
        <v>10</v>
      </c>
      <c r="C101" s="23">
        <v>6.2E-2</v>
      </c>
      <c r="D101" s="23">
        <v>2.9700000000000001E-2</v>
      </c>
      <c r="E101" s="23">
        <v>2.4299999999999999E-2</v>
      </c>
      <c r="F101" s="23">
        <v>1.95E-2</v>
      </c>
      <c r="G101" s="23"/>
      <c r="H101" s="23"/>
      <c r="I101" s="23"/>
      <c r="J101" s="23"/>
      <c r="K101" s="23">
        <v>1.66E-2</v>
      </c>
      <c r="L101" s="41"/>
      <c r="M101" s="23">
        <v>10</v>
      </c>
      <c r="N101" s="34">
        <f t="shared" si="47"/>
        <v>0.29523809523809524</v>
      </c>
      <c r="O101" s="34">
        <f t="shared" si="48"/>
        <v>0.14142857142857143</v>
      </c>
      <c r="P101" s="34">
        <f t="shared" si="49"/>
        <v>0.11571428571428571</v>
      </c>
      <c r="Q101" s="34">
        <f t="shared" si="50"/>
        <v>9.285714285714286E-2</v>
      </c>
      <c r="R101" s="34">
        <f t="shared" si="46"/>
        <v>7.9047619047619047E-2</v>
      </c>
    </row>
    <row r="102" spans="2:18" x14ac:dyDescent="0.25">
      <c r="B102" s="23">
        <v>11</v>
      </c>
      <c r="C102" s="23">
        <v>9.2499999999999999E-2</v>
      </c>
      <c r="D102" s="23">
        <v>7.0000000000000007E-2</v>
      </c>
      <c r="E102" s="23">
        <v>2.6599999999999999E-2</v>
      </c>
      <c r="F102" s="23">
        <v>2.1499999999999998E-2</v>
      </c>
      <c r="G102" s="23"/>
      <c r="H102" s="23"/>
      <c r="I102" s="23"/>
      <c r="J102" s="23"/>
      <c r="K102" s="23">
        <v>1.84E-2</v>
      </c>
      <c r="L102" s="41"/>
      <c r="M102" s="23">
        <v>11</v>
      </c>
      <c r="N102" s="34">
        <f t="shared" si="47"/>
        <v>0.44047619047619047</v>
      </c>
      <c r="O102" s="34">
        <f t="shared" si="48"/>
        <v>0.33333333333333337</v>
      </c>
      <c r="P102" s="34">
        <f t="shared" si="49"/>
        <v>0.12666666666666668</v>
      </c>
      <c r="Q102" s="34">
        <f t="shared" si="50"/>
        <v>0.10238095238095238</v>
      </c>
      <c r="R102" s="34">
        <f t="shared" si="46"/>
        <v>8.7619047619047624E-2</v>
      </c>
    </row>
    <row r="103" spans="2:18" x14ac:dyDescent="0.25">
      <c r="B103" s="23">
        <v>12</v>
      </c>
      <c r="C103" s="23">
        <v>0.123</v>
      </c>
      <c r="D103" s="23">
        <v>0.123</v>
      </c>
      <c r="E103" s="23">
        <v>2.92E-2</v>
      </c>
      <c r="F103" s="23">
        <v>2.3699999999999999E-2</v>
      </c>
      <c r="G103" s="23"/>
      <c r="H103" s="23"/>
      <c r="I103" s="23"/>
      <c r="J103" s="23"/>
      <c r="K103" s="23">
        <v>2.0199999999999999E-2</v>
      </c>
      <c r="L103" s="41"/>
      <c r="M103" s="23">
        <v>12</v>
      </c>
      <c r="N103" s="34">
        <f t="shared" si="47"/>
        <v>0.58571428571428574</v>
      </c>
      <c r="O103" s="34">
        <f t="shared" si="48"/>
        <v>0.58571428571428574</v>
      </c>
      <c r="P103" s="34">
        <f t="shared" si="49"/>
        <v>0.13904761904761906</v>
      </c>
      <c r="Q103" s="34">
        <f t="shared" si="50"/>
        <v>0.11285714285714285</v>
      </c>
      <c r="R103" s="34">
        <f t="shared" si="46"/>
        <v>9.6190476190476187E-2</v>
      </c>
    </row>
    <row r="104" spans="2:18" x14ac:dyDescent="0.25">
      <c r="B104" s="23">
        <v>13</v>
      </c>
      <c r="C104" s="23">
        <v>0.14050000000000001</v>
      </c>
      <c r="D104" s="23">
        <v>0.14050000000000001</v>
      </c>
      <c r="E104" s="23">
        <v>8.5999999999999993E-2</v>
      </c>
      <c r="F104" s="23">
        <v>2.5999999999999999E-2</v>
      </c>
      <c r="G104" s="23"/>
      <c r="H104" s="23"/>
      <c r="I104" s="23"/>
      <c r="J104" s="23"/>
      <c r="K104" s="23">
        <v>2.23E-2</v>
      </c>
      <c r="L104" s="41"/>
      <c r="M104" s="23">
        <v>13</v>
      </c>
      <c r="N104" s="34">
        <f t="shared" si="47"/>
        <v>0.66904761904761911</v>
      </c>
      <c r="O104" s="34">
        <f t="shared" si="48"/>
        <v>0.66904761904761911</v>
      </c>
      <c r="P104" s="34">
        <f t="shared" si="49"/>
        <v>0.40952380952380951</v>
      </c>
      <c r="Q104" s="34">
        <f t="shared" si="50"/>
        <v>0.12380952380952381</v>
      </c>
      <c r="R104" s="34">
        <f t="shared" si="46"/>
        <v>0.1061904761904762</v>
      </c>
    </row>
    <row r="105" spans="2:18" x14ac:dyDescent="0.25">
      <c r="B105" s="23">
        <v>14</v>
      </c>
      <c r="C105" s="23">
        <v>0.158</v>
      </c>
      <c r="D105" s="23">
        <v>0.158</v>
      </c>
      <c r="E105" s="23">
        <v>0.158</v>
      </c>
      <c r="F105" s="23">
        <v>2.86E-2</v>
      </c>
      <c r="G105" s="23"/>
      <c r="H105" s="23"/>
      <c r="I105" s="23"/>
      <c r="J105" s="23"/>
      <c r="K105" s="23">
        <v>2.4400000000000002E-2</v>
      </c>
      <c r="L105" s="41"/>
      <c r="M105" s="23">
        <v>14</v>
      </c>
      <c r="N105" s="34">
        <f t="shared" si="47"/>
        <v>0.75238095238095237</v>
      </c>
      <c r="O105" s="34">
        <f t="shared" si="48"/>
        <v>0.75238095238095237</v>
      </c>
      <c r="P105" s="34">
        <f t="shared" si="49"/>
        <v>0.75238095238095237</v>
      </c>
      <c r="Q105" s="34">
        <f t="shared" si="50"/>
        <v>0.1361904761904762</v>
      </c>
      <c r="R105" s="34">
        <f t="shared" si="46"/>
        <v>0.11619047619047621</v>
      </c>
    </row>
    <row r="106" spans="2:18" x14ac:dyDescent="0.25">
      <c r="B106" s="23">
        <v>15</v>
      </c>
      <c r="C106" s="23">
        <v>0.17699999999999999</v>
      </c>
      <c r="D106" s="23">
        <v>0.17699999999999999</v>
      </c>
      <c r="E106" s="23">
        <v>0.17699999999999999</v>
      </c>
      <c r="F106" s="23">
        <v>0.104</v>
      </c>
      <c r="G106" s="23"/>
      <c r="H106" s="23"/>
      <c r="I106" s="23"/>
      <c r="J106" s="23"/>
      <c r="K106" s="23">
        <v>2.69E-2</v>
      </c>
      <c r="L106" s="41"/>
      <c r="M106" s="23">
        <v>15</v>
      </c>
      <c r="N106" s="34">
        <f t="shared" si="47"/>
        <v>0.84285714285714286</v>
      </c>
      <c r="O106" s="34">
        <f t="shared" si="48"/>
        <v>0.84285714285714286</v>
      </c>
      <c r="P106" s="34">
        <f t="shared" si="49"/>
        <v>0.84285714285714286</v>
      </c>
      <c r="Q106" s="34">
        <f t="shared" si="50"/>
        <v>0.49523809523809526</v>
      </c>
      <c r="R106" s="34">
        <f t="shared" si="46"/>
        <v>0.1280952380952381</v>
      </c>
    </row>
    <row r="107" spans="2:18" x14ac:dyDescent="0.25">
      <c r="B107" s="23">
        <v>16</v>
      </c>
      <c r="C107" s="23">
        <v>0.19600000000000001</v>
      </c>
      <c r="D107" s="23">
        <v>0.19600000000000001</v>
      </c>
      <c r="E107" s="23">
        <v>0.19600000000000001</v>
      </c>
      <c r="F107" s="23">
        <v>0.19600000000000001</v>
      </c>
      <c r="G107" s="23"/>
      <c r="H107" s="23"/>
      <c r="I107" s="23"/>
      <c r="J107" s="23"/>
      <c r="K107" s="23">
        <v>2.9499999999999998E-2</v>
      </c>
      <c r="L107" s="41"/>
      <c r="M107" s="23">
        <v>16</v>
      </c>
      <c r="N107" s="34">
        <f t="shared" si="47"/>
        <v>0.93333333333333346</v>
      </c>
      <c r="O107" s="34">
        <f t="shared" ref="O107:O111" si="51">D107/0.21</f>
        <v>0.93333333333333346</v>
      </c>
      <c r="P107" s="34">
        <f t="shared" ref="P107:P111" si="52">E107/0.21</f>
        <v>0.93333333333333346</v>
      </c>
      <c r="Q107" s="34">
        <f t="shared" ref="Q107:Q111" si="53">F107/0.21</f>
        <v>0.93333333333333346</v>
      </c>
      <c r="R107" s="34">
        <f t="shared" ref="R107:R111" si="54">K107/0.21</f>
        <v>0.14047619047619048</v>
      </c>
    </row>
    <row r="108" spans="2:18" x14ac:dyDescent="0.25">
      <c r="B108" s="23">
        <v>17</v>
      </c>
      <c r="C108" s="23">
        <v>0.217</v>
      </c>
      <c r="D108" s="23">
        <v>0.217</v>
      </c>
      <c r="E108" s="23">
        <v>0.217</v>
      </c>
      <c r="F108" s="23">
        <v>0.217</v>
      </c>
      <c r="G108" s="23"/>
      <c r="H108" s="23"/>
      <c r="I108" s="23"/>
      <c r="J108" s="23"/>
      <c r="K108" s="23">
        <v>0.125</v>
      </c>
      <c r="L108" s="41"/>
      <c r="M108" s="23">
        <v>17</v>
      </c>
      <c r="N108" s="34">
        <f t="shared" si="47"/>
        <v>1.0333333333333334</v>
      </c>
      <c r="O108" s="34">
        <f t="shared" si="51"/>
        <v>1.0333333333333334</v>
      </c>
      <c r="P108" s="34">
        <f t="shared" si="52"/>
        <v>1.0333333333333334</v>
      </c>
      <c r="Q108" s="34">
        <f t="shared" si="53"/>
        <v>1.0333333333333334</v>
      </c>
      <c r="R108" s="34">
        <f t="shared" si="54"/>
        <v>0.59523809523809523</v>
      </c>
    </row>
    <row r="109" spans="2:18" x14ac:dyDescent="0.25">
      <c r="B109" s="23">
        <v>18</v>
      </c>
      <c r="C109" s="23">
        <v>0.23799999999999999</v>
      </c>
      <c r="D109" s="23">
        <v>0.23799999999999999</v>
      </c>
      <c r="E109" s="23">
        <v>0.23799999999999999</v>
      </c>
      <c r="F109" s="23">
        <v>0.23799999999999999</v>
      </c>
      <c r="G109" s="23"/>
      <c r="H109" s="23"/>
      <c r="I109" s="23"/>
      <c r="J109" s="23"/>
      <c r="K109" s="23">
        <v>0.23799999999999999</v>
      </c>
      <c r="L109" s="41"/>
      <c r="M109" s="23">
        <v>18</v>
      </c>
      <c r="N109" s="34">
        <f t="shared" si="47"/>
        <v>1.1333333333333333</v>
      </c>
      <c r="O109" s="34">
        <f t="shared" si="51"/>
        <v>1.1333333333333333</v>
      </c>
      <c r="P109" s="34">
        <f t="shared" si="52"/>
        <v>1.1333333333333333</v>
      </c>
      <c r="Q109" s="34">
        <f t="shared" si="53"/>
        <v>1.1333333333333333</v>
      </c>
      <c r="R109" s="34">
        <f t="shared" si="54"/>
        <v>1.1333333333333333</v>
      </c>
    </row>
    <row r="110" spans="2:18" x14ac:dyDescent="0.25">
      <c r="B110" s="23">
        <v>19</v>
      </c>
      <c r="C110" s="23">
        <v>0.26</v>
      </c>
      <c r="D110" s="23">
        <v>0.26</v>
      </c>
      <c r="E110" s="23">
        <v>0.26</v>
      </c>
      <c r="F110" s="23">
        <v>0.26</v>
      </c>
      <c r="G110" s="23"/>
      <c r="H110" s="23"/>
      <c r="I110" s="23"/>
      <c r="J110" s="23"/>
      <c r="K110" s="23">
        <v>0.26</v>
      </c>
      <c r="L110" s="41"/>
      <c r="M110" s="23">
        <v>19</v>
      </c>
      <c r="N110" s="34">
        <f t="shared" si="47"/>
        <v>1.2380952380952381</v>
      </c>
      <c r="O110" s="34">
        <f t="shared" si="51"/>
        <v>1.2380952380952381</v>
      </c>
      <c r="P110" s="34">
        <f t="shared" si="52"/>
        <v>1.2380952380952381</v>
      </c>
      <c r="Q110" s="34">
        <f t="shared" si="53"/>
        <v>1.2380952380952381</v>
      </c>
      <c r="R110" s="34">
        <f t="shared" si="54"/>
        <v>1.2380952380952381</v>
      </c>
    </row>
    <row r="111" spans="2:18" x14ac:dyDescent="0.25">
      <c r="B111" s="23">
        <v>20</v>
      </c>
      <c r="C111" s="23">
        <v>0.28199999999999997</v>
      </c>
      <c r="D111" s="23">
        <v>0.28199999999999997</v>
      </c>
      <c r="E111" s="23">
        <v>0.28199999999999997</v>
      </c>
      <c r="F111" s="23">
        <v>0.28199999999999997</v>
      </c>
      <c r="G111" s="23"/>
      <c r="H111" s="23"/>
      <c r="I111" s="23"/>
      <c r="J111" s="23"/>
      <c r="K111" s="23">
        <v>0.28199999999999997</v>
      </c>
      <c r="L111" s="41"/>
      <c r="M111" s="23">
        <v>20</v>
      </c>
      <c r="N111" s="34">
        <f t="shared" si="47"/>
        <v>1.3428571428571427</v>
      </c>
      <c r="O111" s="34">
        <f t="shared" si="51"/>
        <v>1.3428571428571427</v>
      </c>
      <c r="P111" s="34">
        <f t="shared" si="52"/>
        <v>1.3428571428571427</v>
      </c>
      <c r="Q111" s="34">
        <f t="shared" si="53"/>
        <v>1.3428571428571427</v>
      </c>
      <c r="R111" s="34">
        <f t="shared" si="54"/>
        <v>1.3428571428571427</v>
      </c>
    </row>
  </sheetData>
  <mergeCells count="2">
    <mergeCell ref="F20:I20"/>
    <mergeCell ref="B20:E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Experimental Data</vt:lpstr>
      <vt:lpstr>'Experimental Data'!n0021cd_partial_data_set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User</cp:lastModifiedBy>
  <cp:revision/>
  <dcterms:created xsi:type="dcterms:W3CDTF">2016-12-05T19:29:29Z</dcterms:created>
  <dcterms:modified xsi:type="dcterms:W3CDTF">2018-12-13T00:14:38Z</dcterms:modified>
  <cp:category/>
  <cp:contentStatus/>
</cp:coreProperties>
</file>