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B:\Dropbox (Personal)\RPA 2020\FOROM Feb 3\"/>
    </mc:Choice>
  </mc:AlternateContent>
  <xr:revisionPtr revIDLastSave="0" documentId="13_ncr:1_{43E31092-EE81-4E44-8165-E9C61561FE3B}" xr6:coauthVersionLast="45" xr6:coauthVersionMax="45" xr10:uidLastSave="{00000000-0000-0000-0000-000000000000}"/>
  <bookViews>
    <workbookView xWindow="28680" yWindow="-120" windowWidth="29040" windowHeight="15840" tabRatio="938" firstSheet="29" activeTab="40" xr2:uid="{00000000-000D-0000-FFFF-FFFF00000000}"/>
  </bookViews>
  <sheets>
    <sheet name="Data Sources" sheetId="2" r:id="rId1"/>
    <sheet name="USRegions" sheetId="1" r:id="rId2"/>
    <sheet name="Population" sheetId="30" r:id="rId3"/>
    <sheet name="GDP" sheetId="36" r:id="rId4"/>
    <sheet name="POP.SSP1" sheetId="46" r:id="rId5"/>
    <sheet name="POP.SSP2" sheetId="45" r:id="rId6"/>
    <sheet name="POP.SSP3" sheetId="44" r:id="rId7"/>
    <sheet name="POP.SSP4" sheetId="43" r:id="rId8"/>
    <sheet name="POP.SSP5" sheetId="42" r:id="rId9"/>
    <sheet name="GDP.SSP1" sheetId="37" r:id="rId10"/>
    <sheet name="GDP.SSP2" sheetId="47" r:id="rId11"/>
    <sheet name="GDP.SSP3" sheetId="41" r:id="rId12"/>
    <sheet name="GDP.SSP4" sheetId="40" r:id="rId13"/>
    <sheet name="GDP.SSP5" sheetId="39" r:id="rId14"/>
    <sheet name="Area" sheetId="31" r:id="rId15"/>
    <sheet name="Stock" sheetId="32" r:id="rId16"/>
    <sheet name="Growth" sheetId="35" r:id="rId17"/>
    <sheet name="TPO" sheetId="26" r:id="rId18"/>
    <sheet name="Wood products" sheetId="5" r:id="rId19"/>
    <sheet name="Net Volume of Timber" sheetId="25" r:id="rId20"/>
    <sheet name="industrial.roundwood.c" sheetId="7" r:id="rId21"/>
    <sheet name="industrial.roundwood.nc" sheetId="8" r:id="rId22"/>
    <sheet name="fuelwood" sheetId="28" r:id="rId23"/>
    <sheet name="fuelwood.c" sheetId="9" r:id="rId24"/>
    <sheet name="fuelwood.nc" sheetId="10" r:id="rId25"/>
    <sheet name="other.industrial.roundwood" sheetId="29" r:id="rId26"/>
    <sheet name="other.industrial.roundwood.c" sheetId="11" r:id="rId27"/>
    <sheet name="other.industrial.roundwood.nc" sheetId="12" r:id="rId28"/>
    <sheet name="sawnwood.c" sheetId="4" r:id="rId29"/>
    <sheet name="sawnwood.nc" sheetId="6" r:id="rId30"/>
    <sheet name="plywood.veneer" sheetId="13" r:id="rId31"/>
    <sheet name="particleboard" sheetId="14" r:id="rId32"/>
    <sheet name="fiberboard" sheetId="15" r:id="rId33"/>
    <sheet name="mechanical.pulp" sheetId="16" r:id="rId34"/>
    <sheet name="chemical.pulp" sheetId="18" r:id="rId35"/>
    <sheet name="other.pulp" sheetId="27" r:id="rId36"/>
    <sheet name="newsprint" sheetId="19" r:id="rId37"/>
    <sheet name="other.paper.and.paperboard" sheetId="20" r:id="rId38"/>
    <sheet name="printing.and.writing.paper" sheetId="21" r:id="rId39"/>
    <sheet name="wood.pellets" sheetId="22" r:id="rId40"/>
    <sheet name="recovered.paper" sheetId="23" r:id="rId41"/>
    <sheet name="chips.particles.residues" sheetId="24" r:id="rId42"/>
  </sheet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1" l="1"/>
  <c r="G4" i="31"/>
  <c r="G5" i="31"/>
  <c r="G6" i="31"/>
  <c r="G7" i="31"/>
  <c r="G2" i="31"/>
  <c r="J7" i="31"/>
  <c r="J6" i="31"/>
  <c r="J5" i="31"/>
  <c r="J4" i="31"/>
  <c r="J3" i="31"/>
  <c r="J2" i="31"/>
  <c r="B9" i="26"/>
  <c r="B12" i="4"/>
  <c r="B13" i="4"/>
  <c r="B14" i="4"/>
  <c r="B15" i="4"/>
  <c r="B16" i="4"/>
  <c r="B11" i="4"/>
  <c r="C3" i="31"/>
  <c r="F3" i="32" s="1"/>
  <c r="D3" i="31"/>
  <c r="G3" i="32" s="1"/>
  <c r="C4" i="31"/>
  <c r="F4" i="32" s="1"/>
  <c r="D4" i="31"/>
  <c r="G4" i="32" s="1"/>
  <c r="C5" i="31"/>
  <c r="F5" i="32" s="1"/>
  <c r="D5" i="31"/>
  <c r="G5" i="32" s="1"/>
  <c r="C6" i="31"/>
  <c r="F6" i="32" s="1"/>
  <c r="D6" i="31"/>
  <c r="G6" i="32" s="1"/>
  <c r="C7" i="31"/>
  <c r="F7" i="32" s="1"/>
  <c r="D7" i="31"/>
  <c r="G7" i="32" s="1"/>
  <c r="D2" i="31"/>
  <c r="G2" i="32" s="1"/>
  <c r="C2" i="31"/>
  <c r="F2" i="32" s="1"/>
  <c r="C2" i="35"/>
  <c r="C3" i="35"/>
  <c r="C4" i="35"/>
  <c r="C5" i="35"/>
  <c r="C6" i="35"/>
  <c r="C7" i="35"/>
  <c r="B3" i="35"/>
  <c r="B4" i="35"/>
  <c r="B5" i="35"/>
  <c r="B6" i="35"/>
  <c r="B7" i="35"/>
  <c r="B2" i="35"/>
  <c r="C9" i="26"/>
  <c r="D9" i="26"/>
  <c r="B12" i="9"/>
  <c r="B20" i="9" s="1"/>
  <c r="J9" i="26"/>
  <c r="K9" i="26"/>
  <c r="L9" i="26"/>
  <c r="B11" i="9"/>
  <c r="B19" i="9" s="1"/>
  <c r="B14" i="9"/>
  <c r="B22" i="9" s="1"/>
  <c r="B14" i="10"/>
  <c r="B22" i="10" s="1"/>
  <c r="B22" i="28" s="1"/>
  <c r="B16" i="9"/>
  <c r="B24" i="9" s="1"/>
  <c r="B2" i="28"/>
  <c r="F16" i="4"/>
  <c r="F2" i="4"/>
  <c r="F24" i="4"/>
  <c r="E16" i="4"/>
  <c r="E24" i="4"/>
  <c r="D16" i="4"/>
  <c r="D2" i="4"/>
  <c r="D24" i="4" s="1"/>
  <c r="C16" i="4"/>
  <c r="C24" i="4" s="1"/>
  <c r="B24" i="4"/>
  <c r="F15" i="4"/>
  <c r="F23" i="4"/>
  <c r="E15" i="4"/>
  <c r="E23" i="4"/>
  <c r="D15" i="4"/>
  <c r="D23" i="4"/>
  <c r="C15" i="4"/>
  <c r="C23" i="4"/>
  <c r="B23" i="4"/>
  <c r="F14" i="4"/>
  <c r="F22" i="4" s="1"/>
  <c r="E14" i="4"/>
  <c r="E22" i="4" s="1"/>
  <c r="D14" i="4"/>
  <c r="D22" i="4" s="1"/>
  <c r="C14" i="4"/>
  <c r="C22" i="4" s="1"/>
  <c r="B22" i="4"/>
  <c r="F13" i="4"/>
  <c r="F21" i="4"/>
  <c r="E13" i="4"/>
  <c r="E21" i="4"/>
  <c r="D13" i="4"/>
  <c r="D21" i="4"/>
  <c r="C13" i="4"/>
  <c r="C21" i="4"/>
  <c r="B21" i="4"/>
  <c r="F12" i="4"/>
  <c r="F20" i="4" s="1"/>
  <c r="E12" i="4"/>
  <c r="E20" i="4" s="1"/>
  <c r="D12" i="4"/>
  <c r="D20" i="4" s="1"/>
  <c r="C12" i="4"/>
  <c r="C20" i="4" s="1"/>
  <c r="B20" i="4"/>
  <c r="F11" i="4"/>
  <c r="F19" i="4"/>
  <c r="E11" i="4"/>
  <c r="E19" i="4"/>
  <c r="D11" i="4"/>
  <c r="D19" i="4"/>
  <c r="C11" i="4"/>
  <c r="C19" i="4"/>
  <c r="B19" i="4"/>
  <c r="B12" i="11"/>
  <c r="B20" i="11" s="1"/>
  <c r="B12" i="12"/>
  <c r="B20" i="12" s="1"/>
  <c r="B20" i="29" s="1"/>
  <c r="B12" i="29" s="1"/>
  <c r="B2" i="29"/>
  <c r="F2" i="28"/>
  <c r="F16" i="28"/>
  <c r="D2" i="28"/>
  <c r="D16" i="28"/>
  <c r="D24" i="28"/>
  <c r="C16" i="28"/>
  <c r="C24" i="28"/>
  <c r="F15" i="28"/>
  <c r="F23" i="28"/>
  <c r="E15" i="28"/>
  <c r="E23" i="28"/>
  <c r="D15" i="28"/>
  <c r="D23" i="28"/>
  <c r="C15" i="28"/>
  <c r="C23" i="28"/>
  <c r="F14" i="28"/>
  <c r="F22" i="28"/>
  <c r="E14" i="28"/>
  <c r="E22" i="28"/>
  <c r="D14" i="28"/>
  <c r="D22" i="28"/>
  <c r="C14" i="28"/>
  <c r="C22" i="28"/>
  <c r="F13" i="28"/>
  <c r="F21" i="28"/>
  <c r="E13" i="28"/>
  <c r="E21" i="28"/>
  <c r="D13" i="28"/>
  <c r="D21" i="28"/>
  <c r="C13" i="28"/>
  <c r="C21" i="28"/>
  <c r="F12" i="28"/>
  <c r="F20" i="28"/>
  <c r="E12" i="28"/>
  <c r="E20" i="28"/>
  <c r="D12" i="28"/>
  <c r="D20" i="28"/>
  <c r="C12" i="28"/>
  <c r="C20" i="28"/>
  <c r="F11" i="28"/>
  <c r="F19" i="28"/>
  <c r="E11" i="28"/>
  <c r="E19" i="28"/>
  <c r="D11" i="28"/>
  <c r="D19" i="28"/>
  <c r="C11" i="28"/>
  <c r="C19" i="28"/>
  <c r="H3" i="7"/>
  <c r="H4" i="7"/>
  <c r="H5" i="7"/>
  <c r="H6" i="7"/>
  <c r="H7" i="7"/>
  <c r="H8" i="7"/>
  <c r="F2" i="7"/>
  <c r="H2" i="7"/>
  <c r="G3" i="7"/>
  <c r="G4" i="7"/>
  <c r="G5" i="7"/>
  <c r="G6" i="7"/>
  <c r="G7" i="7"/>
  <c r="G8" i="7"/>
  <c r="D2" i="7"/>
  <c r="G2" i="7"/>
  <c r="D15" i="21"/>
  <c r="D2" i="21"/>
  <c r="F16" i="21"/>
  <c r="F2" i="21"/>
  <c r="F24" i="21"/>
  <c r="E16" i="21"/>
  <c r="E24" i="21"/>
  <c r="D16" i="21"/>
  <c r="C16" i="21"/>
  <c r="C24" i="21"/>
  <c r="F15" i="21"/>
  <c r="F23" i="21"/>
  <c r="E15" i="21"/>
  <c r="E23" i="21"/>
  <c r="C15" i="21"/>
  <c r="C23" i="21"/>
  <c r="F14" i="21"/>
  <c r="F22" i="21"/>
  <c r="E14" i="21"/>
  <c r="E22" i="21"/>
  <c r="D14" i="21"/>
  <c r="C14" i="21"/>
  <c r="C22" i="21"/>
  <c r="F13" i="21"/>
  <c r="F21" i="21"/>
  <c r="E13" i="21"/>
  <c r="E21" i="21"/>
  <c r="D13" i="21"/>
  <c r="C13" i="21"/>
  <c r="C21" i="21"/>
  <c r="F12" i="21"/>
  <c r="F20" i="21"/>
  <c r="E12" i="21"/>
  <c r="E20" i="21"/>
  <c r="D12" i="21"/>
  <c r="C12" i="21"/>
  <c r="C20" i="21"/>
  <c r="F11" i="21"/>
  <c r="F19" i="21"/>
  <c r="E11" i="21"/>
  <c r="E19" i="21"/>
  <c r="D11" i="21"/>
  <c r="C11" i="21"/>
  <c r="C19" i="21"/>
  <c r="D14" i="20"/>
  <c r="D2" i="20"/>
  <c r="D22" i="20" s="1"/>
  <c r="C12" i="20"/>
  <c r="C20" i="20" s="1"/>
  <c r="D12" i="20"/>
  <c r="D20" i="20" s="1"/>
  <c r="E12" i="20"/>
  <c r="E20" i="20" s="1"/>
  <c r="F12" i="20"/>
  <c r="F2" i="20"/>
  <c r="F20" i="20"/>
  <c r="C13" i="20"/>
  <c r="C21" i="20"/>
  <c r="D13" i="20"/>
  <c r="D21" i="20"/>
  <c r="E13" i="20"/>
  <c r="E21" i="20"/>
  <c r="F13" i="20"/>
  <c r="F21" i="20"/>
  <c r="C14" i="20"/>
  <c r="C22" i="20"/>
  <c r="E14" i="20"/>
  <c r="E22" i="20"/>
  <c r="F14" i="20"/>
  <c r="F22" i="20"/>
  <c r="C15" i="20"/>
  <c r="C23" i="20"/>
  <c r="D15" i="20"/>
  <c r="D23" i="20"/>
  <c r="E15" i="20"/>
  <c r="E23" i="20"/>
  <c r="F15" i="20"/>
  <c r="F23" i="20"/>
  <c r="C16" i="20"/>
  <c r="C24" i="20"/>
  <c r="D16" i="20"/>
  <c r="D24" i="20"/>
  <c r="E16" i="20"/>
  <c r="E24" i="20"/>
  <c r="F16" i="20"/>
  <c r="F24" i="20"/>
  <c r="D11" i="20"/>
  <c r="D19" i="20"/>
  <c r="E11" i="20"/>
  <c r="E19" i="20"/>
  <c r="F11" i="20"/>
  <c r="F19" i="20"/>
  <c r="C11" i="20"/>
  <c r="C19" i="20"/>
  <c r="C12" i="27"/>
  <c r="C20" i="27"/>
  <c r="D12" i="27"/>
  <c r="D20" i="27"/>
  <c r="E12" i="27"/>
  <c r="E20" i="27"/>
  <c r="F12" i="27"/>
  <c r="F20" i="27"/>
  <c r="C13" i="27"/>
  <c r="C21" i="27"/>
  <c r="D13" i="27"/>
  <c r="D21" i="27"/>
  <c r="E13" i="27"/>
  <c r="E21" i="27"/>
  <c r="F13" i="27"/>
  <c r="F21" i="27"/>
  <c r="C14" i="27"/>
  <c r="C22" i="27"/>
  <c r="D14" i="27"/>
  <c r="D22" i="27"/>
  <c r="E14" i="27"/>
  <c r="E22" i="27"/>
  <c r="F14" i="27"/>
  <c r="F22" i="27"/>
  <c r="C15" i="27"/>
  <c r="C23" i="27"/>
  <c r="D15" i="27"/>
  <c r="D23" i="27"/>
  <c r="E15" i="27"/>
  <c r="E23" i="27"/>
  <c r="F15" i="27"/>
  <c r="F23" i="27"/>
  <c r="C16" i="27"/>
  <c r="C24" i="27"/>
  <c r="D16" i="27"/>
  <c r="D24" i="27"/>
  <c r="E16" i="27"/>
  <c r="E24" i="27"/>
  <c r="F16" i="27"/>
  <c r="F24" i="27"/>
  <c r="F11" i="27"/>
  <c r="F19" i="27"/>
  <c r="D11" i="27"/>
  <c r="D19" i="27"/>
  <c r="E11" i="27"/>
  <c r="E19" i="27"/>
  <c r="C11" i="27"/>
  <c r="C19" i="27"/>
  <c r="C14" i="18"/>
  <c r="F11" i="18"/>
  <c r="F19" i="18" s="1"/>
  <c r="B12" i="27"/>
  <c r="B20" i="27" s="1"/>
  <c r="B14" i="27"/>
  <c r="B22" i="27" s="1"/>
  <c r="B16" i="27"/>
  <c r="B24" i="27" s="1"/>
  <c r="D14" i="18"/>
  <c r="D22" i="18" s="1"/>
  <c r="D12" i="18"/>
  <c r="D20" i="18" s="1"/>
  <c r="D13" i="18"/>
  <c r="D21" i="18" s="1"/>
  <c r="D15" i="18"/>
  <c r="D23" i="18" s="1"/>
  <c r="D16" i="18"/>
  <c r="D24" i="18" s="1"/>
  <c r="D11" i="18"/>
  <c r="D19" i="18" s="1"/>
  <c r="C12" i="18"/>
  <c r="C20" i="18" s="1"/>
  <c r="C13" i="18"/>
  <c r="C21" i="18" s="1"/>
  <c r="C22" i="18"/>
  <c r="C15" i="18"/>
  <c r="C23" i="18"/>
  <c r="C16" i="18"/>
  <c r="C24" i="18"/>
  <c r="C11" i="18"/>
  <c r="C19" i="18"/>
  <c r="I9" i="26"/>
  <c r="Q9" i="26"/>
  <c r="F2" i="23"/>
  <c r="F12" i="23"/>
  <c r="F20" i="23" s="1"/>
  <c r="B20" i="22"/>
  <c r="B21" i="22"/>
  <c r="B22" i="22"/>
  <c r="B23" i="22"/>
  <c r="B24" i="22"/>
  <c r="B19" i="22"/>
  <c r="B12" i="20"/>
  <c r="B20" i="20" s="1"/>
  <c r="B13" i="20"/>
  <c r="B21" i="20" s="1"/>
  <c r="B14" i="20"/>
  <c r="B22" i="20" s="1"/>
  <c r="B15" i="20"/>
  <c r="B23" i="20" s="1"/>
  <c r="B16" i="20"/>
  <c r="B24" i="20" s="1"/>
  <c r="B11" i="20"/>
  <c r="B19" i="20" s="1"/>
  <c r="B12" i="21"/>
  <c r="B20" i="21" s="1"/>
  <c r="B13" i="21"/>
  <c r="B21" i="21" s="1"/>
  <c r="B14" i="21"/>
  <c r="B22" i="21" s="1"/>
  <c r="B15" i="21"/>
  <c r="B23" i="21" s="1"/>
  <c r="B16" i="21"/>
  <c r="B24" i="21" s="1"/>
  <c r="B11" i="21"/>
  <c r="B19" i="21" s="1"/>
  <c r="B12" i="19"/>
  <c r="B20" i="19" s="1"/>
  <c r="B13" i="19"/>
  <c r="B21" i="19" s="1"/>
  <c r="B14" i="19"/>
  <c r="B22" i="19" s="1"/>
  <c r="B15" i="19"/>
  <c r="B23" i="19" s="1"/>
  <c r="B16" i="19"/>
  <c r="B24" i="19" s="1"/>
  <c r="B11" i="19"/>
  <c r="B19" i="19" s="1"/>
  <c r="B12" i="18"/>
  <c r="B20" i="18" s="1"/>
  <c r="B13" i="18"/>
  <c r="B21" i="18" s="1"/>
  <c r="B14" i="18"/>
  <c r="B22" i="18" s="1"/>
  <c r="B15" i="18"/>
  <c r="B23" i="18" s="1"/>
  <c r="B16" i="18"/>
  <c r="B24" i="18" s="1"/>
  <c r="B11" i="18"/>
  <c r="B19" i="18" s="1"/>
  <c r="B12" i="16"/>
  <c r="B20" i="16" s="1"/>
  <c r="B13" i="16"/>
  <c r="B21" i="16" s="1"/>
  <c r="B14" i="16"/>
  <c r="B22" i="16" s="1"/>
  <c r="B15" i="16"/>
  <c r="B23" i="16" s="1"/>
  <c r="B16" i="16"/>
  <c r="B24" i="16" s="1"/>
  <c r="B11" i="16"/>
  <c r="B19" i="16" s="1"/>
  <c r="B12" i="15"/>
  <c r="B20" i="15" s="1"/>
  <c r="B13" i="15"/>
  <c r="B21" i="15" s="1"/>
  <c r="B14" i="15"/>
  <c r="B22" i="15" s="1"/>
  <c r="B15" i="15"/>
  <c r="B23" i="15" s="1"/>
  <c r="B16" i="15"/>
  <c r="B24" i="15" s="1"/>
  <c r="B11" i="15"/>
  <c r="B19" i="15" s="1"/>
  <c r="B12" i="14"/>
  <c r="B20" i="14" s="1"/>
  <c r="B13" i="14"/>
  <c r="B21" i="14" s="1"/>
  <c r="B14" i="14"/>
  <c r="B22" i="14" s="1"/>
  <c r="B15" i="14"/>
  <c r="B23" i="14" s="1"/>
  <c r="B16" i="14"/>
  <c r="B24" i="14" s="1"/>
  <c r="B11" i="14"/>
  <c r="B19" i="14" s="1"/>
  <c r="B12" i="13"/>
  <c r="B20" i="13" s="1"/>
  <c r="B13" i="13"/>
  <c r="B21" i="13" s="1"/>
  <c r="B14" i="13"/>
  <c r="B22" i="13" s="1"/>
  <c r="B15" i="13"/>
  <c r="B23" i="13" s="1"/>
  <c r="B16" i="13"/>
  <c r="B24" i="13" s="1"/>
  <c r="B11" i="13"/>
  <c r="B19" i="13" s="1"/>
  <c r="B12" i="6"/>
  <c r="B20" i="6"/>
  <c r="B13" i="6"/>
  <c r="B21" i="6"/>
  <c r="B14" i="6"/>
  <c r="B22" i="6"/>
  <c r="B15" i="6"/>
  <c r="B23" i="6"/>
  <c r="B16" i="6"/>
  <c r="B24" i="6"/>
  <c r="B11" i="6"/>
  <c r="B19" i="6"/>
  <c r="B12" i="7"/>
  <c r="B20" i="7"/>
  <c r="B13" i="7"/>
  <c r="B21" i="7"/>
  <c r="B14" i="7"/>
  <c r="B22" i="7"/>
  <c r="B15" i="7"/>
  <c r="B23" i="7"/>
  <c r="B16" i="7"/>
  <c r="B24" i="7"/>
  <c r="B12" i="8"/>
  <c r="B20" i="8"/>
  <c r="B13" i="8"/>
  <c r="B21" i="8"/>
  <c r="B14" i="8"/>
  <c r="B22" i="8"/>
  <c r="B15" i="8"/>
  <c r="B23" i="8"/>
  <c r="B16" i="8"/>
  <c r="B24" i="8"/>
  <c r="B11" i="8"/>
  <c r="B19" i="8"/>
  <c r="B11" i="7"/>
  <c r="B19" i="7"/>
  <c r="C12" i="15"/>
  <c r="C20" i="15"/>
  <c r="D12" i="15"/>
  <c r="D2" i="15"/>
  <c r="D20" i="15" s="1"/>
  <c r="E12" i="15"/>
  <c r="E20" i="15" s="1"/>
  <c r="F12" i="15"/>
  <c r="F2" i="15"/>
  <c r="F20" i="15"/>
  <c r="C13" i="15"/>
  <c r="C21" i="15"/>
  <c r="D13" i="15"/>
  <c r="D21" i="15"/>
  <c r="E13" i="15"/>
  <c r="E21" i="15"/>
  <c r="F13" i="15"/>
  <c r="F21" i="15"/>
  <c r="C14" i="15"/>
  <c r="C22" i="15"/>
  <c r="D14" i="15"/>
  <c r="D22" i="15"/>
  <c r="E14" i="15"/>
  <c r="E22" i="15"/>
  <c r="F14" i="15"/>
  <c r="F22" i="15"/>
  <c r="C15" i="15"/>
  <c r="C23" i="15"/>
  <c r="D15" i="15"/>
  <c r="D23" i="15"/>
  <c r="E15" i="15"/>
  <c r="E23" i="15"/>
  <c r="F15" i="15"/>
  <c r="F23" i="15"/>
  <c r="C16" i="15"/>
  <c r="C24" i="15"/>
  <c r="D16" i="15"/>
  <c r="D24" i="15"/>
  <c r="E16" i="15"/>
  <c r="E24" i="15"/>
  <c r="F16" i="15"/>
  <c r="F24" i="15"/>
  <c r="D11" i="15"/>
  <c r="D19" i="15"/>
  <c r="E11" i="15"/>
  <c r="E19" i="15"/>
  <c r="F11" i="15"/>
  <c r="F19" i="15"/>
  <c r="C11" i="15"/>
  <c r="C19" i="15"/>
  <c r="P9" i="26"/>
  <c r="O9" i="26"/>
  <c r="N9" i="26"/>
  <c r="M9" i="26"/>
  <c r="H9" i="26"/>
  <c r="G9" i="26"/>
  <c r="F9" i="26"/>
  <c r="E9" i="26"/>
  <c r="C12" i="6"/>
  <c r="C20" i="6"/>
  <c r="D2" i="6"/>
  <c r="D12" i="6"/>
  <c r="D20" i="6" s="1"/>
  <c r="E12" i="6"/>
  <c r="E20" i="6" s="1"/>
  <c r="F2" i="6"/>
  <c r="F12" i="6"/>
  <c r="F20" i="6"/>
  <c r="C13" i="6"/>
  <c r="C21" i="6"/>
  <c r="D13" i="6"/>
  <c r="D21" i="6"/>
  <c r="E13" i="6"/>
  <c r="E21" i="6"/>
  <c r="F13" i="6"/>
  <c r="F21" i="6"/>
  <c r="C14" i="6"/>
  <c r="C22" i="6"/>
  <c r="D14" i="6"/>
  <c r="D22" i="6"/>
  <c r="E14" i="6"/>
  <c r="E22" i="6"/>
  <c r="F14" i="6"/>
  <c r="F22" i="6"/>
  <c r="C15" i="6"/>
  <c r="C23" i="6"/>
  <c r="D15" i="6"/>
  <c r="D23" i="6"/>
  <c r="E15" i="6"/>
  <c r="E23" i="6"/>
  <c r="F15" i="6"/>
  <c r="F23" i="6"/>
  <c r="C16" i="6"/>
  <c r="C24" i="6"/>
  <c r="D16" i="6"/>
  <c r="D24" i="6"/>
  <c r="E16" i="6"/>
  <c r="E24" i="6"/>
  <c r="F16" i="6"/>
  <c r="F24" i="6"/>
  <c r="D11" i="6"/>
  <c r="D19" i="6"/>
  <c r="E11" i="6"/>
  <c r="E19" i="6"/>
  <c r="F11" i="6"/>
  <c r="F19" i="6"/>
  <c r="C11" i="6"/>
  <c r="C19" i="6"/>
  <c r="E12" i="7"/>
  <c r="E20" i="7"/>
  <c r="F12" i="7"/>
  <c r="F20" i="7"/>
  <c r="E13" i="7"/>
  <c r="E21" i="7"/>
  <c r="F13" i="7"/>
  <c r="F21" i="7"/>
  <c r="E14" i="7"/>
  <c r="E22" i="7"/>
  <c r="F14" i="7"/>
  <c r="F22" i="7"/>
  <c r="E15" i="7"/>
  <c r="E23" i="7"/>
  <c r="F15" i="7"/>
  <c r="F23" i="7"/>
  <c r="E16" i="7"/>
  <c r="E24" i="7"/>
  <c r="F16" i="7"/>
  <c r="F24" i="7"/>
  <c r="E11" i="7"/>
  <c r="E19" i="7"/>
  <c r="F11" i="7"/>
  <c r="F19" i="7"/>
  <c r="D12" i="7"/>
  <c r="D20" i="7"/>
  <c r="D13" i="7"/>
  <c r="D21" i="7"/>
  <c r="D14" i="7"/>
  <c r="D22" i="7"/>
  <c r="D15" i="7"/>
  <c r="D23" i="7"/>
  <c r="D16" i="7"/>
  <c r="D24" i="7"/>
  <c r="D11" i="7"/>
  <c r="D19" i="7"/>
  <c r="C13" i="7"/>
  <c r="C21" i="7"/>
  <c r="F11" i="8"/>
  <c r="F2" i="8"/>
  <c r="F19" i="8" s="1"/>
  <c r="E11" i="8"/>
  <c r="E19" i="8" s="1"/>
  <c r="E12" i="8"/>
  <c r="E20" i="8" s="1"/>
  <c r="F12" i="8"/>
  <c r="F20" i="8" s="1"/>
  <c r="E13" i="8"/>
  <c r="E21" i="8" s="1"/>
  <c r="F13" i="8"/>
  <c r="F21" i="8" s="1"/>
  <c r="E14" i="8"/>
  <c r="E22" i="8" s="1"/>
  <c r="F14" i="8"/>
  <c r="F22" i="8" s="1"/>
  <c r="E15" i="8"/>
  <c r="E23" i="8" s="1"/>
  <c r="F15" i="8"/>
  <c r="F23" i="8" s="1"/>
  <c r="E16" i="8"/>
  <c r="E24" i="8" s="1"/>
  <c r="F16" i="8"/>
  <c r="F24" i="8" s="1"/>
  <c r="D11" i="8"/>
  <c r="D2" i="8"/>
  <c r="D19" i="8"/>
  <c r="D12" i="8"/>
  <c r="D20" i="8"/>
  <c r="D13" i="8"/>
  <c r="D21" i="8"/>
  <c r="D14" i="8"/>
  <c r="D22" i="8"/>
  <c r="D15" i="8"/>
  <c r="D23" i="8"/>
  <c r="D16" i="8"/>
  <c r="D24" i="8"/>
  <c r="C12" i="8"/>
  <c r="C20" i="8"/>
  <c r="C13" i="8"/>
  <c r="C21" i="8"/>
  <c r="C14" i="8"/>
  <c r="C22" i="8"/>
  <c r="C15" i="8"/>
  <c r="C23" i="8"/>
  <c r="C16" i="8"/>
  <c r="C24" i="8"/>
  <c r="C11" i="8"/>
  <c r="C19" i="8"/>
  <c r="E11" i="18"/>
  <c r="E19" i="18"/>
  <c r="E12" i="18"/>
  <c r="E20" i="18"/>
  <c r="F12" i="18"/>
  <c r="F20" i="18"/>
  <c r="E13" i="18"/>
  <c r="E21" i="18"/>
  <c r="F13" i="18"/>
  <c r="F21" i="18"/>
  <c r="E14" i="18"/>
  <c r="E22" i="18"/>
  <c r="F14" i="18"/>
  <c r="F22" i="18"/>
  <c r="E15" i="18"/>
  <c r="E23" i="18"/>
  <c r="F15" i="18"/>
  <c r="F23" i="18"/>
  <c r="E16" i="18"/>
  <c r="E24" i="18"/>
  <c r="F16" i="18"/>
  <c r="F24" i="18"/>
  <c r="D2" i="19"/>
  <c r="D11" i="19"/>
  <c r="D19" i="19" s="1"/>
  <c r="E11" i="19"/>
  <c r="E19" i="19" s="1"/>
  <c r="F2" i="19"/>
  <c r="F11" i="19"/>
  <c r="F19" i="19"/>
  <c r="D12" i="19"/>
  <c r="D20" i="19"/>
  <c r="E12" i="19"/>
  <c r="E20" i="19"/>
  <c r="F12" i="19"/>
  <c r="F20" i="19"/>
  <c r="D13" i="19"/>
  <c r="D21" i="19"/>
  <c r="E13" i="19"/>
  <c r="E21" i="19"/>
  <c r="F13" i="19"/>
  <c r="F21" i="19"/>
  <c r="D14" i="19"/>
  <c r="D22" i="19"/>
  <c r="E14" i="19"/>
  <c r="E22" i="19"/>
  <c r="F14" i="19"/>
  <c r="F22" i="19"/>
  <c r="D15" i="19"/>
  <c r="D23" i="19"/>
  <c r="E15" i="19"/>
  <c r="E23" i="19"/>
  <c r="F15" i="19"/>
  <c r="F23" i="19"/>
  <c r="D16" i="19"/>
  <c r="D24" i="19"/>
  <c r="E16" i="19"/>
  <c r="E24" i="19"/>
  <c r="F16" i="19"/>
  <c r="F24" i="19"/>
  <c r="C12" i="19"/>
  <c r="C20" i="19"/>
  <c r="C13" i="19"/>
  <c r="C21" i="19"/>
  <c r="C14" i="19"/>
  <c r="C22" i="19"/>
  <c r="C15" i="19"/>
  <c r="C23" i="19"/>
  <c r="C16" i="19"/>
  <c r="C24" i="19"/>
  <c r="C11" i="19"/>
  <c r="C19" i="19"/>
  <c r="F2" i="22"/>
  <c r="F11" i="22"/>
  <c r="F19" i="22" s="1"/>
  <c r="F12" i="22"/>
  <c r="F20" i="22" s="1"/>
  <c r="F13" i="22"/>
  <c r="F21" i="22" s="1"/>
  <c r="F14" i="22"/>
  <c r="F22" i="22" s="1"/>
  <c r="F15" i="22"/>
  <c r="F23" i="22" s="1"/>
  <c r="F16" i="22"/>
  <c r="F24" i="22" s="1"/>
  <c r="D2" i="22"/>
  <c r="D11" i="22"/>
  <c r="D19" i="22"/>
  <c r="E11" i="22"/>
  <c r="E19" i="22"/>
  <c r="D12" i="22"/>
  <c r="D20" i="22"/>
  <c r="E12" i="22"/>
  <c r="E20" i="22"/>
  <c r="D13" i="22"/>
  <c r="D21" i="22"/>
  <c r="E13" i="22"/>
  <c r="E21" i="22"/>
  <c r="D14" i="22"/>
  <c r="D22" i="22"/>
  <c r="E14" i="22"/>
  <c r="E22" i="22"/>
  <c r="D15" i="22"/>
  <c r="D23" i="22"/>
  <c r="E15" i="22"/>
  <c r="E23" i="22"/>
  <c r="D16" i="22"/>
  <c r="D24" i="22"/>
  <c r="E16" i="22"/>
  <c r="E24" i="22"/>
  <c r="C12" i="22"/>
  <c r="C20" i="22"/>
  <c r="C13" i="22"/>
  <c r="C21" i="22"/>
  <c r="C14" i="22"/>
  <c r="C22" i="22"/>
  <c r="C15" i="22"/>
  <c r="C23" i="22"/>
  <c r="C16" i="22"/>
  <c r="C24" i="22"/>
  <c r="C11" i="22"/>
  <c r="C19" i="22"/>
  <c r="D2" i="23"/>
  <c r="D11" i="23"/>
  <c r="D19" i="23" s="1"/>
  <c r="E19" i="23"/>
  <c r="F11" i="23"/>
  <c r="F19" i="23" s="1"/>
  <c r="D12" i="23"/>
  <c r="D20" i="23" s="1"/>
  <c r="E20" i="23"/>
  <c r="D13" i="23"/>
  <c r="D21" i="23" s="1"/>
  <c r="E21" i="23"/>
  <c r="F13" i="23"/>
  <c r="F21" i="23" s="1"/>
  <c r="D14" i="23"/>
  <c r="D22" i="23" s="1"/>
  <c r="E22" i="23"/>
  <c r="F14" i="23"/>
  <c r="F22" i="23" s="1"/>
  <c r="D15" i="23"/>
  <c r="D23" i="23" s="1"/>
  <c r="E23" i="23"/>
  <c r="F15" i="23"/>
  <c r="F23" i="23" s="1"/>
  <c r="D16" i="23"/>
  <c r="D24" i="23" s="1"/>
  <c r="E24" i="23"/>
  <c r="F16" i="23"/>
  <c r="F24" i="23" s="1"/>
  <c r="C12" i="23"/>
  <c r="C20" i="23" s="1"/>
  <c r="C13" i="23"/>
  <c r="C21" i="23" s="1"/>
  <c r="C14" i="23"/>
  <c r="C22" i="23" s="1"/>
  <c r="C15" i="23"/>
  <c r="C23" i="23" s="1"/>
  <c r="C16" i="23"/>
  <c r="C24" i="23" s="1"/>
  <c r="C11" i="23"/>
  <c r="C19" i="23" s="1"/>
  <c r="F2" i="24"/>
  <c r="D2" i="24"/>
  <c r="D2" i="13"/>
  <c r="D21" i="13" s="1"/>
  <c r="D12" i="13"/>
  <c r="D20" i="13"/>
  <c r="E12" i="13"/>
  <c r="E20" i="13"/>
  <c r="F2" i="13"/>
  <c r="F12" i="13"/>
  <c r="F20" i="13" s="1"/>
  <c r="D13" i="13"/>
  <c r="E13" i="13"/>
  <c r="E21" i="13" s="1"/>
  <c r="F13" i="13"/>
  <c r="F21" i="13" s="1"/>
  <c r="D14" i="13"/>
  <c r="E14" i="13"/>
  <c r="E22" i="13" s="1"/>
  <c r="F14" i="13"/>
  <c r="F22" i="13" s="1"/>
  <c r="D15" i="13"/>
  <c r="E15" i="13"/>
  <c r="E23" i="13" s="1"/>
  <c r="F15" i="13"/>
  <c r="F23" i="13" s="1"/>
  <c r="D16" i="13"/>
  <c r="E16" i="13"/>
  <c r="E24" i="13" s="1"/>
  <c r="F16" i="13"/>
  <c r="F24" i="13" s="1"/>
  <c r="E11" i="13"/>
  <c r="E19" i="13" s="1"/>
  <c r="D11" i="13"/>
  <c r="F11" i="13"/>
  <c r="F19" i="13" s="1"/>
  <c r="C14" i="13"/>
  <c r="C22" i="13" s="1"/>
  <c r="C13" i="13"/>
  <c r="C21" i="13" s="1"/>
  <c r="C12" i="13"/>
  <c r="C20" i="13" s="1"/>
  <c r="C11" i="13"/>
  <c r="C19" i="13" s="1"/>
  <c r="C15" i="13"/>
  <c r="C23" i="13" s="1"/>
  <c r="C16" i="13"/>
  <c r="C24" i="13" s="1"/>
  <c r="F2" i="16"/>
  <c r="D12" i="16"/>
  <c r="D2" i="16"/>
  <c r="D20" i="16" s="1"/>
  <c r="E12" i="16"/>
  <c r="E20" i="16" s="1"/>
  <c r="F12" i="16"/>
  <c r="F20" i="16" s="1"/>
  <c r="D13" i="16"/>
  <c r="D21" i="16" s="1"/>
  <c r="E13" i="16"/>
  <c r="E21" i="16" s="1"/>
  <c r="F13" i="16"/>
  <c r="F21" i="16" s="1"/>
  <c r="D14" i="16"/>
  <c r="D22" i="16" s="1"/>
  <c r="E14" i="16"/>
  <c r="E22" i="16" s="1"/>
  <c r="F14" i="16"/>
  <c r="F22" i="16" s="1"/>
  <c r="D15" i="16"/>
  <c r="D23" i="16" s="1"/>
  <c r="E15" i="16"/>
  <c r="E23" i="16" s="1"/>
  <c r="F15" i="16"/>
  <c r="F23" i="16" s="1"/>
  <c r="D16" i="16"/>
  <c r="D24" i="16" s="1"/>
  <c r="E16" i="16"/>
  <c r="E24" i="16" s="1"/>
  <c r="F16" i="16"/>
  <c r="F24" i="16" s="1"/>
  <c r="D11" i="16"/>
  <c r="D19" i="16" s="1"/>
  <c r="E11" i="16"/>
  <c r="E19" i="16" s="1"/>
  <c r="F11" i="16"/>
  <c r="F19" i="16" s="1"/>
  <c r="C12" i="16"/>
  <c r="C20" i="16" s="1"/>
  <c r="C13" i="16"/>
  <c r="C21" i="16" s="1"/>
  <c r="C14" i="16"/>
  <c r="C22" i="16" s="1"/>
  <c r="C15" i="16"/>
  <c r="C23" i="16" s="1"/>
  <c r="C16" i="16"/>
  <c r="C24" i="16" s="1"/>
  <c r="C11" i="16"/>
  <c r="C19" i="16" s="1"/>
  <c r="C12" i="14"/>
  <c r="C20" i="14" s="1"/>
  <c r="D12" i="14"/>
  <c r="D20" i="14" s="1"/>
  <c r="D2" i="14"/>
  <c r="E12" i="14"/>
  <c r="E20" i="14"/>
  <c r="F12" i="14"/>
  <c r="F2" i="14"/>
  <c r="F20" i="14" s="1"/>
  <c r="C13" i="14"/>
  <c r="C21" i="14" s="1"/>
  <c r="D13" i="14"/>
  <c r="D21" i="14" s="1"/>
  <c r="E13" i="14"/>
  <c r="E21" i="14" s="1"/>
  <c r="F13" i="14"/>
  <c r="F21" i="14" s="1"/>
  <c r="C14" i="14"/>
  <c r="C22" i="14" s="1"/>
  <c r="D14" i="14"/>
  <c r="D22" i="14" s="1"/>
  <c r="E14" i="14"/>
  <c r="E22" i="14" s="1"/>
  <c r="F14" i="14"/>
  <c r="F22" i="14" s="1"/>
  <c r="C15" i="14"/>
  <c r="C23" i="14" s="1"/>
  <c r="D15" i="14"/>
  <c r="D23" i="14" s="1"/>
  <c r="E15" i="14"/>
  <c r="E23" i="14" s="1"/>
  <c r="F15" i="14"/>
  <c r="F23" i="14" s="1"/>
  <c r="C16" i="14"/>
  <c r="C24" i="14" s="1"/>
  <c r="D16" i="14"/>
  <c r="D24" i="14" s="1"/>
  <c r="E16" i="14"/>
  <c r="E24" i="14" s="1"/>
  <c r="F16" i="14"/>
  <c r="F24" i="14" s="1"/>
  <c r="D11" i="14"/>
  <c r="D19" i="14" s="1"/>
  <c r="E11" i="14"/>
  <c r="E19" i="14" s="1"/>
  <c r="F11" i="14"/>
  <c r="F19" i="14" s="1"/>
  <c r="C11" i="14"/>
  <c r="C19" i="14" s="1"/>
  <c r="H2" i="4"/>
  <c r="C14" i="7"/>
  <c r="C22" i="7"/>
  <c r="C12" i="7"/>
  <c r="C20" i="7"/>
  <c r="C15" i="7"/>
  <c r="C23" i="7"/>
  <c r="C16" i="7"/>
  <c r="C24" i="7"/>
  <c r="C11" i="7"/>
  <c r="C19" i="7"/>
  <c r="J8" i="4"/>
  <c r="J7" i="4"/>
  <c r="J6" i="4"/>
  <c r="J5" i="4"/>
  <c r="J4" i="4"/>
  <c r="J3" i="4"/>
  <c r="J2" i="4"/>
  <c r="K8" i="4"/>
  <c r="K7" i="4"/>
  <c r="K6" i="4"/>
  <c r="K5" i="4"/>
  <c r="K4" i="4"/>
  <c r="K3" i="4"/>
  <c r="K2" i="4"/>
  <c r="H4" i="4"/>
  <c r="H5" i="4"/>
  <c r="H6" i="4"/>
  <c r="H7" i="4"/>
  <c r="H8" i="4"/>
  <c r="H3" i="4"/>
  <c r="F24" i="28" l="1"/>
  <c r="E16" i="28"/>
  <c r="E24" i="28" s="1"/>
  <c r="D19" i="13"/>
  <c r="D24" i="13"/>
  <c r="D23" i="13"/>
  <c r="D22" i="13"/>
  <c r="B12" i="24"/>
  <c r="B20" i="24" s="1"/>
  <c r="B13" i="24"/>
  <c r="B21" i="24" s="1"/>
  <c r="B14" i="24"/>
  <c r="B22" i="24" s="1"/>
  <c r="B15" i="24"/>
  <c r="B23" i="24" s="1"/>
  <c r="B16" i="24"/>
  <c r="B24" i="24" s="1"/>
  <c r="B11" i="24"/>
  <c r="B19" i="24" s="1"/>
  <c r="D23" i="21"/>
  <c r="D24" i="21"/>
  <c r="D22" i="21"/>
  <c r="D21" i="21"/>
  <c r="D20" i="21"/>
  <c r="D19" i="21"/>
  <c r="B13" i="27"/>
  <c r="B21" i="27" s="1"/>
  <c r="B15" i="27"/>
  <c r="B23" i="27" s="1"/>
  <c r="B11" i="27"/>
  <c r="B19" i="27" s="1"/>
  <c r="B12" i="23"/>
  <c r="B20" i="23" s="1"/>
  <c r="B13" i="23"/>
  <c r="B21" i="23" s="1"/>
  <c r="B14" i="23"/>
  <c r="B22" i="23" s="1"/>
  <c r="B15" i="23"/>
  <c r="B23" i="23" s="1"/>
  <c r="B16" i="23"/>
  <c r="B24" i="23" s="1"/>
  <c r="B11" i="23"/>
  <c r="B19" i="23" s="1"/>
  <c r="B12" i="10"/>
  <c r="B20" i="10" s="1"/>
  <c r="B13" i="10"/>
  <c r="B21" i="10" s="1"/>
  <c r="B15" i="10"/>
  <c r="B23" i="10" s="1"/>
  <c r="B13" i="12"/>
  <c r="B21" i="12" s="1"/>
  <c r="B14" i="12"/>
  <c r="B22" i="12" s="1"/>
  <c r="B15" i="12"/>
  <c r="B23" i="12" s="1"/>
  <c r="B16" i="12"/>
  <c r="B24" i="12" s="1"/>
  <c r="B11" i="12"/>
  <c r="B19" i="12" s="1"/>
  <c r="B11" i="10"/>
  <c r="B19" i="10" s="1"/>
  <c r="B19" i="28" s="1"/>
  <c r="B16" i="10"/>
  <c r="B24" i="10" s="1"/>
  <c r="B24" i="28" s="1"/>
  <c r="B16" i="28" s="1"/>
  <c r="B20" i="28"/>
  <c r="B13" i="9"/>
  <c r="B21" i="9" s="1"/>
  <c r="B21" i="28" s="1"/>
  <c r="B15" i="9"/>
  <c r="B23" i="9" s="1"/>
  <c r="B23" i="28" s="1"/>
  <c r="B13" i="11"/>
  <c r="B21" i="11" s="1"/>
  <c r="B21" i="29" s="1"/>
  <c r="B13" i="29" s="1"/>
  <c r="B14" i="11"/>
  <c r="B22" i="11" s="1"/>
  <c r="B22" i="29" s="1"/>
  <c r="B14" i="29" s="1"/>
  <c r="B15" i="11"/>
  <c r="B23" i="11" s="1"/>
  <c r="B23" i="29" s="1"/>
  <c r="B15" i="29" s="1"/>
  <c r="B16" i="11"/>
  <c r="B24" i="11" s="1"/>
  <c r="B24" i="29" s="1"/>
  <c r="B16" i="29" s="1"/>
  <c r="B11" i="11"/>
  <c r="B19" i="11" s="1"/>
  <c r="B19" i="29" s="1"/>
  <c r="B11" i="29" s="1"/>
  <c r="B11" i="28" l="1"/>
  <c r="B14" i="28"/>
  <c r="B13" i="28"/>
  <c r="B15" i="28"/>
  <c r="B12" i="28"/>
</calcChain>
</file>

<file path=xl/sharedStrings.xml><?xml version="1.0" encoding="utf-8"?>
<sst xmlns="http://schemas.openxmlformats.org/spreadsheetml/2006/main" count="1095" uniqueCount="182">
  <si>
    <t>Pacific Cost</t>
  </si>
  <si>
    <t>Rocky Mountain</t>
  </si>
  <si>
    <t>North Central</t>
  </si>
  <si>
    <t>South Central</t>
  </si>
  <si>
    <t>South east</t>
  </si>
  <si>
    <t>Oregon</t>
  </si>
  <si>
    <t>Washington</t>
  </si>
  <si>
    <t>California</t>
  </si>
  <si>
    <t xml:space="preserve">Hawaii        </t>
  </si>
  <si>
    <t>Kansas</t>
  </si>
  <si>
    <t>Nebraska</t>
  </si>
  <si>
    <t xml:space="preserve">North Dakota   </t>
  </si>
  <si>
    <t xml:space="preserve">South Dakota   </t>
  </si>
  <si>
    <t>Arizona</t>
  </si>
  <si>
    <t>Colorado</t>
  </si>
  <si>
    <t xml:space="preserve">Idaho          </t>
  </si>
  <si>
    <t>Montana</t>
  </si>
  <si>
    <t>Nevada</t>
  </si>
  <si>
    <t xml:space="preserve">New Mexico     </t>
  </si>
  <si>
    <t xml:space="preserve"> Utah</t>
  </si>
  <si>
    <t>Wyoming</t>
  </si>
  <si>
    <t xml:space="preserve">Illinois       </t>
  </si>
  <si>
    <t>Indiana</t>
  </si>
  <si>
    <t>Iowa</t>
  </si>
  <si>
    <t xml:space="preserve">Michigan       </t>
  </si>
  <si>
    <t>Minnesota</t>
  </si>
  <si>
    <t>Missouri</t>
  </si>
  <si>
    <t xml:space="preserve">Ohio          </t>
  </si>
  <si>
    <t xml:space="preserve">Wisconsin  </t>
  </si>
  <si>
    <t>Northeast</t>
  </si>
  <si>
    <t xml:space="preserve">Connecticut    </t>
  </si>
  <si>
    <t xml:space="preserve">Delaware       </t>
  </si>
  <si>
    <t>Maine</t>
  </si>
  <si>
    <t>Maryland</t>
  </si>
  <si>
    <t xml:space="preserve">Massachusetts  </t>
  </si>
  <si>
    <t xml:space="preserve">New Hampshire </t>
  </si>
  <si>
    <t xml:space="preserve">New Jersey    </t>
  </si>
  <si>
    <t xml:space="preserve">New York      </t>
  </si>
  <si>
    <t>Pennsylvania</t>
  </si>
  <si>
    <t xml:space="preserve">Rhode Island  </t>
  </si>
  <si>
    <t>Vermont</t>
  </si>
  <si>
    <t xml:space="preserve">West Virginia </t>
  </si>
  <si>
    <t>Alabama</t>
  </si>
  <si>
    <t>Arkansas</t>
  </si>
  <si>
    <t xml:space="preserve">Kentucky       </t>
  </si>
  <si>
    <t xml:space="preserve">Louisiana      </t>
  </si>
  <si>
    <t>Mississippi</t>
  </si>
  <si>
    <t>Oklahoma</t>
  </si>
  <si>
    <t>Tennessee</t>
  </si>
  <si>
    <t xml:space="preserve">Texas </t>
  </si>
  <si>
    <t xml:space="preserve">Georgia  </t>
  </si>
  <si>
    <t>North Carolina</t>
  </si>
  <si>
    <t xml:space="preserve">South Carolina </t>
  </si>
  <si>
    <t>Virginia</t>
  </si>
  <si>
    <t xml:space="preserve">Florida        </t>
  </si>
  <si>
    <t>Item</t>
  </si>
  <si>
    <t>Source</t>
  </si>
  <si>
    <t>Link</t>
  </si>
  <si>
    <t>Notes</t>
  </si>
  <si>
    <t>Production</t>
  </si>
  <si>
    <t>Consumption</t>
  </si>
  <si>
    <t>Export</t>
  </si>
  <si>
    <t>Import</t>
  </si>
  <si>
    <t>Price</t>
  </si>
  <si>
    <t>USITC</t>
  </si>
  <si>
    <t>This is only for foreign trade. Does not include state-to-state trade flows</t>
  </si>
  <si>
    <t>Forest Area</t>
  </si>
  <si>
    <t>Forest Stock</t>
  </si>
  <si>
    <t>FIA RPA report</t>
  </si>
  <si>
    <t>Step 1: Identify US total production from FOASTAT database
Step 2: calculate region proportions of production
Step 3: multiple Step 1 by Step 2 to get regional production numbers</t>
  </si>
  <si>
    <t>TPO
FAOSTAT</t>
  </si>
  <si>
    <t>Determine if region is net importer/exporter. IF net exporter, price = export value/export quantity</t>
  </si>
  <si>
    <t>https://www.srs.fs.usda.gov/pubs/gtr/gtr_wo091.pdf</t>
  </si>
  <si>
    <t>Apparent consumption = production + import - export
Reconciled with FAO data for the totsal US apparent consumption level.
Disaggregated down based upon population</t>
  </si>
  <si>
    <t>Population</t>
  </si>
  <si>
    <t>2015 data</t>
  </si>
  <si>
    <t>https://dataweb.usitc.gov</t>
  </si>
  <si>
    <t>softwood and hardwood</t>
  </si>
  <si>
    <t>Industrial roundwood, non-coniferous</t>
  </si>
  <si>
    <t>Sawnwood, coniferous</t>
  </si>
  <si>
    <t>Sawnwood, non-coniferous</t>
  </si>
  <si>
    <t>plywood + veneer sheets</t>
  </si>
  <si>
    <t>particleboard</t>
  </si>
  <si>
    <t>fiberboard</t>
  </si>
  <si>
    <t>mechanical pulp</t>
  </si>
  <si>
    <t>chemical pulp</t>
  </si>
  <si>
    <t>Other fiber pulp</t>
  </si>
  <si>
    <t>Newsprint</t>
  </si>
  <si>
    <t>Other paper and paperboard</t>
  </si>
  <si>
    <t>Printing and Writing paper</t>
  </si>
  <si>
    <t>Wood pellets</t>
  </si>
  <si>
    <t>Recovered paper</t>
  </si>
  <si>
    <t>Chips particles residuals</t>
  </si>
  <si>
    <t>HTS 6 numbers</t>
  </si>
  <si>
    <t>440310
440320</t>
  </si>
  <si>
    <t>440340-440399</t>
  </si>
  <si>
    <t>440800
441200</t>
  </si>
  <si>
    <t>470200
470300
470400</t>
  </si>
  <si>
    <t>470500
470600</t>
  </si>
  <si>
    <t>https://www.fia.fs.fed.us/program-features/tpo/</t>
  </si>
  <si>
    <t>we'll need this by softwood (coniferous) and hardwood (non-coniferous or broadleaf)</t>
  </si>
  <si>
    <t>?</t>
  </si>
  <si>
    <t>Pacific Coast</t>
  </si>
  <si>
    <t>North East</t>
  </si>
  <si>
    <t>South East</t>
  </si>
  <si>
    <t>US Total (FAOSTAT)</t>
  </si>
  <si>
    <t>Regional proportions</t>
  </si>
  <si>
    <t>Regional allocations</t>
  </si>
  <si>
    <t xml:space="preserve"> </t>
  </si>
  <si>
    <t>Fuelwood, coniferous</t>
  </si>
  <si>
    <t>Fuelwood, non-coniferous</t>
  </si>
  <si>
    <t>Other Industrial roundwood, coniferous</t>
  </si>
  <si>
    <t>Other Industrial roundwood, non-coniferous</t>
  </si>
  <si>
    <t>Total (industrial) - softwood</t>
  </si>
  <si>
    <t>Total (industrial) - hardwood</t>
  </si>
  <si>
    <t>Saw logs - hardwood</t>
  </si>
  <si>
    <t>Saw logs - softwood</t>
  </si>
  <si>
    <t>Veneer logs - total</t>
  </si>
  <si>
    <t>composite panels - total</t>
  </si>
  <si>
    <t>pulpwood - total</t>
  </si>
  <si>
    <t>Residential Fuelwood - total</t>
  </si>
  <si>
    <t>Total (industrial) - total</t>
  </si>
  <si>
    <t>US Total</t>
  </si>
  <si>
    <t>Industrial roundwood, coniferous</t>
  </si>
  <si>
    <t>Import Value (1000$ US 2015)</t>
  </si>
  <si>
    <t>Export Value (1000$ US 2015)</t>
  </si>
  <si>
    <t>Import Quantity (m3)</t>
  </si>
  <si>
    <t>Export Quantity (m3)</t>
  </si>
  <si>
    <t>Production (m3)</t>
  </si>
  <si>
    <t>Production (tonnes)</t>
  </si>
  <si>
    <t>Import Quantity (tonnes)</t>
  </si>
  <si>
    <t>Export Quantity (tonnes)</t>
  </si>
  <si>
    <t>Region</t>
  </si>
  <si>
    <t>Total</t>
  </si>
  <si>
    <t>Softwood</t>
  </si>
  <si>
    <t>Hardwood</t>
  </si>
  <si>
    <t>Timber (million cubic feet)</t>
  </si>
  <si>
    <t>pg. 97-99</t>
  </si>
  <si>
    <t>All fuelwood</t>
  </si>
  <si>
    <t>source:</t>
  </si>
  <si>
    <t>https://www.census.gov/data/datasets/2016/demo/popest/state-total.html</t>
  </si>
  <si>
    <t>Import Value (US$ 2015)</t>
  </si>
  <si>
    <t>Export Value (US$ 2015)</t>
  </si>
  <si>
    <t>4401.21, 4401.22, 4401.30</t>
  </si>
  <si>
    <t>Softwood (coniferous)</t>
  </si>
  <si>
    <t>Hardwood (non-coniferous)</t>
  </si>
  <si>
    <t>Saw logs</t>
  </si>
  <si>
    <t>Veneer logs</t>
  </si>
  <si>
    <t>Pulpwood</t>
  </si>
  <si>
    <t>Composite products</t>
  </si>
  <si>
    <t>Fuelwood</t>
  </si>
  <si>
    <t>Posts, poles, and pilings</t>
  </si>
  <si>
    <t>Miscellaneous products</t>
  </si>
  <si>
    <t>U.S. Total</t>
  </si>
  <si>
    <t>Data</t>
  </si>
  <si>
    <t>https://www.fia.fs.fed.us/program-features/rpa/docs/2017%20RPA_TABLES%20Federal%20Register%20Review%20Draft%20032917-pdf.pdf</t>
  </si>
  <si>
    <t>Table 39</t>
  </si>
  <si>
    <t>Production (m3) Coniferous</t>
  </si>
  <si>
    <t>N/A</t>
  </si>
  <si>
    <t>Import Quantity</t>
  </si>
  <si>
    <t>Import Value</t>
  </si>
  <si>
    <t>Export Quantity</t>
  </si>
  <si>
    <t>Export Value</t>
  </si>
  <si>
    <t>Coniferous</t>
  </si>
  <si>
    <t>Non coniferous</t>
  </si>
  <si>
    <t>acre --&gt; ha</t>
  </si>
  <si>
    <t>000s ha</t>
  </si>
  <si>
    <t>ft3 --&gt; m3</t>
  </si>
  <si>
    <t>2017 RPA tables</t>
  </si>
  <si>
    <t>https://www.fia.fs.fed.us/program-features/rpa/docs/2017RPAFIATABLESFINAL_050918.pdf</t>
  </si>
  <si>
    <t>units --&gt;</t>
  </si>
  <si>
    <t>million m3</t>
  </si>
  <si>
    <t xml:space="preserve">Alaska </t>
  </si>
  <si>
    <t>GDP share</t>
  </si>
  <si>
    <t>coniferous (million m3)</t>
  </si>
  <si>
    <t>Non coniferous (million m3)</t>
  </si>
  <si>
    <t>Planted12</t>
  </si>
  <si>
    <t>Planted17</t>
  </si>
  <si>
    <t>Natural12</t>
  </si>
  <si>
    <t>Natural17</t>
  </si>
  <si>
    <t>gPlant</t>
  </si>
  <si>
    <t>gNat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</si>
</sst>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-webkit-standard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Roman"/>
    </font>
    <font>
      <u/>
      <sz val="12"/>
      <color theme="10"/>
      <name val="Times Roman"/>
    </font>
    <font>
      <u/>
      <sz val="12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"/>
    </font>
    <font>
      <b/>
      <sz val="12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vertical="top" wrapText="1"/>
    </xf>
    <xf numFmtId="1" fontId="0" fillId="0" borderId="0" xfId="0" applyNumberFormat="1" applyAlignment="1">
      <alignment horizontal="right" vertical="top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Border="1"/>
    <xf numFmtId="0" fontId="0" fillId="0" borderId="0" xfId="0" applyFill="1" applyBorder="1"/>
    <xf numFmtId="9" fontId="0" fillId="0" borderId="0" xfId="2" applyFont="1" applyFill="1" applyBorder="1"/>
    <xf numFmtId="0" fontId="5" fillId="0" borderId="0" xfId="0" applyFont="1" applyFill="1" applyBorder="1"/>
    <xf numFmtId="164" fontId="5" fillId="0" borderId="0" xfId="1" applyNumberFormat="1" applyFont="1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3" applyAlignment="1">
      <alignment horizontal="left" vertical="top"/>
    </xf>
    <xf numFmtId="3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0" applyNumberFormat="1" applyBorder="1"/>
    <xf numFmtId="3" fontId="0" fillId="0" borderId="0" xfId="1" applyNumberFormat="1" applyFont="1" applyBorder="1"/>
    <xf numFmtId="10" fontId="0" fillId="0" borderId="0" xfId="2" applyNumberFormat="1" applyFont="1"/>
    <xf numFmtId="3" fontId="0" fillId="0" borderId="0" xfId="0" applyNumberFormat="1" applyFill="1" applyBorder="1"/>
    <xf numFmtId="3" fontId="0" fillId="0" borderId="0" xfId="1" applyNumberFormat="1" applyFont="1" applyFill="1" applyBorder="1"/>
    <xf numFmtId="3" fontId="0" fillId="0" borderId="0" xfId="0" applyNumberFormat="1" applyFill="1" applyBorder="1" applyAlignment="1">
      <alignment horizontal="right"/>
    </xf>
    <xf numFmtId="0" fontId="0" fillId="0" borderId="0" xfId="0" applyFill="1"/>
    <xf numFmtId="3" fontId="0" fillId="0" borderId="0" xfId="0" applyNumberFormat="1" applyFill="1"/>
    <xf numFmtId="3" fontId="0" fillId="0" borderId="0" xfId="0" applyNumberFormat="1" applyFill="1" applyBorder="1" applyAlignment="1">
      <alignment wrapText="1"/>
    </xf>
    <xf numFmtId="0" fontId="6" fillId="0" borderId="0" xfId="3"/>
    <xf numFmtId="3" fontId="0" fillId="0" borderId="0" xfId="0" applyNumberFormat="1" applyAlignment="1">
      <alignment horizontal="right"/>
    </xf>
    <xf numFmtId="0" fontId="7" fillId="0" borderId="0" xfId="0" applyFont="1"/>
    <xf numFmtId="0" fontId="7" fillId="0" borderId="0" xfId="0" applyFont="1" applyFill="1" applyBorder="1"/>
    <xf numFmtId="2" fontId="7" fillId="0" borderId="0" xfId="1" applyNumberFormat="1" applyFont="1"/>
    <xf numFmtId="0" fontId="8" fillId="0" borderId="0" xfId="3" applyFont="1"/>
    <xf numFmtId="9" fontId="0" fillId="0" borderId="0" xfId="2" applyFont="1" applyFill="1" applyBorder="1" applyAlignment="1">
      <alignment horizontal="right"/>
    </xf>
    <xf numFmtId="3" fontId="0" fillId="0" borderId="0" xfId="1" applyNumberFormat="1" applyFont="1" applyFill="1" applyBorder="1" applyAlignment="1">
      <alignment horizontal="right"/>
    </xf>
    <xf numFmtId="9" fontId="0" fillId="0" borderId="0" xfId="2" applyFont="1"/>
    <xf numFmtId="9" fontId="0" fillId="0" borderId="0" xfId="0" applyNumberFormat="1"/>
    <xf numFmtId="0" fontId="10" fillId="2" borderId="1" xfId="0" applyFont="1" applyFill="1" applyBorder="1"/>
    <xf numFmtId="0" fontId="10" fillId="2" borderId="2" xfId="0" applyFont="1" applyFill="1" applyBorder="1"/>
    <xf numFmtId="165" fontId="0" fillId="0" borderId="0" xfId="2" applyNumberFormat="1" applyFont="1" applyFill="1" applyBorder="1"/>
    <xf numFmtId="166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0" fontId="11" fillId="0" borderId="0" xfId="0" applyFont="1"/>
    <xf numFmtId="2" fontId="11" fillId="0" borderId="0" xfId="0" applyNumberFormat="1" applyFont="1"/>
    <xf numFmtId="43" fontId="0" fillId="0" borderId="0" xfId="0" applyNumberFormat="1"/>
    <xf numFmtId="0" fontId="12" fillId="0" borderId="0" xfId="0" applyFont="1"/>
    <xf numFmtId="0" fontId="13" fillId="0" borderId="0" xfId="0" applyFont="1"/>
    <xf numFmtId="164" fontId="0" fillId="0" borderId="0" xfId="1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6">
    <cellStyle name="Comma" xfId="1" builtinId="3"/>
    <cellStyle name="Followed Hyperlink" xfId="4" builtinId="9" hidden="1"/>
    <cellStyle name="Followed Hyperlink" xfId="5" builtinId="9" hidden="1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248920</xdr:colOff>
      <xdr:row>0</xdr:row>
      <xdr:rowOff>177799</xdr:rowOff>
    </xdr:from>
    <xdr:to>
      <xdr:col>13</xdr:col>
      <xdr:colOff>0</xdr:colOff>
      <xdr:row>21</xdr:row>
      <xdr:rowOff>117474</xdr:rowOff>
    </xdr:to>
    <xdr:pic>
      <xdr:nvPicPr>
        <xdr:cNvPr id="2" name="Picture 1" descr="C:\Users\llangner\Documents\Assessment\2015 Assessment\Final to USDA\OCVersion2\USDAver2\Figures\Chapt2\Figure 2-1 right_1-1 RPARegions_final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1920" y="177799"/>
          <a:ext cx="5529580" cy="4206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rs.fs.usda.gov/pubs/gtr/gtr_wo091.pdf" TargetMode="External"/><Relationship Id="rId2" Type="http://schemas.openxmlformats.org/officeDocument/2006/relationships/hyperlink" Target="https://www.fia.fs.fed.us/program-features/tpo/" TargetMode="External"/><Relationship Id="rId1" Type="http://schemas.openxmlformats.org/officeDocument/2006/relationships/hyperlink" Target="https://dataweb.usitc.gov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a.fs.fed.us/program-features/rpa/docs/2017%20RPA_TABLES%20Federal%20Register%20Review%20Draft%20032917-pdf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sus.gov/data/datasets/2016/demo/popest/state-total.html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5"/>
  <sheetViews>
    <sheetView zoomScale="120" zoomScaleNormal="120" zoomScalePageLayoutView="120" workbookViewId="0"/>
  </sheetViews>
  <sheetFormatPr defaultColWidth="11" defaultRowHeight="15.75"/>
  <cols>
    <col min="1" max="1" width="20.5" customWidth="1"/>
    <col min="2" max="2" width="17.125" customWidth="1"/>
    <col min="3" max="3" width="59.375" customWidth="1"/>
    <col min="4" max="4" width="80.625" bestFit="1" customWidth="1"/>
  </cols>
  <sheetData>
    <row r="1" spans="1:4">
      <c r="A1" s="1" t="s">
        <v>55</v>
      </c>
      <c r="B1" s="1" t="s">
        <v>56</v>
      </c>
      <c r="C1" s="1" t="s">
        <v>57</v>
      </c>
      <c r="D1" s="1" t="s">
        <v>58</v>
      </c>
    </row>
    <row r="2" spans="1:4" ht="47.25">
      <c r="A2" s="2" t="s">
        <v>59</v>
      </c>
      <c r="B2" s="3" t="s">
        <v>70</v>
      </c>
      <c r="C2" s="20" t="s">
        <v>99</v>
      </c>
      <c r="D2" s="3" t="s">
        <v>69</v>
      </c>
    </row>
    <row r="3" spans="1:4" ht="47.25">
      <c r="A3" s="2" t="s">
        <v>60</v>
      </c>
      <c r="B3" s="2"/>
      <c r="C3" s="2"/>
      <c r="D3" s="3" t="s">
        <v>73</v>
      </c>
    </row>
    <row r="4" spans="1:4">
      <c r="A4" s="2" t="s">
        <v>74</v>
      </c>
      <c r="B4" s="2"/>
      <c r="C4" s="2"/>
      <c r="D4" s="3" t="s">
        <v>75</v>
      </c>
    </row>
    <row r="5" spans="1:4">
      <c r="A5" s="2" t="s">
        <v>61</v>
      </c>
      <c r="B5" s="2" t="s">
        <v>64</v>
      </c>
      <c r="C5" s="20" t="s">
        <v>76</v>
      </c>
      <c r="D5" s="2" t="s">
        <v>65</v>
      </c>
    </row>
    <row r="6" spans="1:4">
      <c r="A6" s="2" t="s">
        <v>62</v>
      </c>
      <c r="B6" s="2" t="s">
        <v>64</v>
      </c>
      <c r="C6" s="2" t="s">
        <v>76</v>
      </c>
      <c r="D6" s="2" t="s">
        <v>65</v>
      </c>
    </row>
    <row r="7" spans="1:4">
      <c r="A7" s="2" t="s">
        <v>63</v>
      </c>
      <c r="B7" s="2"/>
      <c r="C7" s="2"/>
      <c r="D7" s="2" t="s">
        <v>71</v>
      </c>
    </row>
    <row r="8" spans="1:4">
      <c r="A8" s="2" t="s">
        <v>66</v>
      </c>
      <c r="B8" s="2" t="s">
        <v>68</v>
      </c>
      <c r="C8" s="20" t="s">
        <v>72</v>
      </c>
      <c r="D8" s="2" t="s">
        <v>100</v>
      </c>
    </row>
    <row r="9" spans="1:4">
      <c r="A9" s="2" t="s">
        <v>67</v>
      </c>
      <c r="B9" s="2" t="s">
        <v>68</v>
      </c>
      <c r="C9" s="2" t="s">
        <v>72</v>
      </c>
      <c r="D9" s="2" t="s">
        <v>77</v>
      </c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</sheetData>
  <hyperlinks>
    <hyperlink ref="C5" r:id="rId1" xr:uid="{00000000-0004-0000-0000-000000000000}"/>
    <hyperlink ref="C2" r:id="rId2" xr:uid="{00000000-0004-0000-0000-000001000000}"/>
    <hyperlink ref="C8" r:id="rId3" xr:uid="{00000000-0004-0000-0000-000002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7"/>
  <sheetViews>
    <sheetView workbookViewId="0">
      <selection activeCell="L50" sqref="L50"/>
    </sheetView>
  </sheetViews>
  <sheetFormatPr defaultColWidth="11" defaultRowHeight="15.75"/>
  <sheetData>
    <row r="1" spans="1:20">
      <c r="B1">
        <v>2010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  <c r="K1">
        <v>2055</v>
      </c>
      <c r="L1">
        <v>2060</v>
      </c>
      <c r="M1">
        <v>2065</v>
      </c>
      <c r="N1">
        <v>2070</v>
      </c>
      <c r="O1">
        <v>2075</v>
      </c>
      <c r="P1">
        <v>2080</v>
      </c>
      <c r="Q1">
        <v>2085</v>
      </c>
      <c r="R1">
        <v>2090</v>
      </c>
      <c r="S1">
        <v>2095</v>
      </c>
      <c r="T1">
        <v>2100</v>
      </c>
    </row>
    <row r="2" spans="1:20">
      <c r="A2" t="s">
        <v>102</v>
      </c>
      <c r="B2">
        <v>1973780.7288005336</v>
      </c>
      <c r="C2">
        <v>2191753.8868621374</v>
      </c>
      <c r="D2">
        <v>2433798.7652227944</v>
      </c>
      <c r="E2">
        <v>2690884.4809692632</v>
      </c>
      <c r="F2">
        <v>2962944.0471471106</v>
      </c>
      <c r="G2">
        <v>3223624.8374181907</v>
      </c>
      <c r="H2">
        <v>3550070.5692316927</v>
      </c>
      <c r="I2">
        <v>3861821.2156372746</v>
      </c>
      <c r="J2">
        <v>4184827.7236095001</v>
      </c>
      <c r="K2">
        <v>4540982.6736829001</v>
      </c>
      <c r="L2">
        <v>4872174.246606377</v>
      </c>
      <c r="M2">
        <v>5269065.0586379608</v>
      </c>
      <c r="N2">
        <v>5635185.2193455976</v>
      </c>
      <c r="O2">
        <v>6026745.1821025256</v>
      </c>
      <c r="P2">
        <v>6445512.6275714431</v>
      </c>
      <c r="Q2">
        <v>6893378.06342916</v>
      </c>
      <c r="R2">
        <v>7372363.3589824438</v>
      </c>
      <c r="S2">
        <v>7884630.8728103088</v>
      </c>
      <c r="T2">
        <v>8432493.2146391105</v>
      </c>
    </row>
    <row r="3" spans="1:20">
      <c r="A3" t="s">
        <v>1</v>
      </c>
      <c r="B3">
        <v>975221.80131526641</v>
      </c>
      <c r="C3">
        <v>1117342.8231465509</v>
      </c>
      <c r="D3">
        <v>1280175.4254809858</v>
      </c>
      <c r="E3">
        <v>1456266.9471425624</v>
      </c>
      <c r="F3">
        <v>1646945.94407718</v>
      </c>
      <c r="G3">
        <v>1835543.0395715153</v>
      </c>
      <c r="H3">
        <v>2066990.4267717353</v>
      </c>
      <c r="I3">
        <v>2293147.4623586885</v>
      </c>
      <c r="J3">
        <v>2529291.160701226</v>
      </c>
      <c r="K3">
        <v>2789844.5582223404</v>
      </c>
      <c r="L3">
        <v>3037795.6864660312</v>
      </c>
      <c r="M3">
        <v>3330296.525870387</v>
      </c>
      <c r="N3">
        <v>3605380.226009598</v>
      </c>
      <c r="O3">
        <v>3903185.9394873958</v>
      </c>
      <c r="P3">
        <v>4225590.5128413914</v>
      </c>
      <c r="Q3">
        <v>4574625.8208134817</v>
      </c>
      <c r="R3">
        <v>4952491.5717357239</v>
      </c>
      <c r="S3">
        <v>5361569.1706457073</v>
      </c>
      <c r="T3">
        <v>5804436.7275002953</v>
      </c>
    </row>
    <row r="4" spans="1:20">
      <c r="A4" t="s">
        <v>2</v>
      </c>
      <c r="B4">
        <v>2350247.9156124513</v>
      </c>
      <c r="C4">
        <v>2583919.6224420597</v>
      </c>
      <c r="D4">
        <v>2840823.9704794073</v>
      </c>
      <c r="E4">
        <v>3114944.5316130524</v>
      </c>
      <c r="F4">
        <v>3408051.7476213104</v>
      </c>
      <c r="G4">
        <v>3689712.1666575349</v>
      </c>
      <c r="H4">
        <v>4046296.5860276418</v>
      </c>
      <c r="I4">
        <v>4386036.4376731385</v>
      </c>
      <c r="J4">
        <v>4740142.7658945424</v>
      </c>
      <c r="K4">
        <v>5132413.3627105858</v>
      </c>
      <c r="L4">
        <v>5499579.8033663984</v>
      </c>
      <c r="M4">
        <v>5940611.819926071</v>
      </c>
      <c r="N4">
        <v>6349432.9343674043</v>
      </c>
      <c r="O4">
        <v>6786388.3064709622</v>
      </c>
      <c r="P4">
        <v>7253414.0800078046</v>
      </c>
      <c r="Q4">
        <v>7752579.640320438</v>
      </c>
      <c r="R4">
        <v>8286096.7837432921</v>
      </c>
      <c r="S4">
        <v>8856329.5180445276</v>
      </c>
      <c r="T4">
        <v>9465804.5373147968</v>
      </c>
    </row>
    <row r="5" spans="1:20">
      <c r="A5" t="s">
        <v>103</v>
      </c>
      <c r="B5">
        <v>2965766.0181640531</v>
      </c>
      <c r="C5">
        <v>3218588.1174096595</v>
      </c>
      <c r="D5">
        <v>3492962.4947093939</v>
      </c>
      <c r="E5">
        <v>3789175.1573701617</v>
      </c>
      <c r="F5">
        <v>4100294.1540216669</v>
      </c>
      <c r="G5">
        <v>4397493.8058320517</v>
      </c>
      <c r="H5">
        <v>4770673.2697574999</v>
      </c>
      <c r="I5">
        <v>5123090.2609651685</v>
      </c>
      <c r="J5">
        <v>5489422.0093146767</v>
      </c>
      <c r="K5">
        <v>5888868.6826567957</v>
      </c>
      <c r="L5">
        <v>6258161.4439910948</v>
      </c>
      <c r="M5">
        <v>6699774.3677838128</v>
      </c>
      <c r="N5">
        <v>7104208.5425490197</v>
      </c>
      <c r="O5">
        <v>7533056.524815646</v>
      </c>
      <c r="P5">
        <v>7987792.0624366337</v>
      </c>
      <c r="Q5">
        <v>8469977.8665589057</v>
      </c>
      <c r="R5">
        <v>8981270.9819230959</v>
      </c>
      <c r="S5">
        <v>9523428.4813432284</v>
      </c>
      <c r="T5">
        <v>10098313.50393565</v>
      </c>
    </row>
    <row r="6" spans="1:20">
      <c r="A6" t="s">
        <v>3</v>
      </c>
      <c r="B6">
        <v>1741823.4783444153</v>
      </c>
      <c r="C6">
        <v>1981666.999868016</v>
      </c>
      <c r="D6">
        <v>2254536.2071353397</v>
      </c>
      <c r="E6">
        <v>2550701.6911452636</v>
      </c>
      <c r="F6">
        <v>2873176.2286112029</v>
      </c>
      <c r="G6">
        <v>3192898.4078879505</v>
      </c>
      <c r="H6">
        <v>3587523.3570105843</v>
      </c>
      <c r="I6">
        <v>3973509.8684946909</v>
      </c>
      <c r="J6">
        <v>4377712.6443553474</v>
      </c>
      <c r="K6">
        <v>4824351.3220922248</v>
      </c>
      <c r="L6">
        <v>5250435.6133277286</v>
      </c>
      <c r="M6">
        <v>5753544.6649158522</v>
      </c>
      <c r="N6">
        <v>6227646.8394539505</v>
      </c>
      <c r="O6">
        <v>6740815.8649495784</v>
      </c>
      <c r="P6">
        <v>7296270.9184614029</v>
      </c>
      <c r="Q6">
        <v>7897496.4428855246</v>
      </c>
      <c r="R6">
        <v>8548264.0053258669</v>
      </c>
      <c r="S6">
        <v>9252655.9566326421</v>
      </c>
      <c r="T6">
        <v>10015091.040528281</v>
      </c>
    </row>
    <row r="7" spans="1:20">
      <c r="A7" t="s">
        <v>104</v>
      </c>
      <c r="B7">
        <v>2124886.8841588218</v>
      </c>
      <c r="C7">
        <v>2427435.9888804918</v>
      </c>
      <c r="D7">
        <v>2773063.1329322984</v>
      </c>
      <c r="E7">
        <v>3146032.2774871793</v>
      </c>
      <c r="F7">
        <v>3548374.9598995545</v>
      </c>
      <c r="G7">
        <v>3946595.6834099465</v>
      </c>
      <c r="H7">
        <v>4433906.2167724334</v>
      </c>
      <c r="I7">
        <v>4909975.3911107741</v>
      </c>
      <c r="J7">
        <v>5407841.2270233957</v>
      </c>
      <c r="K7">
        <v>5955545.0246534199</v>
      </c>
      <c r="L7">
        <v>6477978.4917988824</v>
      </c>
      <c r="M7">
        <v>7092631.1724267667</v>
      </c>
      <c r="N7">
        <v>7671584.6019469509</v>
      </c>
      <c r="O7">
        <v>8297796.5262914905</v>
      </c>
      <c r="P7">
        <v>8975124.5361044426</v>
      </c>
      <c r="Q7">
        <v>9707741.107335303</v>
      </c>
      <c r="R7">
        <v>10500159.304524997</v>
      </c>
      <c r="S7">
        <v>11357260.582185687</v>
      </c>
      <c r="T7">
        <v>12284324.855536453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7"/>
  <sheetViews>
    <sheetView workbookViewId="0">
      <selection activeCell="R16" sqref="R16"/>
    </sheetView>
  </sheetViews>
  <sheetFormatPr defaultColWidth="11" defaultRowHeight="15.75"/>
  <sheetData>
    <row r="1" spans="1:20">
      <c r="B1">
        <v>2010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  <c r="K1">
        <v>2055</v>
      </c>
      <c r="L1">
        <v>2060</v>
      </c>
      <c r="M1">
        <v>2065</v>
      </c>
      <c r="N1">
        <v>2070</v>
      </c>
      <c r="O1">
        <v>2075</v>
      </c>
      <c r="P1">
        <v>2080</v>
      </c>
      <c r="Q1">
        <v>2085</v>
      </c>
      <c r="R1">
        <v>2090</v>
      </c>
      <c r="S1">
        <v>2095</v>
      </c>
      <c r="T1">
        <v>2100</v>
      </c>
    </row>
    <row r="2" spans="1:20">
      <c r="A2" t="s">
        <v>102</v>
      </c>
      <c r="B2">
        <v>1973780.7288005336</v>
      </c>
      <c r="C2">
        <v>2191753.8868621374</v>
      </c>
      <c r="D2">
        <v>2433798.7652227944</v>
      </c>
      <c r="E2">
        <v>2661957.2730757971</v>
      </c>
      <c r="F2">
        <v>2916385.9345354983</v>
      </c>
      <c r="G2">
        <v>3162674.0906776888</v>
      </c>
      <c r="H2">
        <v>3421691.0549166398</v>
      </c>
      <c r="I2">
        <v>3726326.3818979822</v>
      </c>
      <c r="J2">
        <v>4038809.0370714362</v>
      </c>
      <c r="K2">
        <v>4316175.003729647</v>
      </c>
      <c r="L2">
        <v>4623237.8837922607</v>
      </c>
      <c r="M2">
        <v>4929857.4337978708</v>
      </c>
      <c r="N2">
        <v>5249835.0368108014</v>
      </c>
      <c r="O2">
        <v>5590581.1240658881</v>
      </c>
      <c r="P2">
        <v>5953443.6959658284</v>
      </c>
      <c r="Q2">
        <v>6339858.2463030461</v>
      </c>
      <c r="R2">
        <v>6751353.4411105365</v>
      </c>
      <c r="S2">
        <v>7189557.1661045495</v>
      </c>
      <c r="T2">
        <v>7656202.966642906</v>
      </c>
    </row>
    <row r="3" spans="1:20">
      <c r="A3" t="s">
        <v>1</v>
      </c>
      <c r="B3">
        <v>975221.80131526641</v>
      </c>
      <c r="C3">
        <v>1117342.8231465509</v>
      </c>
      <c r="D3">
        <v>1280175.4254809858</v>
      </c>
      <c r="E3">
        <v>1440597.8003590656</v>
      </c>
      <c r="F3">
        <v>1620793.1785101814</v>
      </c>
      <c r="G3">
        <v>1799383.3644485464</v>
      </c>
      <c r="H3">
        <v>1987711.2880150157</v>
      </c>
      <c r="I3">
        <v>2206298.7154230247</v>
      </c>
      <c r="J3">
        <v>2432611.0278686932</v>
      </c>
      <c r="K3">
        <v>2640573.3157255864</v>
      </c>
      <c r="L3">
        <v>2870030.638705364</v>
      </c>
      <c r="M3">
        <v>3100097.6017398462</v>
      </c>
      <c r="N3">
        <v>3340622.4315364524</v>
      </c>
      <c r="O3">
        <v>3599808.6717725936</v>
      </c>
      <c r="P3">
        <v>3879104.1905951356</v>
      </c>
      <c r="Q3">
        <v>4180069.1907559573</v>
      </c>
      <c r="R3">
        <v>4504384.9252284318</v>
      </c>
      <c r="S3">
        <v>4853863.0890355734</v>
      </c>
      <c r="T3">
        <v>5230455.9397545615</v>
      </c>
    </row>
    <row r="4" spans="1:20">
      <c r="A4" t="s">
        <v>2</v>
      </c>
      <c r="B4">
        <v>2350247.9156124513</v>
      </c>
      <c r="C4">
        <v>2583919.6224420597</v>
      </c>
      <c r="D4">
        <v>2840823.9704794073</v>
      </c>
      <c r="E4">
        <v>3081453.9184572031</v>
      </c>
      <c r="F4">
        <v>3354212.8879965595</v>
      </c>
      <c r="G4">
        <v>3617056.0515212896</v>
      </c>
      <c r="H4">
        <v>3894410.7069083559</v>
      </c>
      <c r="I4">
        <v>4223568.2379289735</v>
      </c>
      <c r="J4">
        <v>4563132.2809173614</v>
      </c>
      <c r="K4">
        <v>4865848.8766701296</v>
      </c>
      <c r="L4">
        <v>5203778.276962271</v>
      </c>
      <c r="M4">
        <v>5542464.928926249</v>
      </c>
      <c r="N4">
        <v>5894238.8980935747</v>
      </c>
      <c r="O4">
        <v>6268339.5625076154</v>
      </c>
      <c r="P4">
        <v>6666183.9722184883</v>
      </c>
      <c r="Q4">
        <v>7089279.1158374147</v>
      </c>
      <c r="R4">
        <v>7539227.6288352758</v>
      </c>
      <c r="S4">
        <v>8017733.8641404305</v>
      </c>
      <c r="T4">
        <v>8526610.3480304908</v>
      </c>
    </row>
    <row r="5" spans="1:20">
      <c r="A5" t="s">
        <v>103</v>
      </c>
      <c r="B5">
        <v>2965766.0181640531</v>
      </c>
      <c r="C5">
        <v>3218588.1174096595</v>
      </c>
      <c r="D5">
        <v>3492962.4947093939</v>
      </c>
      <c r="E5">
        <v>3748411.6688796766</v>
      </c>
      <c r="F5">
        <v>4035834.221297456</v>
      </c>
      <c r="G5">
        <v>4311470.5458782315</v>
      </c>
      <c r="H5">
        <v>4602710.0409423811</v>
      </c>
      <c r="I5">
        <v>4946305.6539291227</v>
      </c>
      <c r="J5">
        <v>5300128.7864731178</v>
      </c>
      <c r="K5">
        <v>5608333.730611816</v>
      </c>
      <c r="L5">
        <v>5946689.4763698038</v>
      </c>
      <c r="M5">
        <v>6285686.3100871556</v>
      </c>
      <c r="N5">
        <v>6628575.2581953071</v>
      </c>
      <c r="O5">
        <v>6990169.05807852</v>
      </c>
      <c r="P5">
        <v>7371488.0735655427</v>
      </c>
      <c r="Q5">
        <v>7773608.3301046602</v>
      </c>
      <c r="R5">
        <v>8197664.5511471955</v>
      </c>
      <c r="S5">
        <v>8644853.3601680137</v>
      </c>
      <c r="T5">
        <v>9116436.6573586948</v>
      </c>
    </row>
    <row r="6" spans="1:20">
      <c r="A6" t="s">
        <v>3</v>
      </c>
      <c r="B6">
        <v>1741823.4783444153</v>
      </c>
      <c r="C6">
        <v>1981666.999868016</v>
      </c>
      <c r="D6">
        <v>2254536.2071353397</v>
      </c>
      <c r="E6">
        <v>2523209.0139144212</v>
      </c>
      <c r="F6">
        <v>2827526.8396504158</v>
      </c>
      <c r="G6">
        <v>3129755.3616141481</v>
      </c>
      <c r="H6">
        <v>3449759.8405291457</v>
      </c>
      <c r="I6">
        <v>3822751.5044798381</v>
      </c>
      <c r="J6">
        <v>4210027.6477315361</v>
      </c>
      <c r="K6">
        <v>4566437.1988984719</v>
      </c>
      <c r="L6">
        <v>4960518.4439251842</v>
      </c>
      <c r="M6">
        <v>5356894.3641171316</v>
      </c>
      <c r="N6">
        <v>5770532.3749135872</v>
      </c>
      <c r="O6">
        <v>6216109.8626431189</v>
      </c>
      <c r="P6">
        <v>6696093.066287959</v>
      </c>
      <c r="Q6">
        <v>7213138.6579651749</v>
      </c>
      <c r="R6">
        <v>7770108.4474135907</v>
      </c>
      <c r="S6">
        <v>8370085.2219025148</v>
      </c>
      <c r="T6">
        <v>9016389.8092350233</v>
      </c>
    </row>
    <row r="7" spans="1:20">
      <c r="A7" t="s">
        <v>104</v>
      </c>
      <c r="B7">
        <v>2124886.8841588218</v>
      </c>
      <c r="C7">
        <v>2427435.9888804918</v>
      </c>
      <c r="D7">
        <v>2773063.1329322984</v>
      </c>
      <c r="E7">
        <v>3112163.395560116</v>
      </c>
      <c r="F7">
        <v>3492278.2027298776</v>
      </c>
      <c r="G7">
        <v>3868698.9752901015</v>
      </c>
      <c r="H7">
        <v>4265909.4639907861</v>
      </c>
      <c r="I7">
        <v>4726112.6578607578</v>
      </c>
      <c r="J7">
        <v>5203359.7079660008</v>
      </c>
      <c r="K7">
        <v>5641963.1675535263</v>
      </c>
      <c r="L7">
        <v>6125001.6291606985</v>
      </c>
      <c r="M7">
        <v>6610789.0892277146</v>
      </c>
      <c r="N7">
        <v>7114927.4931398686</v>
      </c>
      <c r="O7">
        <v>7657511.4633631986</v>
      </c>
      <c r="P7">
        <v>8241472.8566210093</v>
      </c>
      <c r="Q7">
        <v>8869967.1128653344</v>
      </c>
      <c r="R7">
        <v>9546390.3057213649</v>
      </c>
      <c r="S7">
        <v>10274397.493197842</v>
      </c>
      <c r="T7">
        <v>11057922.467821546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7"/>
  <sheetViews>
    <sheetView workbookViewId="0">
      <selection activeCell="L50" sqref="L50"/>
    </sheetView>
  </sheetViews>
  <sheetFormatPr defaultColWidth="11" defaultRowHeight="15.75"/>
  <sheetData>
    <row r="1" spans="1:20">
      <c r="B1">
        <v>2010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  <c r="K1">
        <v>2055</v>
      </c>
      <c r="L1">
        <v>2060</v>
      </c>
      <c r="M1">
        <v>2065</v>
      </c>
      <c r="N1">
        <v>2070</v>
      </c>
      <c r="O1">
        <v>2075</v>
      </c>
      <c r="P1">
        <v>2080</v>
      </c>
      <c r="Q1">
        <v>2085</v>
      </c>
      <c r="R1">
        <v>2090</v>
      </c>
      <c r="S1">
        <v>2095</v>
      </c>
      <c r="T1">
        <v>2100</v>
      </c>
    </row>
    <row r="2" spans="1:20">
      <c r="A2" t="s">
        <v>102</v>
      </c>
      <c r="B2">
        <v>1985369.9993563732</v>
      </c>
      <c r="C2">
        <v>2116898.9629154126</v>
      </c>
      <c r="D2">
        <v>2257141.6011348548</v>
      </c>
      <c r="E2">
        <v>2407401.8724201163</v>
      </c>
      <c r="F2">
        <v>2559830.3877965268</v>
      </c>
      <c r="G2">
        <v>2669101.8238831731</v>
      </c>
      <c r="H2">
        <v>2798476.4665248664</v>
      </c>
      <c r="I2">
        <v>2900284.5515274638</v>
      </c>
      <c r="J2">
        <v>3036737.4119561985</v>
      </c>
      <c r="K2">
        <v>3173681.5588263217</v>
      </c>
      <c r="L2">
        <v>3282380.4925039602</v>
      </c>
      <c r="M2">
        <v>3382486.9334384743</v>
      </c>
      <c r="N2">
        <v>3490419.3479121579</v>
      </c>
      <c r="O2">
        <v>3601795.798186529</v>
      </c>
      <c r="P2">
        <v>3716726.1806504908</v>
      </c>
      <c r="Q2">
        <v>3835323.8983975821</v>
      </c>
      <c r="R2">
        <v>3957705.9731220701</v>
      </c>
      <c r="S2">
        <v>4083993.1605855701</v>
      </c>
      <c r="T2">
        <v>4214310.0697681038</v>
      </c>
    </row>
    <row r="3" spans="1:20">
      <c r="A3" t="s">
        <v>1</v>
      </c>
      <c r="B3">
        <v>981440.85686086258</v>
      </c>
      <c r="C3">
        <v>1077519.2493830889</v>
      </c>
      <c r="D3">
        <v>1183003.2596204574</v>
      </c>
      <c r="E3">
        <v>1294504.374116597</v>
      </c>
      <c r="F3">
        <v>1408888.7678076639</v>
      </c>
      <c r="G3">
        <v>1499844.2666609585</v>
      </c>
      <c r="H3">
        <v>1601284.3804926963</v>
      </c>
      <c r="I3">
        <v>1684435.0289603497</v>
      </c>
      <c r="J3">
        <v>1787289.4193810138</v>
      </c>
      <c r="K3">
        <v>1888981.5477891448</v>
      </c>
      <c r="L3">
        <v>1974357.0236755074</v>
      </c>
      <c r="M3">
        <v>2053006.4635681629</v>
      </c>
      <c r="N3">
        <v>2134704.4377436358</v>
      </c>
      <c r="O3">
        <v>2219653.5263714115</v>
      </c>
      <c r="P3">
        <v>2307983.1053055245</v>
      </c>
      <c r="Q3">
        <v>2399827.6988227619</v>
      </c>
      <c r="R3">
        <v>2495327.1845005858</v>
      </c>
      <c r="S3">
        <v>2594627.0062480373</v>
      </c>
      <c r="T3">
        <v>2697878.3958140588</v>
      </c>
    </row>
    <row r="4" spans="1:20">
      <c r="A4" t="s">
        <v>2</v>
      </c>
      <c r="B4">
        <v>2363739.1422912544</v>
      </c>
      <c r="C4">
        <v>2493528.4752626959</v>
      </c>
      <c r="D4">
        <v>2630444.3437522845</v>
      </c>
      <c r="E4">
        <v>2778211.752542573</v>
      </c>
      <c r="F4">
        <v>2929316.0522722718</v>
      </c>
      <c r="G4">
        <v>3032099.3639051211</v>
      </c>
      <c r="H4">
        <v>3157065.8045051228</v>
      </c>
      <c r="I4">
        <v>3248211.3571606446</v>
      </c>
      <c r="J4">
        <v>3377299.1986696599</v>
      </c>
      <c r="K4">
        <v>3506049.6611229763</v>
      </c>
      <c r="L4">
        <v>3603841.105217753</v>
      </c>
      <c r="M4">
        <v>3693775.3554191254</v>
      </c>
      <c r="N4">
        <v>3791412.8650090452</v>
      </c>
      <c r="O4">
        <v>3891631.225452533</v>
      </c>
      <c r="P4">
        <v>3994498.6563422056</v>
      </c>
      <c r="Q4">
        <v>4100085.180518168</v>
      </c>
      <c r="R4">
        <v>4208462.6717332248</v>
      </c>
      <c r="S4">
        <v>4319704.9035780327</v>
      </c>
      <c r="T4">
        <v>4433887.5996994833</v>
      </c>
    </row>
    <row r="5" spans="1:20">
      <c r="A5" t="s">
        <v>103</v>
      </c>
      <c r="B5">
        <v>2979656.7831327072</v>
      </c>
      <c r="C5">
        <v>3114300.6706880024</v>
      </c>
      <c r="D5">
        <v>3255028.8081336301</v>
      </c>
      <c r="E5">
        <v>3412319.7008802686</v>
      </c>
      <c r="F5">
        <v>3570396.3470755722</v>
      </c>
      <c r="G5">
        <v>3668977.6303330683</v>
      </c>
      <c r="H5">
        <v>3792522.1890636291</v>
      </c>
      <c r="I5">
        <v>3877994.8033083766</v>
      </c>
      <c r="J5">
        <v>4003733.6266383152</v>
      </c>
      <c r="K5">
        <v>4131120.8972576219</v>
      </c>
      <c r="L5">
        <v>4215734.4663434178</v>
      </c>
      <c r="M5">
        <v>4294555.6932523083</v>
      </c>
      <c r="N5">
        <v>4383462.8295735084</v>
      </c>
      <c r="O5">
        <v>4474210.5471919207</v>
      </c>
      <c r="P5">
        <v>4566836.9503548732</v>
      </c>
      <c r="Q5">
        <v>4661380.932154865</v>
      </c>
      <c r="R5">
        <v>4757882.1908604614</v>
      </c>
      <c r="S5">
        <v>4856381.2465852909</v>
      </c>
      <c r="T5">
        <v>4956919.4583021104</v>
      </c>
    </row>
    <row r="6" spans="1:20">
      <c r="A6" t="s">
        <v>3</v>
      </c>
      <c r="B6">
        <v>1752796.1856791896</v>
      </c>
      <c r="C6">
        <v>1910724.6317764933</v>
      </c>
      <c r="D6">
        <v>2082882.5668985257</v>
      </c>
      <c r="E6">
        <v>2266755.3671105057</v>
      </c>
      <c r="F6">
        <v>2457267.1047740811</v>
      </c>
      <c r="G6">
        <v>2608235.1873712111</v>
      </c>
      <c r="H6">
        <v>2778596.3539645737</v>
      </c>
      <c r="I6">
        <v>2917845.1911430284</v>
      </c>
      <c r="J6">
        <v>3091658.3655916341</v>
      </c>
      <c r="K6">
        <v>3264082.0957440818</v>
      </c>
      <c r="L6">
        <v>3407927.0886370372</v>
      </c>
      <c r="M6">
        <v>3541307.163411737</v>
      </c>
      <c r="N6">
        <v>3680225.3638001345</v>
      </c>
      <c r="O6">
        <v>3824593.0396247595</v>
      </c>
      <c r="P6">
        <v>3974623.9626048477</v>
      </c>
      <c r="Q6">
        <v>4130540.2902847431</v>
      </c>
      <c r="R6">
        <v>4292572.8949925788</v>
      </c>
      <c r="S6">
        <v>4460961.7057033349</v>
      </c>
      <c r="T6">
        <v>4635956.0633124681</v>
      </c>
    </row>
    <row r="7" spans="1:20">
      <c r="A7" t="s">
        <v>104</v>
      </c>
      <c r="B7">
        <v>2137327.3191353609</v>
      </c>
      <c r="C7">
        <v>2341872.8005791837</v>
      </c>
      <c r="D7">
        <v>2565993.5962972897</v>
      </c>
      <c r="E7">
        <v>2802633.0296689919</v>
      </c>
      <c r="F7">
        <v>3044508.1429605051</v>
      </c>
      <c r="G7">
        <v>3235727.5973597351</v>
      </c>
      <c r="H7">
        <v>3449220.9753537308</v>
      </c>
      <c r="I7">
        <v>3623032.9522808027</v>
      </c>
      <c r="J7">
        <v>3837508.2577969246</v>
      </c>
      <c r="K7">
        <v>4049610.0248156576</v>
      </c>
      <c r="L7">
        <v>4224181.7055343101</v>
      </c>
      <c r="M7">
        <v>4386186.1721509285</v>
      </c>
      <c r="N7">
        <v>4554293.472861086</v>
      </c>
      <c r="O7">
        <v>4728843.7432590062</v>
      </c>
      <c r="P7">
        <v>4910083.9200227642</v>
      </c>
      <c r="Q7">
        <v>5098270.4040567055</v>
      </c>
      <c r="R7">
        <v>5293669.4232224077</v>
      </c>
      <c r="S7">
        <v>5496557.4089718629</v>
      </c>
      <c r="T7">
        <v>5707221.3874157034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7"/>
  <sheetViews>
    <sheetView workbookViewId="0">
      <selection activeCell="L50" sqref="L50"/>
    </sheetView>
  </sheetViews>
  <sheetFormatPr defaultColWidth="11" defaultRowHeight="15.75"/>
  <sheetData>
    <row r="1" spans="1:20">
      <c r="B1">
        <v>2010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  <c r="K1">
        <v>2055</v>
      </c>
      <c r="L1">
        <v>2060</v>
      </c>
      <c r="M1">
        <v>2065</v>
      </c>
      <c r="N1">
        <v>2070</v>
      </c>
      <c r="O1">
        <v>2075</v>
      </c>
      <c r="P1">
        <v>2080</v>
      </c>
      <c r="Q1">
        <v>2085</v>
      </c>
      <c r="R1">
        <v>2090</v>
      </c>
      <c r="S1">
        <v>2095</v>
      </c>
      <c r="T1">
        <v>2100</v>
      </c>
    </row>
    <row r="2" spans="1:20">
      <c r="A2" t="s">
        <v>102</v>
      </c>
      <c r="B2">
        <v>1973780.7288005336</v>
      </c>
      <c r="C2">
        <v>2191753.8868621374</v>
      </c>
      <c r="D2">
        <v>2433798.7652227944</v>
      </c>
      <c r="E2">
        <v>2661957.2730757971</v>
      </c>
      <c r="F2">
        <v>2853486.9637385309</v>
      </c>
      <c r="G2">
        <v>3070154.6819672599</v>
      </c>
      <c r="H2">
        <v>3299749.0293768379</v>
      </c>
      <c r="I2">
        <v>3554084.030508575</v>
      </c>
      <c r="J2">
        <v>3792760.4018042916</v>
      </c>
      <c r="K2">
        <v>4041510.1518180543</v>
      </c>
      <c r="L2">
        <v>4279675.0699897306</v>
      </c>
      <c r="M2">
        <v>4552977.0114797559</v>
      </c>
      <c r="N2">
        <v>4797781.0934217265</v>
      </c>
      <c r="O2">
        <v>5055747.7804865306</v>
      </c>
      <c r="P2">
        <v>5327584.7985104602</v>
      </c>
      <c r="Q2">
        <v>5614037.9262725674</v>
      </c>
      <c r="R2">
        <v>5915893.0415220698</v>
      </c>
      <c r="S2">
        <v>6233978.2770163761</v>
      </c>
      <c r="T2">
        <v>6569166.2924847836</v>
      </c>
    </row>
    <row r="3" spans="1:20">
      <c r="A3" t="s">
        <v>1</v>
      </c>
      <c r="B3">
        <v>975221.80131526641</v>
      </c>
      <c r="C3">
        <v>1117342.8231465509</v>
      </c>
      <c r="D3">
        <v>1280175.4254809858</v>
      </c>
      <c r="E3">
        <v>1440597.8003590656</v>
      </c>
      <c r="F3">
        <v>1585158.0038541295</v>
      </c>
      <c r="G3">
        <v>1745883.6474870904</v>
      </c>
      <c r="H3">
        <v>1914216.7198454344</v>
      </c>
      <c r="I3">
        <v>2099126.0164435934</v>
      </c>
      <c r="J3">
        <v>2275974.3550421144</v>
      </c>
      <c r="K3">
        <v>2459822.7732850201</v>
      </c>
      <c r="L3">
        <v>2638098.4619886451</v>
      </c>
      <c r="M3">
        <v>2840274.8128541415</v>
      </c>
      <c r="N3">
        <v>3024760.5501206964</v>
      </c>
      <c r="O3">
        <v>3221229.2782938895</v>
      </c>
      <c r="P3">
        <v>3430459.334350856</v>
      </c>
      <c r="Q3">
        <v>3653279.6109651085</v>
      </c>
      <c r="R3">
        <v>3890572.8402750231</v>
      </c>
      <c r="S3">
        <v>4143279.0909445183</v>
      </c>
      <c r="T3">
        <v>4412399.4923700038</v>
      </c>
    </row>
    <row r="4" spans="1:20">
      <c r="A4" t="s">
        <v>2</v>
      </c>
      <c r="B4">
        <v>2350247.9156124513</v>
      </c>
      <c r="C4">
        <v>2583919.6224420597</v>
      </c>
      <c r="D4">
        <v>2840823.9704794073</v>
      </c>
      <c r="E4">
        <v>3081453.9184572031</v>
      </c>
      <c r="F4">
        <v>3281621.9363651285</v>
      </c>
      <c r="G4">
        <v>3510745.024508642</v>
      </c>
      <c r="H4">
        <v>3751181.5988901663</v>
      </c>
      <c r="I4">
        <v>4018263.0073687988</v>
      </c>
      <c r="J4">
        <v>4268055.4843174685</v>
      </c>
      <c r="K4">
        <v>4529742.5002095466</v>
      </c>
      <c r="L4">
        <v>4780589.9884704407</v>
      </c>
      <c r="M4">
        <v>5070809.7096806606</v>
      </c>
      <c r="N4">
        <v>5330642.331216719</v>
      </c>
      <c r="O4">
        <v>5603788.9982562819</v>
      </c>
      <c r="P4">
        <v>5890931.9338651877</v>
      </c>
      <c r="Q4">
        <v>6192788.3188019972</v>
      </c>
      <c r="R4">
        <v>6510112.0827800259</v>
      </c>
      <c r="S4">
        <v>6843695.7875151876</v>
      </c>
      <c r="T4">
        <v>7194372.6062628059</v>
      </c>
    </row>
    <row r="5" spans="1:20">
      <c r="A5" t="s">
        <v>103</v>
      </c>
      <c r="B5">
        <v>2965766.0181640531</v>
      </c>
      <c r="C5">
        <v>3218588.1174096595</v>
      </c>
      <c r="D5">
        <v>3492962.4947093939</v>
      </c>
      <c r="E5">
        <v>3748411.6688796766</v>
      </c>
      <c r="F5">
        <v>3952095.9769090023</v>
      </c>
      <c r="G5">
        <v>4187309.1450648019</v>
      </c>
      <c r="H5">
        <v>4435891.2917118361</v>
      </c>
      <c r="I5">
        <v>4708514.4399326602</v>
      </c>
      <c r="J5">
        <v>4960607.3042922029</v>
      </c>
      <c r="K5">
        <v>5225031.8861786108</v>
      </c>
      <c r="L5">
        <v>5475151.1590340026</v>
      </c>
      <c r="M5">
        <v>5760520.8423411539</v>
      </c>
      <c r="N5">
        <v>6012241.306063246</v>
      </c>
      <c r="O5">
        <v>6274961.3293027226</v>
      </c>
      <c r="P5">
        <v>6549161.5655105878</v>
      </c>
      <c r="Q5">
        <v>6835343.6715007173</v>
      </c>
      <c r="R5">
        <v>7134031.225244686</v>
      </c>
      <c r="S5">
        <v>7445770.6837719548</v>
      </c>
      <c r="T5">
        <v>7771132.3829279132</v>
      </c>
    </row>
    <row r="6" spans="1:20">
      <c r="A6" t="s">
        <v>3</v>
      </c>
      <c r="B6">
        <v>1741823.4783444153</v>
      </c>
      <c r="C6">
        <v>1981666.999868016</v>
      </c>
      <c r="D6">
        <v>2254536.2071353397</v>
      </c>
      <c r="E6">
        <v>2523209.0139144212</v>
      </c>
      <c r="F6">
        <v>2765274.4113423061</v>
      </c>
      <c r="G6">
        <v>3036674.3378373673</v>
      </c>
      <c r="H6">
        <v>3321848.402934901</v>
      </c>
      <c r="I6">
        <v>3636005.1410824182</v>
      </c>
      <c r="J6">
        <v>3936921.2671663146</v>
      </c>
      <c r="K6">
        <v>4250734.3369043302</v>
      </c>
      <c r="L6">
        <v>4555589.2632460734</v>
      </c>
      <c r="M6">
        <v>4901548.8996564727</v>
      </c>
      <c r="N6">
        <v>5217892.6918361885</v>
      </c>
      <c r="O6">
        <v>5554653.1720668292</v>
      </c>
      <c r="P6">
        <v>5913148.0243405383</v>
      </c>
      <c r="Q6">
        <v>6294779.9753899258</v>
      </c>
      <c r="R6">
        <v>6701042.2833088264</v>
      </c>
      <c r="S6">
        <v>7133524.5804061992</v>
      </c>
      <c r="T6">
        <v>7593919.0931552351</v>
      </c>
    </row>
    <row r="7" spans="1:20">
      <c r="A7" t="s">
        <v>104</v>
      </c>
      <c r="B7">
        <v>2124886.8841588218</v>
      </c>
      <c r="C7">
        <v>2427435.9888804918</v>
      </c>
      <c r="D7">
        <v>2773063.1329322984</v>
      </c>
      <c r="E7">
        <v>3112163.395560116</v>
      </c>
      <c r="F7">
        <v>3416233.7895307993</v>
      </c>
      <c r="G7">
        <v>3754606.7055277759</v>
      </c>
      <c r="H7">
        <v>4108479.1425972725</v>
      </c>
      <c r="I7">
        <v>4495599.2862814739</v>
      </c>
      <c r="J7">
        <v>4865803.9623024119</v>
      </c>
      <c r="K7">
        <v>5251122.8833452025</v>
      </c>
      <c r="L7">
        <v>5624584.18285859</v>
      </c>
      <c r="M7">
        <v>6046260.8625537902</v>
      </c>
      <c r="N7">
        <v>6431498.5885851849</v>
      </c>
      <c r="O7">
        <v>6841281.7500404753</v>
      </c>
      <c r="P7">
        <v>7277174.2602112154</v>
      </c>
      <c r="Q7">
        <v>7740839.6771799875</v>
      </c>
      <c r="R7">
        <v>8234047.552691807</v>
      </c>
      <c r="S7">
        <v>8758680.1855440978</v>
      </c>
      <c r="T7">
        <v>9316739.8052691519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7"/>
  <sheetViews>
    <sheetView workbookViewId="0">
      <selection activeCell="R39" sqref="R39"/>
    </sheetView>
  </sheetViews>
  <sheetFormatPr defaultColWidth="11" defaultRowHeight="15.75"/>
  <sheetData>
    <row r="1" spans="1:20">
      <c r="B1">
        <v>2010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  <c r="K1">
        <v>2055</v>
      </c>
      <c r="L1">
        <v>2060</v>
      </c>
      <c r="M1">
        <v>2065</v>
      </c>
      <c r="N1">
        <v>2070</v>
      </c>
      <c r="O1">
        <v>2075</v>
      </c>
      <c r="P1">
        <v>2080</v>
      </c>
      <c r="Q1">
        <v>2085</v>
      </c>
      <c r="R1">
        <v>2090</v>
      </c>
      <c r="S1">
        <v>2095</v>
      </c>
      <c r="T1">
        <v>2100</v>
      </c>
    </row>
    <row r="2" spans="1:20">
      <c r="A2" t="s">
        <v>102</v>
      </c>
      <c r="B2">
        <v>1977600.7364376881</v>
      </c>
      <c r="C2">
        <v>2254263.4528622013</v>
      </c>
      <c r="D2">
        <v>2569630.7759593781</v>
      </c>
      <c r="E2">
        <v>2900774.8575000623</v>
      </c>
      <c r="F2">
        <v>3248292.8597856294</v>
      </c>
      <c r="G2">
        <v>3684758.4434782071</v>
      </c>
      <c r="H2">
        <v>4183126.1679643351</v>
      </c>
      <c r="I2">
        <v>4807053.6524196565</v>
      </c>
      <c r="J2">
        <v>5523595.6227168031</v>
      </c>
      <c r="K2">
        <v>6343728.8677510712</v>
      </c>
      <c r="L2">
        <v>7156576.6014096569</v>
      </c>
      <c r="M2">
        <v>7981548.9169065766</v>
      </c>
      <c r="N2">
        <v>8983109.3625484966</v>
      </c>
      <c r="O2">
        <v>10110350.09114272</v>
      </c>
      <c r="P2">
        <v>11379042.026542814</v>
      </c>
      <c r="Q2">
        <v>12806935.09864334</v>
      </c>
      <c r="R2">
        <v>14414006.577906508</v>
      </c>
      <c r="S2">
        <v>16222740.572015611</v>
      </c>
      <c r="T2">
        <v>18258442.595018249</v>
      </c>
    </row>
    <row r="3" spans="1:20">
      <c r="A3" t="s">
        <v>1</v>
      </c>
      <c r="B3">
        <v>976796.21848270181</v>
      </c>
      <c r="C3">
        <v>1150079.8733336912</v>
      </c>
      <c r="D3">
        <v>1354104.0495650347</v>
      </c>
      <c r="E3">
        <v>1576148.887700062</v>
      </c>
      <c r="F3">
        <v>1815825.0387148829</v>
      </c>
      <c r="G3">
        <v>2116902.2398548806</v>
      </c>
      <c r="H3">
        <v>2464833.4646023544</v>
      </c>
      <c r="I3">
        <v>2900061.9056876851</v>
      </c>
      <c r="J3">
        <v>3404827.1876133438</v>
      </c>
      <c r="K3">
        <v>3988644.6539167138</v>
      </c>
      <c r="L3">
        <v>4582013.4546549218</v>
      </c>
      <c r="M3">
        <v>5196991.5680556372</v>
      </c>
      <c r="N3">
        <v>5942121.0306997187</v>
      </c>
      <c r="O3">
        <v>6794084.9780316362</v>
      </c>
      <c r="P3">
        <v>7768201.0262385355</v>
      </c>
      <c r="Q3">
        <v>8881982.9865502231</v>
      </c>
      <c r="R3">
        <v>10155455.74926593</v>
      </c>
      <c r="S3">
        <v>11611515.314932566</v>
      </c>
      <c r="T3">
        <v>13276340.445741126</v>
      </c>
    </row>
    <row r="4" spans="1:20">
      <c r="A4" t="s">
        <v>2</v>
      </c>
      <c r="B4">
        <v>2354858.1113306382</v>
      </c>
      <c r="C4">
        <v>2658729.3291566079</v>
      </c>
      <c r="D4">
        <v>3001812.131145014</v>
      </c>
      <c r="E4">
        <v>3365582.0899508661</v>
      </c>
      <c r="F4">
        <v>3751136.8966027861</v>
      </c>
      <c r="G4">
        <v>4242832.6972237807</v>
      </c>
      <c r="H4">
        <v>4807429.1526495451</v>
      </c>
      <c r="I4">
        <v>5516051.5041244254</v>
      </c>
      <c r="J4">
        <v>6331089.1038410673</v>
      </c>
      <c r="K4">
        <v>7266230.4528902126</v>
      </c>
      <c r="L4">
        <v>8202333.3405339196</v>
      </c>
      <c r="M4">
        <v>9163820.2566506993</v>
      </c>
      <c r="N4">
        <v>10331207.427922793</v>
      </c>
      <c r="O4">
        <v>11647309.083927562</v>
      </c>
      <c r="P4">
        <v>13131070.09446789</v>
      </c>
      <c r="Q4">
        <v>14803848.733074566</v>
      </c>
      <c r="R4">
        <v>16689724.122642744</v>
      </c>
      <c r="S4">
        <v>18815842.846840043</v>
      </c>
      <c r="T4">
        <v>21212809.716648664</v>
      </c>
    </row>
    <row r="5" spans="1:20">
      <c r="A5" t="s">
        <v>103</v>
      </c>
      <c r="B5">
        <v>2973175.6717183618</v>
      </c>
      <c r="C5">
        <v>3307452.9691185369</v>
      </c>
      <c r="D5">
        <v>3679313.4179685507</v>
      </c>
      <c r="E5">
        <v>4073464.3445999725</v>
      </c>
      <c r="F5">
        <v>4490324.4209132874</v>
      </c>
      <c r="G5">
        <v>5013731.2753993841</v>
      </c>
      <c r="H5">
        <v>5606943.7732155863</v>
      </c>
      <c r="I5">
        <v>6342070.1342450082</v>
      </c>
      <c r="J5">
        <v>7178830.6016450487</v>
      </c>
      <c r="K5">
        <v>8127842.3483724901</v>
      </c>
      <c r="L5">
        <v>9069662.7023668922</v>
      </c>
      <c r="M5">
        <v>10027899.858200995</v>
      </c>
      <c r="N5">
        <v>11178678.00798863</v>
      </c>
      <c r="O5">
        <v>12461516.745611675</v>
      </c>
      <c r="P5">
        <v>13891571.032834614</v>
      </c>
      <c r="Q5">
        <v>15485734.979110479</v>
      </c>
      <c r="R5">
        <v>17262841.42207006</v>
      </c>
      <c r="S5">
        <v>19243884.411397539</v>
      </c>
      <c r="T5">
        <v>21452267.224431336</v>
      </c>
    </row>
    <row r="6" spans="1:20">
      <c r="A6" t="s">
        <v>3</v>
      </c>
      <c r="B6">
        <v>1744720.2332266732</v>
      </c>
      <c r="C6">
        <v>2039904.5449393622</v>
      </c>
      <c r="D6">
        <v>2385030.2605642127</v>
      </c>
      <c r="E6">
        <v>2761207.4250224982</v>
      </c>
      <c r="F6">
        <v>3168715.7974113617</v>
      </c>
      <c r="G6">
        <v>3683614.6823441843</v>
      </c>
      <c r="H6">
        <v>4279839.0724598253</v>
      </c>
      <c r="I6">
        <v>5026695.3208374577</v>
      </c>
      <c r="J6">
        <v>5893066.5260969829</v>
      </c>
      <c r="K6">
        <v>6895119.9948946731</v>
      </c>
      <c r="L6">
        <v>7914820.1345939748</v>
      </c>
      <c r="M6">
        <v>8973574.9732789844</v>
      </c>
      <c r="N6">
        <v>10256292.045352845</v>
      </c>
      <c r="O6">
        <v>11722365.59373511</v>
      </c>
      <c r="P6">
        <v>13398005.293291871</v>
      </c>
      <c r="Q6">
        <v>15313167.329895619</v>
      </c>
      <c r="R6">
        <v>17502089.941014491</v>
      </c>
      <c r="S6">
        <v>20003905.508518245</v>
      </c>
      <c r="T6">
        <v>22863340.146367226</v>
      </c>
    </row>
    <row r="7" spans="1:20">
      <c r="A7" t="s">
        <v>104</v>
      </c>
      <c r="B7">
        <v>2128979.0920549072</v>
      </c>
      <c r="C7">
        <v>2498063.4705096269</v>
      </c>
      <c r="D7">
        <v>2931133.1078744386</v>
      </c>
      <c r="E7">
        <v>3401348.7045669369</v>
      </c>
      <c r="F7">
        <v>3908710.6028256118</v>
      </c>
      <c r="G7">
        <v>4544339.8171571437</v>
      </c>
      <c r="H7">
        <v>5277292.2228328213</v>
      </c>
      <c r="I7">
        <v>6190943.3196860198</v>
      </c>
      <c r="J7">
        <v>7248082.9850477399</v>
      </c>
      <c r="K7">
        <v>8467883.1554442942</v>
      </c>
      <c r="L7">
        <v>9709633.3564976454</v>
      </c>
      <c r="M7">
        <v>10998987.198046248</v>
      </c>
      <c r="N7">
        <v>12556737.941207202</v>
      </c>
      <c r="O7">
        <v>14335107.849944556</v>
      </c>
      <c r="P7">
        <v>16365342.498322919</v>
      </c>
      <c r="Q7">
        <v>18683112.669323243</v>
      </c>
      <c r="R7">
        <v>21329141.082772784</v>
      </c>
      <c r="S7">
        <v>24349917.884711053</v>
      </c>
      <c r="T7">
        <v>27798517.469185021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4"/>
  <sheetViews>
    <sheetView topLeftCell="C1" workbookViewId="0">
      <selection activeCell="I15" sqref="I15"/>
    </sheetView>
  </sheetViews>
  <sheetFormatPr defaultColWidth="11" defaultRowHeight="15.75"/>
  <cols>
    <col min="1" max="2" width="15.875" customWidth="1"/>
    <col min="3" max="4" width="15.5" customWidth="1"/>
  </cols>
  <sheetData>
    <row r="1" spans="1:10">
      <c r="A1" t="s">
        <v>132</v>
      </c>
      <c r="B1" t="s">
        <v>133</v>
      </c>
      <c r="C1" t="s">
        <v>163</v>
      </c>
      <c r="D1" t="s">
        <v>164</v>
      </c>
      <c r="E1" t="s">
        <v>176</v>
      </c>
      <c r="F1" t="s">
        <v>177</v>
      </c>
      <c r="G1" t="s">
        <v>180</v>
      </c>
      <c r="H1" t="s">
        <v>178</v>
      </c>
      <c r="I1" t="s">
        <v>179</v>
      </c>
      <c r="J1" t="s">
        <v>181</v>
      </c>
    </row>
    <row r="2" spans="1:10">
      <c r="A2" s="11" t="s">
        <v>102</v>
      </c>
      <c r="B2" s="46">
        <v>86420.290613999998</v>
      </c>
      <c r="C2" s="54">
        <f>$B2*(Stock!B2/SUM(Stock!$B2:$C2))</f>
        <v>45482.43838453036</v>
      </c>
      <c r="D2" s="54">
        <f>$B2*(Stock!C2/SUM(Stock!$B2:$C2))</f>
        <v>40937.852229469638</v>
      </c>
      <c r="E2">
        <v>4810</v>
      </c>
      <c r="F2">
        <v>5191</v>
      </c>
      <c r="G2">
        <f>(F2/E2)^(1/5)-1</f>
        <v>1.5362665458328983E-2</v>
      </c>
      <c r="H2">
        <v>24612</v>
      </c>
      <c r="I2">
        <v>23859</v>
      </c>
      <c r="J2">
        <f>(I2/H2)^(1/3)-1</f>
        <v>-1.0304086791660616E-2</v>
      </c>
    </row>
    <row r="3" spans="1:10">
      <c r="A3" s="11" t="s">
        <v>1</v>
      </c>
      <c r="B3" s="46">
        <v>52868.583725999997</v>
      </c>
      <c r="C3" s="54">
        <f>$B3*(Stock!B3/SUM(Stock!$B3:$C3))</f>
        <v>27591.276950461572</v>
      </c>
      <c r="D3" s="54">
        <f>$B3*(Stock!C3/SUM(Stock!$B3:$C3))</f>
        <v>25277.306775538433</v>
      </c>
      <c r="E3">
        <v>233</v>
      </c>
      <c r="F3">
        <v>263</v>
      </c>
      <c r="G3">
        <f t="shared" ref="G3:G7" si="0">(F3/E3)^(1/5)-1</f>
        <v>2.4518878661660803E-2</v>
      </c>
      <c r="H3">
        <v>28509</v>
      </c>
      <c r="I3">
        <v>27925</v>
      </c>
      <c r="J3">
        <f t="shared" ref="J3:J7" si="1">(I3/H3)^(1/3)-1</f>
        <v>-6.8754160757735772E-3</v>
      </c>
    </row>
    <row r="4" spans="1:10">
      <c r="A4" s="11" t="s">
        <v>2</v>
      </c>
      <c r="B4" s="46">
        <v>36851.516532000001</v>
      </c>
      <c r="C4" s="54">
        <f>$B4*(Stock!B4/SUM(Stock!$B4:$C4))</f>
        <v>7383.3767921646222</v>
      </c>
      <c r="D4" s="54">
        <f>$B4*(Stock!C4/SUM(Stock!$B4:$C4))</f>
        <v>29468.139739835377</v>
      </c>
      <c r="E4">
        <v>1562</v>
      </c>
      <c r="F4">
        <v>1646</v>
      </c>
      <c r="G4">
        <f t="shared" si="0"/>
        <v>1.0531277789207927E-2</v>
      </c>
      <c r="H4">
        <v>33871</v>
      </c>
      <c r="I4">
        <v>33301</v>
      </c>
      <c r="J4">
        <f t="shared" si="1"/>
        <v>-5.64128269470765E-3</v>
      </c>
    </row>
    <row r="5" spans="1:10">
      <c r="A5" s="11" t="s">
        <v>103</v>
      </c>
      <c r="B5" s="46">
        <v>34287.830721999999</v>
      </c>
      <c r="C5" s="54">
        <f>$B5*(Stock!B5/SUM(Stock!$B5:$C5))</f>
        <v>8328.0064303703111</v>
      </c>
      <c r="D5" s="54">
        <f>$B5*(Stock!C5/SUM(Stock!$B5:$C5))</f>
        <v>25959.824291629691</v>
      </c>
      <c r="E5">
        <v>806</v>
      </c>
      <c r="F5">
        <v>737</v>
      </c>
      <c r="G5">
        <f t="shared" si="0"/>
        <v>-1.7739931414308518E-2</v>
      </c>
      <c r="H5">
        <v>31497</v>
      </c>
      <c r="I5">
        <v>31047</v>
      </c>
      <c r="J5">
        <f t="shared" si="1"/>
        <v>-4.7852201269844574E-3</v>
      </c>
    </row>
    <row r="6" spans="1:10">
      <c r="A6" s="11" t="s">
        <v>3</v>
      </c>
      <c r="B6" s="46">
        <v>63058.577206000002</v>
      </c>
      <c r="C6" s="54">
        <f>$B6*(Stock!B6/SUM(Stock!$B6:$C6))</f>
        <v>26357.301878668903</v>
      </c>
      <c r="D6" s="54">
        <f>$B6*(Stock!C6/SUM(Stock!$B6:$C6))</f>
        <v>36701.275327331103</v>
      </c>
      <c r="E6">
        <v>10101</v>
      </c>
      <c r="F6">
        <v>10694</v>
      </c>
      <c r="G6">
        <f t="shared" si="0"/>
        <v>1.1475020213655984E-2</v>
      </c>
      <c r="H6">
        <v>39794</v>
      </c>
      <c r="I6">
        <v>38815</v>
      </c>
      <c r="J6">
        <f t="shared" si="1"/>
        <v>-8.2687500255522739E-3</v>
      </c>
    </row>
    <row r="7" spans="1:10">
      <c r="A7" s="11" t="s">
        <v>104</v>
      </c>
      <c r="B7" s="46">
        <v>36297.096711999999</v>
      </c>
      <c r="C7" s="54">
        <f>$B7*(Stock!B7/SUM(Stock!$B7:$C7))</f>
        <v>17191.124393795923</v>
      </c>
      <c r="D7" s="54">
        <f>$B7*(Stock!C7/SUM(Stock!$B7:$C7))</f>
        <v>19105.972318204073</v>
      </c>
      <c r="E7">
        <v>8852</v>
      </c>
      <c r="F7">
        <v>8763</v>
      </c>
      <c r="G7">
        <f t="shared" si="0"/>
        <v>-2.0189811331351448E-3</v>
      </c>
      <c r="H7">
        <v>26257</v>
      </c>
      <c r="I7">
        <v>25940</v>
      </c>
      <c r="J7">
        <f t="shared" si="1"/>
        <v>-4.0406283599486725E-3</v>
      </c>
    </row>
    <row r="8" spans="1:10">
      <c r="B8" t="s">
        <v>166</v>
      </c>
    </row>
    <row r="9" spans="1:10">
      <c r="A9" s="1" t="s">
        <v>165</v>
      </c>
      <c r="B9">
        <v>0.40468599999999999</v>
      </c>
    </row>
    <row r="11" spans="1:10">
      <c r="A11" s="1" t="s">
        <v>168</v>
      </c>
    </row>
    <row r="12" spans="1:10">
      <c r="A12" t="s">
        <v>169</v>
      </c>
    </row>
    <row r="16" spans="1:10">
      <c r="A16" s="52"/>
      <c r="B16" s="52"/>
      <c r="C16" s="52"/>
      <c r="D16" s="52"/>
      <c r="E16" s="52"/>
      <c r="F16" s="52"/>
      <c r="G16" s="52"/>
      <c r="H16" s="52"/>
      <c r="I16" s="52"/>
    </row>
    <row r="17" spans="1:9">
      <c r="A17" s="52"/>
      <c r="B17" s="52"/>
      <c r="C17" s="52"/>
      <c r="D17" s="52"/>
      <c r="E17" s="53"/>
      <c r="F17" s="53"/>
      <c r="G17" s="53"/>
      <c r="H17" s="52"/>
      <c r="I17" s="52"/>
    </row>
    <row r="18" spans="1:9">
      <c r="E18" s="52"/>
      <c r="F18" s="52"/>
      <c r="G18" s="52"/>
      <c r="H18" s="52"/>
      <c r="I18" s="52"/>
    </row>
    <row r="19" spans="1:9">
      <c r="A19" s="54"/>
      <c r="B19" s="54"/>
      <c r="C19" s="54"/>
      <c r="D19" s="54"/>
      <c r="E19" s="52"/>
      <c r="F19" s="52"/>
      <c r="G19" s="52"/>
      <c r="H19" s="52"/>
      <c r="I19" s="52"/>
    </row>
    <row r="20" spans="1:9">
      <c r="A20" s="54"/>
      <c r="B20" s="54"/>
      <c r="C20" s="54"/>
      <c r="D20" s="54"/>
      <c r="E20" s="53"/>
      <c r="F20" s="53"/>
      <c r="G20" s="53"/>
      <c r="H20" s="52"/>
      <c r="I20" s="52"/>
    </row>
    <row r="21" spans="1:9">
      <c r="A21" s="54"/>
      <c r="B21" s="54"/>
      <c r="C21" s="54"/>
      <c r="D21" s="54"/>
      <c r="E21" s="52"/>
      <c r="F21" s="52"/>
      <c r="G21" s="52"/>
      <c r="H21" s="52"/>
      <c r="I21" s="52"/>
    </row>
    <row r="22" spans="1:9">
      <c r="A22" s="54"/>
      <c r="B22" s="54"/>
      <c r="C22" s="54"/>
      <c r="D22" s="54"/>
      <c r="E22" s="53"/>
      <c r="F22" s="53"/>
      <c r="G22" s="53"/>
      <c r="H22" s="52"/>
      <c r="I22" s="52"/>
    </row>
    <row r="23" spans="1:9">
      <c r="A23" s="54"/>
      <c r="B23" s="54"/>
      <c r="C23" s="54"/>
      <c r="D23" s="54"/>
    </row>
    <row r="24" spans="1:9">
      <c r="A24" s="54"/>
      <c r="B24" s="54"/>
      <c r="C24" s="54"/>
      <c r="D24" s="5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3"/>
  <sheetViews>
    <sheetView workbookViewId="0">
      <selection activeCell="F4" sqref="F4"/>
    </sheetView>
  </sheetViews>
  <sheetFormatPr defaultColWidth="11" defaultRowHeight="15.75"/>
  <cols>
    <col min="1" max="1" width="15.875" customWidth="1"/>
    <col min="2" max="3" width="15.5" customWidth="1"/>
  </cols>
  <sheetData>
    <row r="1" spans="1:7">
      <c r="A1" t="s">
        <v>132</v>
      </c>
      <c r="B1" t="s">
        <v>163</v>
      </c>
      <c r="C1" t="s">
        <v>164</v>
      </c>
    </row>
    <row r="2" spans="1:7">
      <c r="A2" s="11" t="s">
        <v>102</v>
      </c>
      <c r="B2" s="46">
        <v>7535.2137471999995</v>
      </c>
      <c r="C2" s="46">
        <v>6782.2983519999998</v>
      </c>
      <c r="E2" s="47"/>
      <c r="F2" s="51">
        <f>B2/Area!C2*1000</f>
        <v>165.67303809645574</v>
      </c>
      <c r="G2" s="51">
        <f>C2/Area!D2*1000</f>
        <v>165.67303809645574</v>
      </c>
    </row>
    <row r="3" spans="1:7">
      <c r="A3" s="11" t="s">
        <v>1</v>
      </c>
      <c r="B3" s="46">
        <v>3681.3255840000002</v>
      </c>
      <c r="C3" s="46">
        <v>3372.5875136</v>
      </c>
      <c r="F3" s="51">
        <f>B3/Area!C3*1000</f>
        <v>133.4235305821326</v>
      </c>
      <c r="G3" s="51">
        <f>C3/Area!D3*1000</f>
        <v>133.4235305821326</v>
      </c>
    </row>
    <row r="4" spans="1:7">
      <c r="A4" s="11" t="s">
        <v>2</v>
      </c>
      <c r="B4" s="46">
        <v>665.27489919999994</v>
      </c>
      <c r="C4" s="46">
        <v>2655.2097024</v>
      </c>
      <c r="F4" s="51">
        <f>B4/Area!C4*1000</f>
        <v>90.104422126472286</v>
      </c>
      <c r="G4" s="51">
        <f>C4/Area!D4*1000</f>
        <v>90.104422126472286</v>
      </c>
    </row>
    <row r="5" spans="1:7">
      <c r="A5" s="11" t="s">
        <v>103</v>
      </c>
      <c r="B5" s="46">
        <v>1050.7798144000001</v>
      </c>
      <c r="C5" s="46">
        <v>3275.4608896</v>
      </c>
      <c r="F5" s="51">
        <f>B5/Area!C5*1000</f>
        <v>126.17423187475568</v>
      </c>
      <c r="G5" s="51">
        <f>C5/Area!D5*1000</f>
        <v>126.17423187475568</v>
      </c>
    </row>
    <row r="6" spans="1:7">
      <c r="A6" s="11" t="s">
        <v>3</v>
      </c>
      <c r="B6" s="46">
        <v>2088.8453856000001</v>
      </c>
      <c r="C6" s="46">
        <v>2908.6167455999998</v>
      </c>
      <c r="F6" s="51">
        <f>B6/Area!C6*1000</f>
        <v>79.251108296881981</v>
      </c>
      <c r="G6" s="51">
        <f>C6/Area!D6*1000</f>
        <v>79.251108296881981</v>
      </c>
    </row>
    <row r="7" spans="1:7">
      <c r="A7" s="11" t="s">
        <v>104</v>
      </c>
      <c r="B7" s="46">
        <v>1912.516672</v>
      </c>
      <c r="C7" s="46">
        <v>2125.5439584000001</v>
      </c>
      <c r="F7" s="51">
        <f>B7/Area!C7*1000</f>
        <v>111.25023751734383</v>
      </c>
      <c r="G7" s="51">
        <f>C7/Area!D7*1000</f>
        <v>111.25023751734386</v>
      </c>
    </row>
    <row r="9" spans="1:7">
      <c r="A9" s="1" t="s">
        <v>170</v>
      </c>
      <c r="B9" t="s">
        <v>171</v>
      </c>
    </row>
    <row r="10" spans="1:7">
      <c r="A10" s="1" t="s">
        <v>167</v>
      </c>
      <c r="B10">
        <v>2.83168E-2</v>
      </c>
      <c r="C10" s="46">
        <v>1000</v>
      </c>
    </row>
    <row r="12" spans="1:7">
      <c r="A12" s="1" t="s">
        <v>168</v>
      </c>
    </row>
    <row r="13" spans="1:7">
      <c r="A13" t="s">
        <v>169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3"/>
  <sheetViews>
    <sheetView workbookViewId="0">
      <selection activeCell="E6" sqref="E6"/>
    </sheetView>
  </sheetViews>
  <sheetFormatPr defaultColWidth="11" defaultRowHeight="15.75"/>
  <cols>
    <col min="1" max="1" width="16.125" customWidth="1"/>
    <col min="2" max="3" width="11.375" bestFit="1" customWidth="1"/>
  </cols>
  <sheetData>
    <row r="1" spans="1:5">
      <c r="A1" t="s">
        <v>132</v>
      </c>
      <c r="B1" t="s">
        <v>163</v>
      </c>
      <c r="C1" t="s">
        <v>164</v>
      </c>
      <c r="D1" t="s">
        <v>174</v>
      </c>
      <c r="E1" t="s">
        <v>175</v>
      </c>
    </row>
    <row r="2" spans="1:5">
      <c r="A2" s="11" t="s">
        <v>102</v>
      </c>
      <c r="B2" s="48">
        <f>D2/Stock!B2</f>
        <v>2.3456332862339536E-2</v>
      </c>
      <c r="C2" s="48">
        <f>E2/Stock!C2</f>
        <v>3.5510761330188089E-3</v>
      </c>
      <c r="D2" s="45">
        <v>176.74848184319998</v>
      </c>
      <c r="E2" s="45">
        <v>24.0844578048</v>
      </c>
    </row>
    <row r="3" spans="1:5">
      <c r="A3" s="11" t="s">
        <v>1</v>
      </c>
      <c r="B3" s="48">
        <f>D3/Stock!B3</f>
        <v>1.9896165532094921E-2</v>
      </c>
      <c r="C3" s="48">
        <f>E3/Stock!C3</f>
        <v>2.3657453275343823E-3</v>
      </c>
      <c r="D3" s="45">
        <v>73.244263196800006</v>
      </c>
      <c r="E3" s="45">
        <v>7.9786831519999994</v>
      </c>
    </row>
    <row r="4" spans="1:5">
      <c r="A4" s="11" t="s">
        <v>2</v>
      </c>
      <c r="B4" s="48">
        <f>D4/Stock!B4</f>
        <v>3.6611560398399592E-2</v>
      </c>
      <c r="C4" s="48">
        <f>E4/Stock!C4</f>
        <v>3.3984685607030114E-2</v>
      </c>
      <c r="D4" s="45">
        <v>24.356752153599999</v>
      </c>
      <c r="E4" s="45">
        <v>90.236466956800001</v>
      </c>
    </row>
    <row r="5" spans="1:5">
      <c r="A5" s="11" t="s">
        <v>103</v>
      </c>
      <c r="B5" s="48">
        <f>D5/Stock!B5</f>
        <v>3.3759593618626703E-2</v>
      </c>
      <c r="C5" s="48">
        <f>E5/Stock!C5</f>
        <v>2.8119458468773777E-2</v>
      </c>
      <c r="D5" s="45">
        <v>35.473899516799996</v>
      </c>
      <c r="E5" s="45">
        <v>92.104186451200007</v>
      </c>
    </row>
    <row r="6" spans="1:5">
      <c r="A6" s="11" t="s">
        <v>3</v>
      </c>
      <c r="B6" s="48">
        <f>D6/Stock!B6</f>
        <v>7.6095910095300062E-2</v>
      </c>
      <c r="C6" s="48">
        <f>E6/Stock!C6</f>
        <v>3.5081164753643507E-2</v>
      </c>
      <c r="D6" s="45">
        <v>158.95259066560001</v>
      </c>
      <c r="E6" s="45">
        <v>102.0376632576</v>
      </c>
    </row>
    <row r="7" spans="1:5">
      <c r="A7" s="11" t="s">
        <v>104</v>
      </c>
      <c r="B7" s="48">
        <f>D7/Stock!B7</f>
        <v>7.1255596683446859E-2</v>
      </c>
      <c r="C7" s="48">
        <f>E7/Stock!C7</f>
        <v>3.5504802632455403E-2</v>
      </c>
      <c r="D7" s="45">
        <v>136.27751663040002</v>
      </c>
      <c r="E7" s="45">
        <v>75.467018729599999</v>
      </c>
    </row>
    <row r="8" spans="1:5">
      <c r="A8" s="1"/>
      <c r="B8" s="45"/>
      <c r="C8" s="45"/>
    </row>
    <row r="9" spans="1:5">
      <c r="A9" s="1" t="s">
        <v>170</v>
      </c>
      <c r="B9" t="s">
        <v>171</v>
      </c>
    </row>
    <row r="10" spans="1:5">
      <c r="A10" s="1" t="s">
        <v>167</v>
      </c>
      <c r="B10">
        <v>2.83168E-2</v>
      </c>
      <c r="C10" s="46">
        <v>1000</v>
      </c>
    </row>
    <row r="12" spans="1:5">
      <c r="A12" s="1" t="s">
        <v>168</v>
      </c>
    </row>
    <row r="13" spans="1:5">
      <c r="A13" t="s">
        <v>169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3"/>
  <dimension ref="A1:Q18"/>
  <sheetViews>
    <sheetView workbookViewId="0">
      <selection activeCell="B4" sqref="B4"/>
    </sheetView>
  </sheetViews>
  <sheetFormatPr defaultColWidth="8.875" defaultRowHeight="15.75"/>
  <cols>
    <col min="2" max="2" width="10.375" bestFit="1" customWidth="1"/>
    <col min="3" max="3" width="9.875" bestFit="1" customWidth="1"/>
    <col min="4" max="4" width="10.375" bestFit="1" customWidth="1"/>
    <col min="5" max="5" width="16.375" bestFit="1" customWidth="1"/>
    <col min="6" max="6" width="10.375" bestFit="1" customWidth="1"/>
    <col min="7" max="7" width="19.125" bestFit="1" customWidth="1"/>
    <col min="8" max="8" width="18.875" bestFit="1" customWidth="1"/>
    <col min="9" max="10" width="10.375" bestFit="1" customWidth="1"/>
    <col min="11" max="11" width="9.875" bestFit="1" customWidth="1"/>
    <col min="12" max="12" width="10.375" bestFit="1" customWidth="1"/>
    <col min="13" max="13" width="16.375" bestFit="1" customWidth="1"/>
    <col min="14" max="14" width="10.375" bestFit="1" customWidth="1"/>
    <col min="15" max="15" width="19.125" bestFit="1" customWidth="1"/>
    <col min="16" max="16" width="18.875" bestFit="1" customWidth="1"/>
    <col min="17" max="17" width="10.375" bestFit="1" customWidth="1"/>
  </cols>
  <sheetData>
    <row r="1" spans="1:17">
      <c r="A1" s="34"/>
      <c r="B1" s="55" t="s">
        <v>144</v>
      </c>
      <c r="C1" s="55"/>
      <c r="D1" s="55"/>
      <c r="E1" s="55"/>
      <c r="F1" s="55"/>
      <c r="G1" s="55"/>
      <c r="H1" s="55"/>
      <c r="I1" s="55"/>
      <c r="J1" s="55" t="s">
        <v>145</v>
      </c>
      <c r="K1" s="55"/>
      <c r="L1" s="55"/>
      <c r="M1" s="55"/>
      <c r="N1" s="55"/>
      <c r="O1" s="55"/>
      <c r="P1" s="55"/>
      <c r="Q1" s="55"/>
    </row>
    <row r="2" spans="1:17">
      <c r="A2" s="34"/>
      <c r="B2" s="34" t="s">
        <v>146</v>
      </c>
      <c r="C2" s="34" t="s">
        <v>147</v>
      </c>
      <c r="D2" s="34" t="s">
        <v>148</v>
      </c>
      <c r="E2" s="34" t="s">
        <v>149</v>
      </c>
      <c r="F2" s="34" t="s">
        <v>150</v>
      </c>
      <c r="G2" s="34" t="s">
        <v>151</v>
      </c>
      <c r="H2" s="34" t="s">
        <v>152</v>
      </c>
      <c r="I2" s="34" t="s">
        <v>133</v>
      </c>
      <c r="J2" s="34" t="s">
        <v>146</v>
      </c>
      <c r="K2" s="34" t="s">
        <v>147</v>
      </c>
      <c r="L2" s="34" t="s">
        <v>148</v>
      </c>
      <c r="M2" s="34" t="s">
        <v>149</v>
      </c>
      <c r="N2" s="34" t="s">
        <v>150</v>
      </c>
      <c r="O2" s="34" t="s">
        <v>151</v>
      </c>
      <c r="P2" s="34" t="s">
        <v>152</v>
      </c>
      <c r="Q2" s="34" t="s">
        <v>133</v>
      </c>
    </row>
    <row r="3" spans="1:17">
      <c r="A3" s="35" t="s">
        <v>102</v>
      </c>
      <c r="B3" s="36">
        <v>1619356</v>
      </c>
      <c r="C3" s="36">
        <v>207221</v>
      </c>
      <c r="D3" s="36">
        <v>230836</v>
      </c>
      <c r="E3" s="36">
        <v>0</v>
      </c>
      <c r="F3" s="36">
        <v>365444</v>
      </c>
      <c r="G3" s="36">
        <v>16736</v>
      </c>
      <c r="H3" s="36">
        <v>802</v>
      </c>
      <c r="I3" s="36">
        <v>2440394</v>
      </c>
      <c r="J3" s="36">
        <v>52064</v>
      </c>
      <c r="K3" s="36">
        <v>1741</v>
      </c>
      <c r="L3" s="36">
        <v>27808</v>
      </c>
      <c r="M3" s="36">
        <v>0</v>
      </c>
      <c r="N3" s="36">
        <v>3861</v>
      </c>
      <c r="O3" s="36">
        <v>0</v>
      </c>
      <c r="P3" s="36">
        <v>29</v>
      </c>
      <c r="Q3" s="36">
        <v>85503</v>
      </c>
    </row>
    <row r="4" spans="1:17">
      <c r="A4" s="35" t="s">
        <v>1</v>
      </c>
      <c r="B4" s="36">
        <v>316190</v>
      </c>
      <c r="C4" s="36">
        <v>22316</v>
      </c>
      <c r="D4" s="36">
        <v>45520</v>
      </c>
      <c r="E4" s="36">
        <v>0</v>
      </c>
      <c r="F4" s="36">
        <v>120162</v>
      </c>
      <c r="G4" s="36">
        <v>12373</v>
      </c>
      <c r="H4" s="36">
        <v>19352</v>
      </c>
      <c r="I4" s="36">
        <v>535912</v>
      </c>
      <c r="J4" s="36">
        <v>4309</v>
      </c>
      <c r="K4" s="36">
        <v>180</v>
      </c>
      <c r="L4" s="36">
        <v>0</v>
      </c>
      <c r="M4" s="36">
        <v>0</v>
      </c>
      <c r="N4" s="36">
        <v>35940</v>
      </c>
      <c r="O4" s="36">
        <v>10</v>
      </c>
      <c r="P4" s="36">
        <v>2679</v>
      </c>
      <c r="Q4" s="36">
        <v>43119</v>
      </c>
    </row>
    <row r="5" spans="1:17">
      <c r="A5" s="35" t="s">
        <v>2</v>
      </c>
      <c r="B5" s="36">
        <v>109518</v>
      </c>
      <c r="C5" s="36">
        <v>1263</v>
      </c>
      <c r="D5" s="36">
        <v>112036</v>
      </c>
      <c r="E5" s="36">
        <v>10367</v>
      </c>
      <c r="F5" s="36">
        <v>24471</v>
      </c>
      <c r="G5" s="36">
        <v>9453</v>
      </c>
      <c r="H5" s="36">
        <v>7890</v>
      </c>
      <c r="I5" s="36">
        <v>274997</v>
      </c>
      <c r="J5" s="36">
        <v>374904</v>
      </c>
      <c r="K5" s="36">
        <v>14515</v>
      </c>
      <c r="L5" s="36">
        <v>355753</v>
      </c>
      <c r="M5" s="36">
        <v>122098</v>
      </c>
      <c r="N5" s="36">
        <v>550415</v>
      </c>
      <c r="O5" s="36">
        <v>647</v>
      </c>
      <c r="P5" s="36">
        <v>25070</v>
      </c>
      <c r="Q5" s="36">
        <v>1443403</v>
      </c>
    </row>
    <row r="6" spans="1:17">
      <c r="A6" s="35" t="s">
        <v>103</v>
      </c>
      <c r="B6" s="36">
        <v>155713</v>
      </c>
      <c r="C6" s="36">
        <v>1064</v>
      </c>
      <c r="D6" s="36">
        <v>137015</v>
      </c>
      <c r="E6" s="36">
        <v>1190</v>
      </c>
      <c r="F6" s="36">
        <v>89002</v>
      </c>
      <c r="G6" s="36">
        <v>2916</v>
      </c>
      <c r="H6" s="36">
        <v>3371</v>
      </c>
      <c r="I6" s="36">
        <v>390271</v>
      </c>
      <c r="J6" s="36">
        <v>303126</v>
      </c>
      <c r="K6" s="36">
        <v>21044</v>
      </c>
      <c r="L6" s="36">
        <v>281029</v>
      </c>
      <c r="M6" s="36">
        <v>49756</v>
      </c>
      <c r="N6" s="36">
        <v>506041</v>
      </c>
      <c r="O6" s="36">
        <v>1476</v>
      </c>
      <c r="P6" s="36">
        <v>8791</v>
      </c>
      <c r="Q6" s="36">
        <v>1171264</v>
      </c>
    </row>
    <row r="7" spans="1:17">
      <c r="A7" s="35" t="s">
        <v>3</v>
      </c>
      <c r="B7" s="36">
        <v>933159</v>
      </c>
      <c r="C7" s="36">
        <v>254883</v>
      </c>
      <c r="D7" s="36">
        <v>1397847</v>
      </c>
      <c r="E7" s="36">
        <v>144944</v>
      </c>
      <c r="F7" s="36">
        <v>221464</v>
      </c>
      <c r="G7" s="36">
        <v>15023</v>
      </c>
      <c r="H7" s="36">
        <v>196969</v>
      </c>
      <c r="I7" s="36">
        <v>3164290</v>
      </c>
      <c r="J7" s="36">
        <v>406956</v>
      </c>
      <c r="K7" s="36">
        <v>14432</v>
      </c>
      <c r="L7" s="36">
        <v>495573</v>
      </c>
      <c r="M7" s="36">
        <v>74276</v>
      </c>
      <c r="N7" s="36">
        <v>0</v>
      </c>
      <c r="O7" s="36">
        <v>0</v>
      </c>
      <c r="P7" s="36">
        <v>57788</v>
      </c>
      <c r="Q7" s="36">
        <v>1049025</v>
      </c>
    </row>
    <row r="8" spans="1:17">
      <c r="A8" s="35" t="s">
        <v>104</v>
      </c>
      <c r="B8" s="36">
        <v>876260</v>
      </c>
      <c r="C8" s="36">
        <v>89190</v>
      </c>
      <c r="D8" s="36">
        <v>1395194</v>
      </c>
      <c r="E8" s="36">
        <v>135016</v>
      </c>
      <c r="F8" s="36">
        <v>278312</v>
      </c>
      <c r="G8" s="36">
        <v>20186</v>
      </c>
      <c r="H8" s="36">
        <v>275171</v>
      </c>
      <c r="I8" s="36">
        <v>3069329</v>
      </c>
      <c r="J8" s="36">
        <v>242882</v>
      </c>
      <c r="K8" s="36">
        <v>15014</v>
      </c>
      <c r="L8" s="36">
        <v>315942</v>
      </c>
      <c r="M8" s="36">
        <v>204</v>
      </c>
      <c r="N8" s="36">
        <v>0</v>
      </c>
      <c r="O8" s="36">
        <v>0</v>
      </c>
      <c r="P8" s="36">
        <v>55624</v>
      </c>
      <c r="Q8" s="36">
        <v>629667</v>
      </c>
    </row>
    <row r="9" spans="1:17">
      <c r="A9" s="34" t="s">
        <v>153</v>
      </c>
      <c r="B9" s="36">
        <f>SUM(B3:B8)</f>
        <v>4010196</v>
      </c>
      <c r="C9" s="36">
        <f t="shared" ref="C9:Q9" si="0">SUM(C3:C8)</f>
        <v>575937</v>
      </c>
      <c r="D9" s="36">
        <f t="shared" si="0"/>
        <v>3318448</v>
      </c>
      <c r="E9" s="36">
        <f t="shared" si="0"/>
        <v>291517</v>
      </c>
      <c r="F9" s="36">
        <f t="shared" si="0"/>
        <v>1098855</v>
      </c>
      <c r="G9" s="36">
        <f t="shared" si="0"/>
        <v>76687</v>
      </c>
      <c r="H9" s="36">
        <f t="shared" si="0"/>
        <v>503555</v>
      </c>
      <c r="I9" s="36">
        <f t="shared" si="0"/>
        <v>9875193</v>
      </c>
      <c r="J9" s="36">
        <f t="shared" si="0"/>
        <v>1384241</v>
      </c>
      <c r="K9" s="36">
        <f t="shared" si="0"/>
        <v>66926</v>
      </c>
      <c r="L9" s="36">
        <f t="shared" si="0"/>
        <v>1476105</v>
      </c>
      <c r="M9" s="36">
        <f t="shared" si="0"/>
        <v>246334</v>
      </c>
      <c r="N9" s="36">
        <f t="shared" si="0"/>
        <v>1096257</v>
      </c>
      <c r="O9" s="36">
        <f t="shared" si="0"/>
        <v>2133</v>
      </c>
      <c r="P9" s="36">
        <f t="shared" si="0"/>
        <v>149981</v>
      </c>
      <c r="Q9" s="36">
        <f t="shared" si="0"/>
        <v>4421981</v>
      </c>
    </row>
    <row r="17" spans="1:2">
      <c r="A17" s="34" t="s">
        <v>154</v>
      </c>
      <c r="B17" s="37" t="s">
        <v>155</v>
      </c>
    </row>
    <row r="18" spans="1:2">
      <c r="A18" s="34" t="s">
        <v>156</v>
      </c>
      <c r="B18" s="34"/>
    </row>
  </sheetData>
  <mergeCells count="2">
    <mergeCell ref="B1:I1"/>
    <mergeCell ref="J1:Q1"/>
  </mergeCells>
  <hyperlinks>
    <hyperlink ref="B17" r:id="rId1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4"/>
  <dimension ref="A1:E21"/>
  <sheetViews>
    <sheetView workbookViewId="0">
      <selection activeCell="H31" sqref="H31"/>
    </sheetView>
  </sheetViews>
  <sheetFormatPr defaultColWidth="11" defaultRowHeight="15.75"/>
  <cols>
    <col min="1" max="1" width="39.125" customWidth="1"/>
    <col min="2" max="2" width="27.375" style="8" customWidth="1"/>
    <col min="3" max="3" width="32.375" customWidth="1"/>
    <col min="4" max="5" width="5.625" customWidth="1"/>
  </cols>
  <sheetData>
    <row r="1" spans="1:5">
      <c r="A1" s="4"/>
      <c r="B1" s="5" t="s">
        <v>93</v>
      </c>
    </row>
    <row r="2" spans="1:5" ht="31.5">
      <c r="A2" s="4" t="s">
        <v>123</v>
      </c>
      <c r="B2" s="6" t="s">
        <v>94</v>
      </c>
      <c r="C2" t="s">
        <v>113</v>
      </c>
      <c r="D2" s="22"/>
      <c r="E2" s="22"/>
    </row>
    <row r="3" spans="1:5">
      <c r="A3" s="4" t="s">
        <v>78</v>
      </c>
      <c r="B3" s="5" t="s">
        <v>95</v>
      </c>
      <c r="C3" t="s">
        <v>114</v>
      </c>
      <c r="D3" s="22"/>
      <c r="E3" s="22"/>
    </row>
    <row r="4" spans="1:5">
      <c r="A4" s="4" t="s">
        <v>109</v>
      </c>
      <c r="B4" s="7">
        <v>440110</v>
      </c>
      <c r="C4" t="s">
        <v>113</v>
      </c>
      <c r="D4" s="22"/>
      <c r="E4" s="22"/>
    </row>
    <row r="5" spans="1:5">
      <c r="A5" s="4" t="s">
        <v>110</v>
      </c>
      <c r="B5" s="5" t="s">
        <v>101</v>
      </c>
      <c r="C5" t="s">
        <v>114</v>
      </c>
      <c r="D5" s="22"/>
      <c r="E5" s="22"/>
    </row>
    <row r="6" spans="1:5" ht="21" customHeight="1">
      <c r="A6" s="4" t="s">
        <v>111</v>
      </c>
      <c r="B6" s="8" t="s">
        <v>158</v>
      </c>
      <c r="C6" t="s">
        <v>113</v>
      </c>
      <c r="D6" s="22"/>
      <c r="E6" s="22"/>
    </row>
    <row r="7" spans="1:5">
      <c r="A7" s="4" t="s">
        <v>112</v>
      </c>
      <c r="B7" s="5" t="s">
        <v>158</v>
      </c>
      <c r="C7" t="s">
        <v>114</v>
      </c>
      <c r="D7" s="22"/>
      <c r="E7" s="22"/>
    </row>
    <row r="8" spans="1:5">
      <c r="A8" s="4" t="s">
        <v>79</v>
      </c>
      <c r="B8" s="5">
        <v>440710</v>
      </c>
      <c r="C8" t="s">
        <v>116</v>
      </c>
      <c r="D8" s="22"/>
      <c r="E8" s="22"/>
    </row>
    <row r="9" spans="1:5">
      <c r="A9" s="4" t="s">
        <v>80</v>
      </c>
      <c r="B9" s="5">
        <v>440720</v>
      </c>
      <c r="C9" t="s">
        <v>115</v>
      </c>
      <c r="D9" s="22"/>
      <c r="E9" s="22"/>
    </row>
    <row r="10" spans="1:5" ht="31.5">
      <c r="A10" s="4" t="s">
        <v>81</v>
      </c>
      <c r="B10" s="6" t="s">
        <v>96</v>
      </c>
      <c r="C10" t="s">
        <v>117</v>
      </c>
      <c r="D10" s="22"/>
      <c r="E10" s="22"/>
    </row>
    <row r="11" spans="1:5">
      <c r="A11" s="4" t="s">
        <v>82</v>
      </c>
      <c r="B11" s="5">
        <v>441000</v>
      </c>
      <c r="C11" t="s">
        <v>118</v>
      </c>
      <c r="D11" s="22"/>
      <c r="E11" s="22"/>
    </row>
    <row r="12" spans="1:5">
      <c r="A12" s="4" t="s">
        <v>83</v>
      </c>
      <c r="B12" s="5">
        <v>441100</v>
      </c>
      <c r="C12" t="s">
        <v>118</v>
      </c>
      <c r="D12" s="22"/>
      <c r="E12" s="22"/>
    </row>
    <row r="13" spans="1:5">
      <c r="A13" s="4" t="s">
        <v>84</v>
      </c>
      <c r="B13" s="5">
        <v>470100</v>
      </c>
      <c r="C13" t="s">
        <v>119</v>
      </c>
      <c r="D13" s="22"/>
      <c r="E13" s="22"/>
    </row>
    <row r="14" spans="1:5" ht="47.25">
      <c r="A14" s="4" t="s">
        <v>85</v>
      </c>
      <c r="B14" s="6" t="s">
        <v>97</v>
      </c>
      <c r="C14" t="s">
        <v>119</v>
      </c>
      <c r="D14" s="22"/>
      <c r="E14" s="22"/>
    </row>
    <row r="15" spans="1:5" ht="31.5">
      <c r="A15" s="4" t="s">
        <v>86</v>
      </c>
      <c r="B15" s="6" t="s">
        <v>98</v>
      </c>
      <c r="C15" t="s">
        <v>119</v>
      </c>
      <c r="D15" s="22"/>
      <c r="E15" s="22"/>
    </row>
    <row r="16" spans="1:5">
      <c r="A16" s="4" t="s">
        <v>87</v>
      </c>
      <c r="B16" s="5">
        <v>480100</v>
      </c>
      <c r="C16" t="s">
        <v>119</v>
      </c>
      <c r="D16" s="22"/>
      <c r="E16" s="22"/>
    </row>
    <row r="17" spans="1:5">
      <c r="A17" s="4" t="s">
        <v>88</v>
      </c>
      <c r="B17" s="5">
        <v>4802</v>
      </c>
      <c r="C17" t="s">
        <v>119</v>
      </c>
      <c r="D17" s="22"/>
      <c r="E17" s="22"/>
    </row>
    <row r="18" spans="1:5">
      <c r="A18" s="4" t="s">
        <v>89</v>
      </c>
      <c r="B18" s="5">
        <v>4802</v>
      </c>
      <c r="C18" t="s">
        <v>119</v>
      </c>
      <c r="D18" s="22"/>
      <c r="E18" s="22"/>
    </row>
    <row r="19" spans="1:5">
      <c r="A19" s="4" t="s">
        <v>90</v>
      </c>
      <c r="B19" s="5">
        <v>440131</v>
      </c>
      <c r="C19" t="s">
        <v>120</v>
      </c>
      <c r="D19" s="22"/>
      <c r="E19" s="22"/>
    </row>
    <row r="20" spans="1:5">
      <c r="A20" s="4" t="s">
        <v>91</v>
      </c>
      <c r="B20" s="5">
        <v>470700</v>
      </c>
      <c r="C20" t="s">
        <v>119</v>
      </c>
      <c r="D20" s="22"/>
      <c r="E20" s="22"/>
    </row>
    <row r="21" spans="1:5">
      <c r="A21" s="4" t="s">
        <v>92</v>
      </c>
      <c r="B21" s="5" t="s">
        <v>143</v>
      </c>
      <c r="C21" t="s">
        <v>121</v>
      </c>
      <c r="D21" s="22"/>
      <c r="E21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3"/>
  <sheetViews>
    <sheetView workbookViewId="0">
      <selection sqref="A1:F13"/>
    </sheetView>
  </sheetViews>
  <sheetFormatPr defaultColWidth="11" defaultRowHeight="15.75"/>
  <cols>
    <col min="1" max="6" width="19.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29</v>
      </c>
      <c r="E1" s="1" t="s">
        <v>3</v>
      </c>
      <c r="F1" s="1" t="s">
        <v>4</v>
      </c>
    </row>
    <row r="2" spans="1:6">
      <c r="A2" t="s">
        <v>172</v>
      </c>
      <c r="B2" t="s">
        <v>9</v>
      </c>
      <c r="C2" t="s">
        <v>21</v>
      </c>
      <c r="D2" t="s">
        <v>30</v>
      </c>
      <c r="E2" t="s">
        <v>42</v>
      </c>
      <c r="F2" t="s">
        <v>54</v>
      </c>
    </row>
    <row r="3" spans="1:6">
      <c r="A3" t="s">
        <v>5</v>
      </c>
      <c r="B3" t="s">
        <v>10</v>
      </c>
      <c r="C3" t="s">
        <v>22</v>
      </c>
      <c r="D3" t="s">
        <v>31</v>
      </c>
      <c r="E3" t="s">
        <v>43</v>
      </c>
      <c r="F3" t="s">
        <v>50</v>
      </c>
    </row>
    <row r="4" spans="1:6">
      <c r="A4" t="s">
        <v>6</v>
      </c>
      <c r="B4" t="s">
        <v>11</v>
      </c>
      <c r="C4" t="s">
        <v>23</v>
      </c>
      <c r="D4" t="s">
        <v>32</v>
      </c>
      <c r="E4" t="s">
        <v>44</v>
      </c>
      <c r="F4" t="s">
        <v>51</v>
      </c>
    </row>
    <row r="5" spans="1:6">
      <c r="A5" t="s">
        <v>7</v>
      </c>
      <c r="B5" t="s">
        <v>12</v>
      </c>
      <c r="C5" t="s">
        <v>24</v>
      </c>
      <c r="D5" t="s">
        <v>33</v>
      </c>
      <c r="E5" t="s">
        <v>45</v>
      </c>
      <c r="F5" t="s">
        <v>52</v>
      </c>
    </row>
    <row r="6" spans="1:6">
      <c r="A6" t="s">
        <v>8</v>
      </c>
      <c r="B6" t="s">
        <v>13</v>
      </c>
      <c r="C6" t="s">
        <v>25</v>
      </c>
      <c r="D6" t="s">
        <v>34</v>
      </c>
      <c r="E6" t="s">
        <v>46</v>
      </c>
      <c r="F6" t="s">
        <v>53</v>
      </c>
    </row>
    <row r="7" spans="1:6">
      <c r="B7" t="s">
        <v>14</v>
      </c>
      <c r="C7" t="s">
        <v>26</v>
      </c>
      <c r="D7" t="s">
        <v>35</v>
      </c>
      <c r="E7" t="s">
        <v>47</v>
      </c>
    </row>
    <row r="8" spans="1:6">
      <c r="B8" t="s">
        <v>15</v>
      </c>
      <c r="C8" t="s">
        <v>27</v>
      </c>
      <c r="D8" t="s">
        <v>36</v>
      </c>
      <c r="E8" t="s">
        <v>48</v>
      </c>
    </row>
    <row r="9" spans="1:6">
      <c r="B9" t="s">
        <v>16</v>
      </c>
      <c r="C9" t="s">
        <v>28</v>
      </c>
      <c r="D9" t="s">
        <v>37</v>
      </c>
      <c r="E9" t="s">
        <v>49</v>
      </c>
    </row>
    <row r="10" spans="1:6">
      <c r="B10" t="s">
        <v>17</v>
      </c>
      <c r="D10" t="s">
        <v>38</v>
      </c>
    </row>
    <row r="11" spans="1:6">
      <c r="B11" t="s">
        <v>18</v>
      </c>
      <c r="D11" t="s">
        <v>39</v>
      </c>
    </row>
    <row r="12" spans="1:6">
      <c r="B12" t="s">
        <v>19</v>
      </c>
      <c r="D12" t="s">
        <v>40</v>
      </c>
    </row>
    <row r="13" spans="1:6">
      <c r="B13" t="s">
        <v>20</v>
      </c>
      <c r="D13" t="s">
        <v>41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5"/>
  <dimension ref="A1:F8"/>
  <sheetViews>
    <sheetView workbookViewId="0">
      <selection activeCell="B3" sqref="B3"/>
    </sheetView>
  </sheetViews>
  <sheetFormatPr defaultColWidth="8.875" defaultRowHeight="15.75"/>
  <cols>
    <col min="1" max="1" width="14" bestFit="1" customWidth="1"/>
  </cols>
  <sheetData>
    <row r="1" spans="1:6">
      <c r="B1" t="s">
        <v>136</v>
      </c>
      <c r="F1" t="s">
        <v>137</v>
      </c>
    </row>
    <row r="2" spans="1:6">
      <c r="A2" t="s">
        <v>132</v>
      </c>
      <c r="B2" t="s">
        <v>134</v>
      </c>
      <c r="C2" t="s">
        <v>135</v>
      </c>
      <c r="D2" t="s">
        <v>133</v>
      </c>
    </row>
    <row r="3" spans="1:6">
      <c r="A3" s="11" t="s">
        <v>102</v>
      </c>
      <c r="B3" s="21">
        <v>248444</v>
      </c>
      <c r="C3" s="21">
        <v>27451</v>
      </c>
      <c r="D3" s="21">
        <v>275895</v>
      </c>
    </row>
    <row r="4" spans="1:6">
      <c r="A4" s="11" t="s">
        <v>1</v>
      </c>
      <c r="B4" s="21">
        <v>141889</v>
      </c>
      <c r="C4" s="21">
        <v>16743</v>
      </c>
      <c r="D4" s="21">
        <v>158632</v>
      </c>
    </row>
    <row r="5" spans="1:6">
      <c r="A5" s="11" t="s">
        <v>2</v>
      </c>
      <c r="B5" s="21">
        <v>25419</v>
      </c>
      <c r="C5" s="21">
        <v>113207</v>
      </c>
      <c r="D5" s="21">
        <v>138625</v>
      </c>
    </row>
    <row r="6" spans="1:6">
      <c r="A6" s="11" t="s">
        <v>103</v>
      </c>
      <c r="B6" s="21">
        <v>40537</v>
      </c>
      <c r="C6" s="21">
        <v>129296</v>
      </c>
      <c r="D6" s="21">
        <v>169834</v>
      </c>
    </row>
    <row r="7" spans="1:6">
      <c r="A7" s="11" t="s">
        <v>3</v>
      </c>
      <c r="B7" s="21">
        <v>70556</v>
      </c>
      <c r="C7" s="21">
        <v>130031</v>
      </c>
      <c r="D7" s="21">
        <v>200586</v>
      </c>
    </row>
    <row r="8" spans="1:6">
      <c r="A8" s="11" t="s">
        <v>104</v>
      </c>
      <c r="B8" s="21">
        <v>65724</v>
      </c>
      <c r="C8" s="21">
        <v>92257</v>
      </c>
      <c r="D8" s="21">
        <v>157981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6"/>
  <dimension ref="A1:H26"/>
  <sheetViews>
    <sheetView workbookViewId="0">
      <selection activeCell="F21" sqref="F21"/>
    </sheetView>
  </sheetViews>
  <sheetFormatPr defaultColWidth="8.875" defaultRowHeight="15.75"/>
  <cols>
    <col min="1" max="1" width="18" bestFit="1" customWidth="1"/>
    <col min="2" max="2" width="13.375" customWidth="1"/>
    <col min="3" max="3" width="17.5" bestFit="1" customWidth="1"/>
    <col min="4" max="4" width="19.625" bestFit="1" customWidth="1"/>
    <col min="5" max="5" width="17.125" bestFit="1" customWidth="1"/>
    <col min="6" max="6" width="19.5" bestFit="1" customWidth="1"/>
  </cols>
  <sheetData>
    <row r="1" spans="1:8">
      <c r="A1" s="11"/>
      <c r="B1" s="15" t="s">
        <v>128</v>
      </c>
      <c r="C1" s="15" t="s">
        <v>126</v>
      </c>
      <c r="D1" s="15" t="s">
        <v>141</v>
      </c>
      <c r="E1" s="15" t="s">
        <v>127</v>
      </c>
      <c r="F1" s="15" t="s">
        <v>142</v>
      </c>
    </row>
    <row r="2" spans="1:8">
      <c r="A2" s="11" t="s">
        <v>122</v>
      </c>
      <c r="B2" s="26">
        <v>263403660</v>
      </c>
      <c r="C2" s="26">
        <v>719000</v>
      </c>
      <c r="D2" s="26">
        <f>60931*1000</f>
        <v>60931000</v>
      </c>
      <c r="E2" s="26">
        <v>9788000</v>
      </c>
      <c r="F2" s="26">
        <f>1000*1274056</f>
        <v>1274056000</v>
      </c>
      <c r="G2">
        <f>D2/C2</f>
        <v>84.744089012517392</v>
      </c>
      <c r="H2">
        <f>F2/E2</f>
        <v>130.16510012259911</v>
      </c>
    </row>
    <row r="3" spans="1:8">
      <c r="A3" s="11" t="s">
        <v>102</v>
      </c>
      <c r="B3" s="26"/>
      <c r="C3" s="26">
        <v>4212332</v>
      </c>
      <c r="D3" s="26">
        <v>71760048</v>
      </c>
      <c r="E3" s="26">
        <v>5758452</v>
      </c>
      <c r="F3" s="26">
        <v>891830833</v>
      </c>
      <c r="G3">
        <f t="shared" ref="G3:G8" si="0">D3/C3</f>
        <v>17.0357056376373</v>
      </c>
      <c r="H3">
        <f t="shared" ref="H3:H8" si="1">F3/E3</f>
        <v>154.87336405686807</v>
      </c>
    </row>
    <row r="4" spans="1:8">
      <c r="A4" s="11" t="s">
        <v>1</v>
      </c>
      <c r="B4" s="26"/>
      <c r="C4" s="26">
        <v>4604358</v>
      </c>
      <c r="D4" s="26">
        <v>30035403</v>
      </c>
      <c r="E4" s="26">
        <v>409119</v>
      </c>
      <c r="F4" s="26">
        <v>11684739</v>
      </c>
      <c r="G4">
        <f t="shared" si="0"/>
        <v>6.5232553593790925</v>
      </c>
      <c r="H4">
        <f t="shared" si="1"/>
        <v>28.560734162920813</v>
      </c>
    </row>
    <row r="5" spans="1:8">
      <c r="A5" s="11" t="s">
        <v>2</v>
      </c>
      <c r="B5" s="26"/>
      <c r="C5" s="26">
        <v>298513</v>
      </c>
      <c r="D5" s="26">
        <v>9706245</v>
      </c>
      <c r="E5" s="26">
        <v>164855</v>
      </c>
      <c r="F5" s="26">
        <v>6740176</v>
      </c>
      <c r="G5">
        <f t="shared" si="0"/>
        <v>32.515317590858693</v>
      </c>
      <c r="H5">
        <f t="shared" si="1"/>
        <v>40.885481180431292</v>
      </c>
    </row>
    <row r="6" spans="1:8">
      <c r="A6" s="11" t="s">
        <v>103</v>
      </c>
      <c r="B6" s="26"/>
      <c r="C6" s="26">
        <v>169045</v>
      </c>
      <c r="D6" s="26">
        <v>5354541</v>
      </c>
      <c r="E6" s="26">
        <v>2803746</v>
      </c>
      <c r="F6" s="26">
        <v>210175545</v>
      </c>
      <c r="G6">
        <f t="shared" si="0"/>
        <v>31.675240320624685</v>
      </c>
      <c r="H6">
        <f t="shared" si="1"/>
        <v>74.962405653008517</v>
      </c>
    </row>
    <row r="7" spans="1:8">
      <c r="A7" s="11" t="s">
        <v>3</v>
      </c>
      <c r="B7" s="26"/>
      <c r="C7" s="26">
        <v>7489</v>
      </c>
      <c r="D7" s="26">
        <v>1142919</v>
      </c>
      <c r="E7" s="26">
        <v>238169</v>
      </c>
      <c r="F7" s="26">
        <v>30599071</v>
      </c>
      <c r="G7">
        <f t="shared" si="0"/>
        <v>152.6130324475898</v>
      </c>
      <c r="H7">
        <f t="shared" si="1"/>
        <v>128.47629624342377</v>
      </c>
    </row>
    <row r="8" spans="1:8">
      <c r="A8" s="11" t="s">
        <v>104</v>
      </c>
      <c r="B8" s="26"/>
      <c r="C8" s="26">
        <v>136687</v>
      </c>
      <c r="D8" s="26">
        <v>664052</v>
      </c>
      <c r="E8" s="26">
        <v>594176</v>
      </c>
      <c r="F8" s="26">
        <v>101199377</v>
      </c>
      <c r="G8">
        <f t="shared" si="0"/>
        <v>4.8581942686575896</v>
      </c>
      <c r="H8">
        <f t="shared" si="1"/>
        <v>170.3188567023912</v>
      </c>
    </row>
    <row r="9" spans="1:8">
      <c r="A9" s="11" t="s">
        <v>106</v>
      </c>
      <c r="B9" s="11"/>
      <c r="C9" s="11"/>
      <c r="D9" s="11"/>
      <c r="E9" s="11"/>
      <c r="F9" s="11"/>
    </row>
    <row r="10" spans="1:8">
      <c r="B10" s="42" t="s">
        <v>59</v>
      </c>
      <c r="C10" s="42" t="s">
        <v>159</v>
      </c>
      <c r="D10" s="42" t="s">
        <v>160</v>
      </c>
      <c r="E10" s="42" t="s">
        <v>161</v>
      </c>
      <c r="F10" s="43" t="s">
        <v>162</v>
      </c>
    </row>
    <row r="11" spans="1:8">
      <c r="A11" s="11" t="s">
        <v>102</v>
      </c>
      <c r="B11" s="12">
        <f>SUM(TPO!B3:D3)/SUM(TPO!$B$9:$D$9)</f>
        <v>0.26028109522819742</v>
      </c>
      <c r="C11" s="12">
        <f t="shared" ref="C11:F16" si="2">C3/SUM(C$3:C$8)</f>
        <v>0.44676947069839029</v>
      </c>
      <c r="D11" s="12">
        <f t="shared" si="2"/>
        <v>0.60473713132717599</v>
      </c>
      <c r="E11" s="12">
        <f t="shared" si="2"/>
        <v>0.57766385912769169</v>
      </c>
      <c r="F11" s="12">
        <f t="shared" si="2"/>
        <v>0.71219425940786696</v>
      </c>
    </row>
    <row r="12" spans="1:8">
      <c r="A12" s="11" t="s">
        <v>1</v>
      </c>
      <c r="B12" s="12">
        <f>SUM(TPO!B4:D4)/SUM(TPO!$B$9:$D$9)</f>
        <v>4.8582714251394224E-2</v>
      </c>
      <c r="C12" s="12">
        <f t="shared" si="2"/>
        <v>0.48834863599685374</v>
      </c>
      <c r="D12" s="12">
        <f t="shared" si="2"/>
        <v>0.25311470594996893</v>
      </c>
      <c r="E12" s="12">
        <f t="shared" si="2"/>
        <v>4.1041109725749578E-2</v>
      </c>
      <c r="F12" s="12">
        <f t="shared" si="2"/>
        <v>9.331146368292494E-3</v>
      </c>
    </row>
    <row r="13" spans="1:8">
      <c r="A13" s="11" t="s">
        <v>2</v>
      </c>
      <c r="B13" s="12">
        <f>SUM(TPO!B5:D5)/SUM(TPO!$B$9:$D$9)</f>
        <v>2.8188337876479473E-2</v>
      </c>
      <c r="C13" s="12">
        <f t="shared" si="2"/>
        <v>3.1660964759327753E-2</v>
      </c>
      <c r="D13" s="12">
        <f t="shared" si="2"/>
        <v>8.179658348693894E-2</v>
      </c>
      <c r="E13" s="12">
        <f t="shared" si="2"/>
        <v>1.6537565216571331E-2</v>
      </c>
      <c r="F13" s="12">
        <f t="shared" si="2"/>
        <v>5.3825394648568722E-3</v>
      </c>
    </row>
    <row r="14" spans="1:8">
      <c r="A14" s="11" t="s">
        <v>103</v>
      </c>
      <c r="B14" s="12">
        <f>SUM(TPO!B6:D6)/SUM(TPO!$B$9:$D$9)</f>
        <v>3.7167308425329566E-2</v>
      </c>
      <c r="C14" s="12">
        <f t="shared" si="2"/>
        <v>1.7929295500499341E-2</v>
      </c>
      <c r="D14" s="12">
        <f t="shared" si="2"/>
        <v>4.5123851699677628E-2</v>
      </c>
      <c r="E14" s="12">
        <f t="shared" si="2"/>
        <v>0.28126009114495165</v>
      </c>
      <c r="F14" s="12">
        <f t="shared" si="2"/>
        <v>0.1678410423570989</v>
      </c>
    </row>
    <row r="15" spans="1:8">
      <c r="A15" s="11" t="s">
        <v>3</v>
      </c>
      <c r="B15" s="12">
        <f>SUM(TPO!B7:D7)/SUM(TPO!$B$9:$D$9)</f>
        <v>0.32713802287559579</v>
      </c>
      <c r="C15" s="12">
        <f t="shared" si="2"/>
        <v>7.9430029875618663E-4</v>
      </c>
      <c r="D15" s="12">
        <f t="shared" si="2"/>
        <v>9.6316206115041152E-3</v>
      </c>
      <c r="E15" s="12">
        <f t="shared" si="2"/>
        <v>2.3892119560010781E-2</v>
      </c>
      <c r="F15" s="12">
        <f t="shared" si="2"/>
        <v>2.4435668630234202E-2</v>
      </c>
    </row>
    <row r="16" spans="1:8">
      <c r="A16" s="11" t="s">
        <v>104</v>
      </c>
      <c r="B16" s="12">
        <f>SUM(TPO!B8:D8)/SUM(TPO!$B$9:$D$9)</f>
        <v>0.29864252134300351</v>
      </c>
      <c r="C16" s="12">
        <f t="shared" si="2"/>
        <v>1.4497332746172637E-2</v>
      </c>
      <c r="D16" s="12">
        <f t="shared" si="2"/>
        <v>5.5961069247344132E-3</v>
      </c>
      <c r="E16" s="12">
        <f t="shared" si="2"/>
        <v>5.9605255225024946E-2</v>
      </c>
      <c r="F16" s="12">
        <f t="shared" si="2"/>
        <v>8.0815343771650602E-2</v>
      </c>
    </row>
    <row r="17" spans="1:6">
      <c r="A17" s="11"/>
      <c r="B17" s="11"/>
      <c r="C17" s="11"/>
      <c r="D17" s="11"/>
      <c r="E17" s="11"/>
      <c r="F17" s="11"/>
    </row>
    <row r="18" spans="1:6">
      <c r="A18" s="11" t="s">
        <v>107</v>
      </c>
      <c r="B18" s="42" t="s">
        <v>59</v>
      </c>
      <c r="C18" s="42" t="s">
        <v>159</v>
      </c>
      <c r="D18" s="42" t="s">
        <v>160</v>
      </c>
      <c r="E18" s="42" t="s">
        <v>161</v>
      </c>
      <c r="F18" s="43" t="s">
        <v>162</v>
      </c>
    </row>
    <row r="19" spans="1:6">
      <c r="A19" s="11" t="s">
        <v>102</v>
      </c>
      <c r="B19" s="26">
        <f>B11*$B$2</f>
        <v>68558993.111915737</v>
      </c>
      <c r="C19" s="27">
        <f>C11*$C$2</f>
        <v>321227.24943214259</v>
      </c>
      <c r="D19" s="26">
        <f t="shared" ref="D19:F24" si="3">D11*D$2</f>
        <v>36847238.148896158</v>
      </c>
      <c r="E19" s="26">
        <f t="shared" si="3"/>
        <v>5654173.8531418461</v>
      </c>
      <c r="F19" s="26">
        <f t="shared" si="3"/>
        <v>907375369.36414933</v>
      </c>
    </row>
    <row r="20" spans="1:6">
      <c r="A20" s="11" t="s">
        <v>1</v>
      </c>
      <c r="B20" s="26">
        <f t="shared" ref="B20:B24" si="4">B12*$B$2</f>
        <v>12796864.746551398</v>
      </c>
      <c r="C20" s="27">
        <f t="shared" ref="C20:C24" si="5">C12*$C$2</f>
        <v>351122.66928173782</v>
      </c>
      <c r="D20" s="26">
        <f t="shared" si="3"/>
        <v>15422532.148237556</v>
      </c>
      <c r="E20" s="26">
        <f t="shared" si="3"/>
        <v>401710.38199563685</v>
      </c>
      <c r="F20" s="26">
        <f t="shared" si="3"/>
        <v>11888403.017401261</v>
      </c>
    </row>
    <row r="21" spans="1:6">
      <c r="A21" s="11" t="s">
        <v>2</v>
      </c>
      <c r="B21" s="26">
        <f t="shared" si="4"/>
        <v>7424911.3659813209</v>
      </c>
      <c r="C21" s="27">
        <f t="shared" si="5"/>
        <v>22764.233661956656</v>
      </c>
      <c r="D21" s="26">
        <f t="shared" si="3"/>
        <v>4983947.6284426767</v>
      </c>
      <c r="E21" s="26">
        <f t="shared" si="3"/>
        <v>161869.6883398002</v>
      </c>
      <c r="F21" s="26">
        <f t="shared" si="3"/>
        <v>6857656.7004376873</v>
      </c>
    </row>
    <row r="22" spans="1:6">
      <c r="A22" s="11" t="s">
        <v>103</v>
      </c>
      <c r="B22" s="26">
        <f t="shared" si="4"/>
        <v>9790005.0715806447</v>
      </c>
      <c r="C22" s="27">
        <f>C14*$C$2</f>
        <v>12891.163464859026</v>
      </c>
      <c r="D22" s="26">
        <f t="shared" si="3"/>
        <v>2749441.4079130576</v>
      </c>
      <c r="E22" s="26">
        <f t="shared" si="3"/>
        <v>2752973.7721267869</v>
      </c>
      <c r="F22" s="26">
        <f t="shared" si="3"/>
        <v>213838887.06131601</v>
      </c>
    </row>
    <row r="23" spans="1:6">
      <c r="A23" s="11" t="s">
        <v>3</v>
      </c>
      <c r="B23" s="26">
        <f t="shared" si="4"/>
        <v>86169352.550595656</v>
      </c>
      <c r="C23" s="27">
        <f t="shared" si="5"/>
        <v>571.10191480569813</v>
      </c>
      <c r="D23" s="26">
        <f t="shared" si="3"/>
        <v>586864.27547955723</v>
      </c>
      <c r="E23" s="26">
        <f t="shared" si="3"/>
        <v>233856.06625338551</v>
      </c>
      <c r="F23" s="26">
        <f t="shared" si="3"/>
        <v>31132410.232361667</v>
      </c>
    </row>
    <row r="24" spans="1:6">
      <c r="A24" s="11" t="s">
        <v>104</v>
      </c>
      <c r="B24" s="26">
        <f t="shared" si="4"/>
        <v>78663533.153375238</v>
      </c>
      <c r="C24" s="27">
        <f t="shared" si="5"/>
        <v>10423.582244498126</v>
      </c>
      <c r="D24" s="26">
        <f t="shared" si="3"/>
        <v>340976.39103099256</v>
      </c>
      <c r="E24" s="26">
        <f t="shared" si="3"/>
        <v>583416.23814254417</v>
      </c>
      <c r="F24" s="26">
        <f t="shared" si="3"/>
        <v>102963273.62433408</v>
      </c>
    </row>
    <row r="25" spans="1:6">
      <c r="A25" s="13"/>
      <c r="B25" s="13"/>
      <c r="C25" s="27"/>
      <c r="D25" s="13"/>
      <c r="E25" s="13"/>
      <c r="F25" s="13"/>
    </row>
    <row r="26" spans="1:6">
      <c r="A26" s="13"/>
      <c r="B26" s="13"/>
      <c r="C26" s="14"/>
      <c r="D26" s="13"/>
      <c r="E26" s="13"/>
      <c r="F26" s="13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7"/>
  <dimension ref="A1:F26"/>
  <sheetViews>
    <sheetView workbookViewId="0">
      <selection activeCell="M28" sqref="M28"/>
    </sheetView>
  </sheetViews>
  <sheetFormatPr defaultColWidth="8.875" defaultRowHeight="15.75"/>
  <cols>
    <col min="1" max="1" width="18" bestFit="1" customWidth="1"/>
    <col min="2" max="2" width="13.375" customWidth="1"/>
    <col min="3" max="3" width="17.5" bestFit="1" customWidth="1"/>
    <col min="4" max="4" width="19.625" bestFit="1" customWidth="1"/>
    <col min="5" max="5" width="17.125" bestFit="1" customWidth="1"/>
    <col min="6" max="6" width="19.5" bestFit="1" customWidth="1"/>
  </cols>
  <sheetData>
    <row r="1" spans="1:6">
      <c r="A1" s="11"/>
      <c r="B1" s="15" t="s">
        <v>128</v>
      </c>
      <c r="C1" s="15" t="s">
        <v>126</v>
      </c>
      <c r="D1" s="15" t="s">
        <v>141</v>
      </c>
      <c r="E1" s="15" t="s">
        <v>127</v>
      </c>
      <c r="F1" s="15" t="s">
        <v>142</v>
      </c>
    </row>
    <row r="2" spans="1:6">
      <c r="A2" s="11" t="s">
        <v>122</v>
      </c>
      <c r="B2" s="26">
        <v>91274752</v>
      </c>
      <c r="C2" s="26">
        <v>472000</v>
      </c>
      <c r="D2" s="26">
        <f>30404*1000</f>
        <v>30404000</v>
      </c>
      <c r="E2" s="26">
        <v>1773000</v>
      </c>
      <c r="F2" s="26">
        <f>1000*466504</f>
        <v>466504000</v>
      </c>
    </row>
    <row r="3" spans="1:6">
      <c r="A3" s="11" t="s">
        <v>102</v>
      </c>
      <c r="B3" s="26"/>
      <c r="C3" s="26">
        <v>86409</v>
      </c>
      <c r="D3" s="26">
        <v>7629722</v>
      </c>
      <c r="E3" s="26">
        <v>259045</v>
      </c>
      <c r="F3" s="26">
        <v>120546064</v>
      </c>
    </row>
    <row r="4" spans="1:6">
      <c r="A4" s="11" t="s">
        <v>1</v>
      </c>
      <c r="B4" s="26"/>
      <c r="C4" s="26">
        <v>190</v>
      </c>
      <c r="D4" s="26">
        <v>62898</v>
      </c>
      <c r="E4" s="26">
        <v>2093</v>
      </c>
      <c r="F4" s="26">
        <v>217355</v>
      </c>
    </row>
    <row r="5" spans="1:6">
      <c r="A5" s="11" t="s">
        <v>2</v>
      </c>
      <c r="B5" s="26"/>
      <c r="C5" s="26">
        <v>348578</v>
      </c>
      <c r="D5" s="26">
        <v>16658882</v>
      </c>
      <c r="E5" s="26">
        <v>9606</v>
      </c>
      <c r="F5" s="26">
        <v>5679469</v>
      </c>
    </row>
    <row r="6" spans="1:6">
      <c r="A6" s="11" t="s">
        <v>103</v>
      </c>
      <c r="B6" s="26"/>
      <c r="C6" s="26">
        <v>39389</v>
      </c>
      <c r="D6" s="26">
        <v>7565190</v>
      </c>
      <c r="E6" s="26">
        <v>916382</v>
      </c>
      <c r="F6" s="26">
        <v>257978915</v>
      </c>
    </row>
    <row r="7" spans="1:6">
      <c r="A7" s="11" t="s">
        <v>3</v>
      </c>
      <c r="B7" s="26"/>
      <c r="C7" s="26">
        <v>397</v>
      </c>
      <c r="D7" s="26">
        <v>315728</v>
      </c>
      <c r="E7" s="26">
        <v>43704</v>
      </c>
      <c r="F7" s="26">
        <v>23449727</v>
      </c>
    </row>
    <row r="8" spans="1:6">
      <c r="A8" s="11" t="s">
        <v>104</v>
      </c>
      <c r="B8" s="26"/>
      <c r="C8" s="26">
        <v>2285</v>
      </c>
      <c r="D8" s="26">
        <v>466168</v>
      </c>
      <c r="E8" s="26">
        <v>531480</v>
      </c>
      <c r="F8" s="26">
        <v>240468486</v>
      </c>
    </row>
    <row r="9" spans="1:6">
      <c r="A9" s="11"/>
      <c r="B9" s="11"/>
      <c r="C9" s="11"/>
      <c r="D9" s="11"/>
      <c r="E9" s="11"/>
      <c r="F9" s="11"/>
    </row>
    <row r="10" spans="1:6">
      <c r="A10" s="11" t="s">
        <v>106</v>
      </c>
      <c r="B10" s="42" t="s">
        <v>59</v>
      </c>
      <c r="C10" s="42" t="s">
        <v>159</v>
      </c>
      <c r="D10" s="42" t="s">
        <v>160</v>
      </c>
      <c r="E10" s="42" t="s">
        <v>161</v>
      </c>
      <c r="F10" s="43" t="s">
        <v>162</v>
      </c>
    </row>
    <row r="11" spans="1:6">
      <c r="A11" s="11" t="s">
        <v>102</v>
      </c>
      <c r="B11" s="12">
        <f>SUM(TPO!J3:L3)/SUM(TPO!$J$9:$L$9)</f>
        <v>2.7880224318068154E-2</v>
      </c>
      <c r="C11" s="12">
        <f>C3/SUM(C$3:C$8)</f>
        <v>0.18105680903848734</v>
      </c>
      <c r="D11" s="12">
        <f>D3/SUM(D$3:D$8)</f>
        <v>0.23333490730547754</v>
      </c>
      <c r="E11" s="12">
        <f t="shared" ref="E11:F11" si="0">E3/SUM(E$3:E$8)</f>
        <v>0.14699173244207886</v>
      </c>
      <c r="F11" s="12">
        <f t="shared" si="0"/>
        <v>0.1859303159223786</v>
      </c>
    </row>
    <row r="12" spans="1:6">
      <c r="A12" s="11" t="s">
        <v>1</v>
      </c>
      <c r="B12" s="12">
        <f>SUM(TPO!J4:L4)/SUM(TPO!$J$9:$L$9)</f>
        <v>1.5335096977663846E-3</v>
      </c>
      <c r="C12" s="12">
        <f t="shared" ref="C12:D16" si="1">C4/SUM(C$3:C$8)</f>
        <v>3.981158642885879E-4</v>
      </c>
      <c r="D12" s="12">
        <f t="shared" si="1"/>
        <v>1.9235692990779909E-3</v>
      </c>
      <c r="E12" s="12">
        <f t="shared" ref="E12:F12" si="2">E4/SUM(E$3:E$8)</f>
        <v>1.1876457603940283E-3</v>
      </c>
      <c r="F12" s="12">
        <f t="shared" si="2"/>
        <v>3.3524847246201755E-4</v>
      </c>
    </row>
    <row r="13" spans="1:6">
      <c r="A13" s="11" t="s">
        <v>2</v>
      </c>
      <c r="B13" s="12">
        <f>SUM(TPO!J5:L5)/SUM(TPO!$J$9:$L$9)</f>
        <v>0.25456192659923643</v>
      </c>
      <c r="C13" s="12">
        <f t="shared" si="1"/>
        <v>0.73039174601045997</v>
      </c>
      <c r="D13" s="12">
        <f t="shared" si="1"/>
        <v>0.50946793176512695</v>
      </c>
      <c r="E13" s="12">
        <f t="shared" ref="E13:F13" si="3">E5/SUM(E$3:E$8)</f>
        <v>5.4508003699689613E-3</v>
      </c>
      <c r="F13" s="12">
        <f t="shared" si="3"/>
        <v>8.7600161332630124E-3</v>
      </c>
    </row>
    <row r="14" spans="1:6">
      <c r="A14" s="11" t="s">
        <v>103</v>
      </c>
      <c r="B14" s="12">
        <f>SUM(TPO!J6:L6)/SUM(TPO!$J$9:$L$9)</f>
        <v>0.20674505136523016</v>
      </c>
      <c r="C14" s="12">
        <f t="shared" si="1"/>
        <v>8.2533609360332577E-2</v>
      </c>
      <c r="D14" s="12">
        <f t="shared" si="1"/>
        <v>0.23136136642964522</v>
      </c>
      <c r="E14" s="12">
        <f t="shared" ref="E14:F14" si="4">E6/SUM(E$3:E$8)</f>
        <v>0.51998910520850472</v>
      </c>
      <c r="F14" s="12">
        <f t="shared" si="4"/>
        <v>0.39790682147251571</v>
      </c>
    </row>
    <row r="15" spans="1:6">
      <c r="A15" s="11" t="s">
        <v>3</v>
      </c>
      <c r="B15" s="12">
        <f>SUM(TPO!J7:L7)/SUM(TPO!$J$9:$L$9)</f>
        <v>0.31324762440934767</v>
      </c>
      <c r="C15" s="12">
        <f t="shared" si="1"/>
        <v>8.3185262169773366E-4</v>
      </c>
      <c r="D15" s="12">
        <f t="shared" si="1"/>
        <v>9.6557074574596304E-3</v>
      </c>
      <c r="E15" s="12">
        <f t="shared" ref="E15:F15" si="5">E7/SUM(E$3:E$8)</f>
        <v>2.4799269141070526E-2</v>
      </c>
      <c r="F15" s="12">
        <f t="shared" si="5"/>
        <v>3.616887192105693E-2</v>
      </c>
    </row>
    <row r="16" spans="1:6">
      <c r="A16" s="11" t="s">
        <v>104</v>
      </c>
      <c r="B16" s="12">
        <f>SUM(TPO!J8:L8)/SUM(TPO!$J$9:$L$9)</f>
        <v>0.19603166361035121</v>
      </c>
      <c r="C16" s="12">
        <f t="shared" si="1"/>
        <v>4.787867104733807E-3</v>
      </c>
      <c r="D16" s="12">
        <f t="shared" si="1"/>
        <v>1.4256517743212642E-2</v>
      </c>
      <c r="E16" s="12">
        <f t="shared" ref="E16:F16" si="6">E8/SUM(E$3:E$8)</f>
        <v>0.3015814470779829</v>
      </c>
      <c r="F16" s="12">
        <f t="shared" si="6"/>
        <v>0.37089872607832369</v>
      </c>
    </row>
    <row r="17" spans="1:6">
      <c r="A17" s="11"/>
      <c r="B17" s="11"/>
      <c r="C17" s="11"/>
      <c r="D17" s="11"/>
      <c r="E17" s="11"/>
      <c r="F17" s="11"/>
    </row>
    <row r="18" spans="1:6">
      <c r="A18" s="11" t="s">
        <v>107</v>
      </c>
      <c r="B18" s="42" t="s">
        <v>59</v>
      </c>
      <c r="C18" s="42" t="s">
        <v>159</v>
      </c>
      <c r="D18" s="42" t="s">
        <v>160</v>
      </c>
      <c r="E18" s="42" t="s">
        <v>161</v>
      </c>
      <c r="F18" s="43" t="s">
        <v>162</v>
      </c>
    </row>
    <row r="19" spans="1:6">
      <c r="A19" s="11" t="s">
        <v>102</v>
      </c>
      <c r="B19" s="26">
        <f>B11*$B$2</f>
        <v>2544760.5603360399</v>
      </c>
      <c r="C19" s="27">
        <f>C11*C$2</f>
        <v>85458.81386616602</v>
      </c>
      <c r="D19" s="27">
        <f>D11*D$2</f>
        <v>7094314.5217157388</v>
      </c>
      <c r="E19" s="27">
        <f>E11*E$2</f>
        <v>260616.34161980581</v>
      </c>
      <c r="F19" s="27">
        <f>F11*F$2</f>
        <v>86737236.099053308</v>
      </c>
    </row>
    <row r="20" spans="1:6">
      <c r="A20" s="11" t="s">
        <v>1</v>
      </c>
      <c r="B20" s="26">
        <f t="shared" ref="B20:B24" si="7">B12*$B$2</f>
        <v>139970.7173532217</v>
      </c>
      <c r="C20" s="27">
        <f t="shared" ref="C20:D24" si="8">C12*C$2</f>
        <v>187.91068794421349</v>
      </c>
      <c r="D20" s="27">
        <f t="shared" si="8"/>
        <v>58484.200969167236</v>
      </c>
      <c r="E20" s="27">
        <f t="shared" ref="E20:F20" si="9">E12*E$2</f>
        <v>2105.695933178612</v>
      </c>
      <c r="F20" s="27">
        <f t="shared" si="9"/>
        <v>156394.75339742104</v>
      </c>
    </row>
    <row r="21" spans="1:6">
      <c r="A21" s="11" t="s">
        <v>2</v>
      </c>
      <c r="B21" s="26">
        <f t="shared" si="7"/>
        <v>23235076.71898751</v>
      </c>
      <c r="C21" s="27">
        <f t="shared" si="8"/>
        <v>344744.90411693713</v>
      </c>
      <c r="D21" s="27">
        <f t="shared" si="8"/>
        <v>15489862.997386919</v>
      </c>
      <c r="E21" s="27">
        <f t="shared" ref="E21:F21" si="10">E13*E$2</f>
        <v>9664.2690559549683</v>
      </c>
      <c r="F21" s="27">
        <f t="shared" si="10"/>
        <v>4086582.5662317285</v>
      </c>
    </row>
    <row r="22" spans="1:6">
      <c r="A22" s="11" t="s">
        <v>103</v>
      </c>
      <c r="B22" s="26">
        <f t="shared" si="7"/>
        <v>18870603.290588643</v>
      </c>
      <c r="C22" s="27">
        <f t="shared" si="8"/>
        <v>38955.863618076975</v>
      </c>
      <c r="D22" s="27">
        <f t="shared" si="8"/>
        <v>7034310.9849269334</v>
      </c>
      <c r="E22" s="27">
        <f t="shared" ref="E22:F22" si="11">E14*E$2</f>
        <v>921940.68353467889</v>
      </c>
      <c r="F22" s="27">
        <f t="shared" si="11"/>
        <v>185625123.84421447</v>
      </c>
    </row>
    <row r="23" spans="1:6">
      <c r="A23" s="11" t="s">
        <v>3</v>
      </c>
      <c r="B23" s="26">
        <f t="shared" si="7"/>
        <v>28591599.232552353</v>
      </c>
      <c r="C23" s="27">
        <f t="shared" si="8"/>
        <v>392.63443744133031</v>
      </c>
      <c r="D23" s="27">
        <f t="shared" si="8"/>
        <v>293572.12953660259</v>
      </c>
      <c r="E23" s="27">
        <f t="shared" ref="E23:F23" si="12">E15*E$2</f>
        <v>43969.104187118042</v>
      </c>
      <c r="F23" s="27">
        <f t="shared" si="12"/>
        <v>16872923.426660743</v>
      </c>
    </row>
    <row r="24" spans="1:6">
      <c r="A24" s="11" t="s">
        <v>104</v>
      </c>
      <c r="B24" s="26">
        <f t="shared" si="7"/>
        <v>17892741.48018223</v>
      </c>
      <c r="C24" s="27">
        <f t="shared" si="8"/>
        <v>2259.8732734343571</v>
      </c>
      <c r="D24" s="27">
        <f t="shared" si="8"/>
        <v>433455.16546463716</v>
      </c>
      <c r="E24" s="27">
        <f t="shared" ref="E24:F24" si="13">E16*E$2</f>
        <v>534703.90566926368</v>
      </c>
      <c r="F24" s="27">
        <f t="shared" si="13"/>
        <v>173025739.31044233</v>
      </c>
    </row>
    <row r="25" spans="1:6">
      <c r="A25" s="13"/>
      <c r="B25" s="13"/>
      <c r="C25" s="14"/>
      <c r="D25" s="13"/>
      <c r="E25" s="13"/>
      <c r="F25" s="13"/>
    </row>
    <row r="26" spans="1:6">
      <c r="A26" s="13"/>
      <c r="B26" s="13"/>
      <c r="C26" s="14"/>
      <c r="D26" s="13"/>
      <c r="E26" s="13"/>
      <c r="F26" s="13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26"/>
  <sheetViews>
    <sheetView workbookViewId="0">
      <selection activeCell="E37" sqref="E37"/>
    </sheetView>
  </sheetViews>
  <sheetFormatPr defaultColWidth="8.875" defaultRowHeight="15.75"/>
  <cols>
    <col min="1" max="1" width="18" bestFit="1" customWidth="1"/>
    <col min="2" max="2" width="22.625" bestFit="1" customWidth="1"/>
    <col min="3" max="3" width="26.625" bestFit="1" customWidth="1"/>
    <col min="4" max="4" width="17.5" bestFit="1" customWidth="1"/>
    <col min="5" max="5" width="19.625" bestFit="1" customWidth="1"/>
    <col min="6" max="6" width="17.125" bestFit="1" customWidth="1"/>
    <col min="7" max="7" width="19.5" bestFit="1" customWidth="1"/>
    <col min="8" max="8" width="17.5" bestFit="1" customWidth="1"/>
    <col min="9" max="9" width="23.625" bestFit="1" customWidth="1"/>
    <col min="10" max="10" width="17.125" bestFit="1" customWidth="1"/>
    <col min="11" max="11" width="23.5" bestFit="1" customWidth="1"/>
  </cols>
  <sheetData>
    <row r="1" spans="1:12">
      <c r="A1" s="11"/>
      <c r="B1" s="15" t="s">
        <v>128</v>
      </c>
      <c r="C1" s="15" t="s">
        <v>126</v>
      </c>
      <c r="D1" s="15" t="s">
        <v>141</v>
      </c>
      <c r="E1" s="15" t="s">
        <v>127</v>
      </c>
      <c r="F1" s="15" t="s">
        <v>142</v>
      </c>
      <c r="I1" s="56" t="s">
        <v>138</v>
      </c>
      <c r="J1" s="56"/>
      <c r="K1" s="56"/>
      <c r="L1" s="56"/>
    </row>
    <row r="2" spans="1:12">
      <c r="A2" s="11" t="s">
        <v>122</v>
      </c>
      <c r="B2" s="26">
        <f>fuelwood.c!B2+fuelwood.nc!B2</f>
        <v>44345000</v>
      </c>
      <c r="C2" s="21">
        <v>150350</v>
      </c>
      <c r="D2" s="26">
        <f>1000*13451</f>
        <v>13451000</v>
      </c>
      <c r="E2" s="21">
        <v>370500</v>
      </c>
      <c r="F2" s="26">
        <f>1000*27007</f>
        <v>27007000</v>
      </c>
      <c r="I2" s="15" t="s">
        <v>126</v>
      </c>
      <c r="J2" s="15" t="s">
        <v>124</v>
      </c>
      <c r="K2" s="15" t="s">
        <v>127</v>
      </c>
      <c r="L2" s="15" t="s">
        <v>125</v>
      </c>
    </row>
    <row r="3" spans="1:12">
      <c r="A3" s="11" t="s">
        <v>102</v>
      </c>
      <c r="B3" s="26"/>
      <c r="C3" s="26">
        <v>0</v>
      </c>
      <c r="D3" s="26">
        <v>2593769</v>
      </c>
      <c r="E3" s="26">
        <v>0</v>
      </c>
      <c r="F3" s="26">
        <v>24613772</v>
      </c>
      <c r="I3">
        <v>150350</v>
      </c>
      <c r="J3">
        <v>13451</v>
      </c>
      <c r="K3">
        <v>370500</v>
      </c>
      <c r="L3">
        <v>27007</v>
      </c>
    </row>
    <row r="4" spans="1:12">
      <c r="A4" s="11" t="s">
        <v>1</v>
      </c>
      <c r="B4" s="26"/>
      <c r="C4" s="26">
        <v>0</v>
      </c>
      <c r="D4" s="26">
        <v>42232</v>
      </c>
      <c r="E4" s="26">
        <v>0</v>
      </c>
      <c r="F4" s="26">
        <v>21013</v>
      </c>
    </row>
    <row r="5" spans="1:12">
      <c r="A5" s="11" t="s">
        <v>2</v>
      </c>
      <c r="B5" s="26"/>
      <c r="C5" s="26">
        <v>0</v>
      </c>
      <c r="D5" s="26">
        <v>65114</v>
      </c>
      <c r="E5" s="26">
        <v>0</v>
      </c>
      <c r="F5" s="26">
        <v>89377</v>
      </c>
    </row>
    <row r="6" spans="1:12">
      <c r="A6" s="11" t="s">
        <v>103</v>
      </c>
      <c r="B6" s="26"/>
      <c r="C6" s="26">
        <v>0</v>
      </c>
      <c r="D6" s="26">
        <v>6144888</v>
      </c>
      <c r="E6" s="26">
        <v>0</v>
      </c>
      <c r="F6" s="26">
        <v>2054000</v>
      </c>
    </row>
    <row r="7" spans="1:12">
      <c r="A7" s="11" t="s">
        <v>3</v>
      </c>
      <c r="B7" s="26"/>
      <c r="C7" s="26">
        <v>0</v>
      </c>
      <c r="D7" s="26">
        <v>1529079</v>
      </c>
      <c r="E7" s="26">
        <v>0</v>
      </c>
      <c r="F7" s="26">
        <v>30790</v>
      </c>
    </row>
    <row r="8" spans="1:12">
      <c r="A8" s="11" t="s">
        <v>104</v>
      </c>
      <c r="B8" s="26"/>
      <c r="C8" s="26">
        <v>0</v>
      </c>
      <c r="D8" s="26">
        <v>3075999</v>
      </c>
      <c r="E8" s="26">
        <v>0</v>
      </c>
      <c r="F8" s="26">
        <v>149686</v>
      </c>
    </row>
    <row r="9" spans="1:12">
      <c r="A9" s="11"/>
      <c r="B9" s="11"/>
      <c r="C9" s="11"/>
      <c r="D9" s="11"/>
      <c r="E9" s="11"/>
      <c r="F9" s="11"/>
    </row>
    <row r="10" spans="1:12">
      <c r="A10" s="11" t="s">
        <v>106</v>
      </c>
      <c r="B10" s="42" t="s">
        <v>59</v>
      </c>
      <c r="C10" s="42" t="s">
        <v>159</v>
      </c>
      <c r="D10" s="42" t="s">
        <v>160</v>
      </c>
      <c r="E10" s="42" t="s">
        <v>161</v>
      </c>
      <c r="F10" s="43" t="s">
        <v>162</v>
      </c>
    </row>
    <row r="11" spans="1:12">
      <c r="A11" s="11" t="s">
        <v>102</v>
      </c>
      <c r="B11" s="12">
        <f>B19/SUM($B$19:$B$24)</f>
        <v>7.2064951855407192E-2</v>
      </c>
      <c r="C11" s="12">
        <f>D11</f>
        <v>0.19282978074401605</v>
      </c>
      <c r="D11" s="12">
        <f t="shared" ref="D11:D16" si="0">D3/SUM(D$3:D$8)</f>
        <v>0.19282978074401605</v>
      </c>
      <c r="E11" s="12">
        <f>F11</f>
        <v>0.91301986398571022</v>
      </c>
      <c r="F11" s="12">
        <f t="shared" ref="F11:F16" si="1">F3/SUM(F$3:F$8)</f>
        <v>0.91301986398571022</v>
      </c>
    </row>
    <row r="12" spans="1:12">
      <c r="A12" s="11" t="s">
        <v>1</v>
      </c>
      <c r="B12" s="12">
        <f t="shared" ref="B12:B16" si="2">B20/SUM($B$19:$B$24)</f>
        <v>1.0478640909664824E-2</v>
      </c>
      <c r="C12" s="12">
        <f t="shared" ref="C12:C16" si="3">D12</f>
        <v>3.1396733095280594E-3</v>
      </c>
      <c r="D12" s="12">
        <f t="shared" si="0"/>
        <v>3.1396733095280594E-3</v>
      </c>
      <c r="E12" s="12">
        <f t="shared" ref="E12:E16" si="4">F12</f>
        <v>7.7945332401436606E-4</v>
      </c>
      <c r="F12" s="12">
        <f t="shared" si="1"/>
        <v>7.7945332401436606E-4</v>
      </c>
    </row>
    <row r="13" spans="1:12">
      <c r="A13" s="11" t="s">
        <v>2</v>
      </c>
      <c r="B13" s="12">
        <f t="shared" si="2"/>
        <v>0.21152312343041099</v>
      </c>
      <c r="C13" s="12">
        <f t="shared" si="3"/>
        <v>4.8408005274817693E-3</v>
      </c>
      <c r="D13" s="12">
        <f t="shared" si="0"/>
        <v>4.8408005274817693E-3</v>
      </c>
      <c r="E13" s="12">
        <f t="shared" si="4"/>
        <v>3.3153381116657302E-3</v>
      </c>
      <c r="F13" s="12">
        <f t="shared" si="1"/>
        <v>3.3153381116657302E-3</v>
      </c>
    </row>
    <row r="14" spans="1:12">
      <c r="A14" s="11" t="s">
        <v>103</v>
      </c>
      <c r="B14" s="12">
        <f t="shared" si="2"/>
        <v>0.17450443910395375</v>
      </c>
      <c r="C14" s="12">
        <f t="shared" si="3"/>
        <v>0.45683227987401159</v>
      </c>
      <c r="D14" s="12">
        <f t="shared" si="0"/>
        <v>0.45683227987401159</v>
      </c>
      <c r="E14" s="12">
        <f t="shared" si="4"/>
        <v>7.6190792724765991E-2</v>
      </c>
      <c r="F14" s="12">
        <f t="shared" si="1"/>
        <v>7.6190792724765991E-2</v>
      </c>
    </row>
    <row r="15" spans="1:12">
      <c r="A15" s="11" t="s">
        <v>3</v>
      </c>
      <c r="B15" s="12">
        <f t="shared" si="2"/>
        <v>0.31588850724774969</v>
      </c>
      <c r="C15" s="12">
        <f t="shared" si="3"/>
        <v>0.11367703458183026</v>
      </c>
      <c r="D15" s="12">
        <f t="shared" si="0"/>
        <v>0.11367703458183026</v>
      </c>
      <c r="E15" s="12">
        <f t="shared" si="4"/>
        <v>1.1421200136297687E-3</v>
      </c>
      <c r="F15" s="12">
        <f t="shared" si="1"/>
        <v>1.1421200136297687E-3</v>
      </c>
    </row>
    <row r="16" spans="1:12">
      <c r="A16" s="11" t="s">
        <v>104</v>
      </c>
      <c r="B16" s="12">
        <f t="shared" si="2"/>
        <v>0.21554033745281354</v>
      </c>
      <c r="C16" s="12">
        <f t="shared" si="3"/>
        <v>0.22868043096313226</v>
      </c>
      <c r="D16" s="12">
        <f t="shared" si="0"/>
        <v>0.22868043096313226</v>
      </c>
      <c r="E16" s="12">
        <f t="shared" si="4"/>
        <v>5.5524318402138863E-3</v>
      </c>
      <c r="F16" s="12">
        <f t="shared" si="1"/>
        <v>5.5524318402138863E-3</v>
      </c>
    </row>
    <row r="17" spans="1:7">
      <c r="A17" s="11"/>
      <c r="B17" s="11"/>
      <c r="D17" s="11"/>
      <c r="E17" s="11"/>
      <c r="F17" s="11"/>
      <c r="G17" s="11"/>
    </row>
    <row r="18" spans="1:7">
      <c r="A18" s="11" t="s">
        <v>107</v>
      </c>
      <c r="B18" s="42" t="s">
        <v>59</v>
      </c>
      <c r="C18" s="42" t="s">
        <v>159</v>
      </c>
      <c r="D18" s="42" t="s">
        <v>160</v>
      </c>
      <c r="E18" s="42" t="s">
        <v>161</v>
      </c>
      <c r="F18" s="43" t="s">
        <v>162</v>
      </c>
      <c r="G18" s="11"/>
    </row>
    <row r="19" spans="1:7">
      <c r="A19" s="11" t="s">
        <v>102</v>
      </c>
      <c r="B19" s="21">
        <f>fuelwood.c!B19+fuelwood.nc!B19</f>
        <v>3195720.2900280319</v>
      </c>
      <c r="C19" s="26">
        <f t="shared" ref="C19:F24" si="5">C$2*C11</f>
        <v>28991.957534862813</v>
      </c>
      <c r="D19" s="26">
        <f t="shared" si="5"/>
        <v>2593753.38078776</v>
      </c>
      <c r="E19" s="26">
        <f t="shared" si="5"/>
        <v>338273.85960670566</v>
      </c>
      <c r="F19" s="26">
        <f t="shared" si="5"/>
        <v>24657927.466662075</v>
      </c>
    </row>
    <row r="20" spans="1:7">
      <c r="A20" s="11" t="s">
        <v>1</v>
      </c>
      <c r="B20" s="21">
        <f>fuelwood.c!B20+fuelwood.nc!B20</f>
        <v>464675.33113908663</v>
      </c>
      <c r="C20" s="26">
        <f t="shared" si="5"/>
        <v>472.04988208754372</v>
      </c>
      <c r="D20" s="26">
        <f t="shared" si="5"/>
        <v>42231.745686461923</v>
      </c>
      <c r="E20" s="26">
        <f t="shared" si="5"/>
        <v>288.78745654732262</v>
      </c>
      <c r="F20" s="26">
        <f t="shared" si="5"/>
        <v>21050.695921655984</v>
      </c>
    </row>
    <row r="21" spans="1:7">
      <c r="A21" s="11" t="s">
        <v>2</v>
      </c>
      <c r="B21" s="21">
        <f>fuelwood.c!B21+fuelwood.nc!B21</f>
        <v>9379992.9085215759</v>
      </c>
      <c r="C21" s="26">
        <f t="shared" si="5"/>
        <v>727.81435930688406</v>
      </c>
      <c r="D21" s="26">
        <f t="shared" si="5"/>
        <v>65113.607895157278</v>
      </c>
      <c r="E21" s="26">
        <f t="shared" si="5"/>
        <v>1228.3327703721529</v>
      </c>
      <c r="F21" s="26">
        <f t="shared" si="5"/>
        <v>89537.33638175638</v>
      </c>
    </row>
    <row r="22" spans="1:7">
      <c r="A22" s="11" t="s">
        <v>103</v>
      </c>
      <c r="B22" s="21">
        <f>fuelwood.c!B22+fuelwood.nc!B22</f>
        <v>7738399.3520648293</v>
      </c>
      <c r="C22" s="26">
        <f t="shared" si="5"/>
        <v>68684.733279057647</v>
      </c>
      <c r="D22" s="26">
        <f t="shared" si="5"/>
        <v>6144850.99658533</v>
      </c>
      <c r="E22" s="26">
        <f t="shared" si="5"/>
        <v>28228.688704525801</v>
      </c>
      <c r="F22" s="26">
        <f t="shared" si="5"/>
        <v>2057684.7391177551</v>
      </c>
    </row>
    <row r="23" spans="1:7">
      <c r="A23" s="11" t="s">
        <v>3</v>
      </c>
      <c r="B23" s="21">
        <f>fuelwood.c!B23+fuelwood.nc!B23</f>
        <v>14008075.853901461</v>
      </c>
      <c r="C23" s="26">
        <f t="shared" si="5"/>
        <v>17091.342149378179</v>
      </c>
      <c r="D23" s="26">
        <f t="shared" si="5"/>
        <v>1529069.7921601988</v>
      </c>
      <c r="E23" s="26">
        <f t="shared" si="5"/>
        <v>423.15546504982927</v>
      </c>
      <c r="F23" s="26">
        <f t="shared" si="5"/>
        <v>30845.235208099162</v>
      </c>
    </row>
    <row r="24" spans="1:7">
      <c r="A24" s="11" t="s">
        <v>104</v>
      </c>
      <c r="B24" s="21">
        <f>fuelwood.c!B24+fuelwood.nc!B24</f>
        <v>9558136.2643450163</v>
      </c>
      <c r="C24" s="26">
        <f t="shared" si="5"/>
        <v>34382.102795306935</v>
      </c>
      <c r="D24" s="26">
        <f t="shared" si="5"/>
        <v>3075980.476885092</v>
      </c>
      <c r="E24" s="26">
        <f t="shared" si="5"/>
        <v>2057.1759967992448</v>
      </c>
      <c r="F24" s="26">
        <f t="shared" si="5"/>
        <v>149954.52670865643</v>
      </c>
    </row>
    <row r="25" spans="1:7">
      <c r="A25" s="13"/>
      <c r="B25" s="13"/>
      <c r="C25" s="14"/>
      <c r="D25" s="13"/>
      <c r="E25" s="13"/>
      <c r="F25" s="13"/>
    </row>
    <row r="26" spans="1:7">
      <c r="A26" s="13"/>
      <c r="B26" s="13"/>
      <c r="C26" s="14"/>
      <c r="D26" s="13"/>
      <c r="E26" s="13"/>
      <c r="F26" s="13"/>
    </row>
  </sheetData>
  <mergeCells count="1">
    <mergeCell ref="I1:L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8"/>
  <dimension ref="A1:L26"/>
  <sheetViews>
    <sheetView workbookViewId="0">
      <selection activeCell="B11" sqref="B11"/>
    </sheetView>
  </sheetViews>
  <sheetFormatPr defaultColWidth="8.875" defaultRowHeight="15.75"/>
  <cols>
    <col min="1" max="1" width="18" bestFit="1" customWidth="1"/>
    <col min="2" max="2" width="22.625" bestFit="1" customWidth="1"/>
    <col min="3" max="3" width="26.625" bestFit="1" customWidth="1"/>
    <col min="4" max="4" width="17.5" bestFit="1" customWidth="1"/>
    <col min="5" max="5" width="19.625" bestFit="1" customWidth="1"/>
    <col min="6" max="6" width="17.125" bestFit="1" customWidth="1"/>
    <col min="7" max="7" width="19.5" bestFit="1" customWidth="1"/>
    <col min="8" max="8" width="17.5" bestFit="1" customWidth="1"/>
    <col min="9" max="9" width="23.625" bestFit="1" customWidth="1"/>
    <col min="10" max="10" width="17.125" bestFit="1" customWidth="1"/>
    <col min="11" max="11" width="23.5" bestFit="1" customWidth="1"/>
  </cols>
  <sheetData>
    <row r="1" spans="1:12">
      <c r="A1" s="11"/>
      <c r="B1" s="15" t="s">
        <v>157</v>
      </c>
      <c r="C1" s="15" t="s">
        <v>126</v>
      </c>
      <c r="D1" s="15" t="s">
        <v>141</v>
      </c>
      <c r="E1" s="15" t="s">
        <v>127</v>
      </c>
      <c r="F1" s="15" t="s">
        <v>142</v>
      </c>
      <c r="I1" s="56" t="s">
        <v>138</v>
      </c>
      <c r="J1" s="56"/>
      <c r="K1" s="56"/>
      <c r="L1" s="56"/>
    </row>
    <row r="2" spans="1:12">
      <c r="A2" s="11" t="s">
        <v>122</v>
      </c>
      <c r="B2" s="26">
        <v>8431000</v>
      </c>
      <c r="C2" s="21"/>
      <c r="D2" s="21"/>
      <c r="E2" s="21"/>
      <c r="F2" s="21"/>
      <c r="I2" s="15" t="s">
        <v>126</v>
      </c>
      <c r="J2" s="15" t="s">
        <v>124</v>
      </c>
      <c r="K2" s="15" t="s">
        <v>127</v>
      </c>
      <c r="L2" s="15" t="s">
        <v>125</v>
      </c>
    </row>
    <row r="3" spans="1:12">
      <c r="A3" s="11" t="s">
        <v>102</v>
      </c>
      <c r="B3" s="26"/>
      <c r="C3" s="26"/>
      <c r="D3" s="26"/>
      <c r="E3" s="26"/>
      <c r="F3" s="26"/>
      <c r="I3">
        <v>150350</v>
      </c>
      <c r="J3">
        <v>13451</v>
      </c>
      <c r="K3">
        <v>370500</v>
      </c>
      <c r="L3">
        <v>27007</v>
      </c>
    </row>
    <row r="4" spans="1:12">
      <c r="A4" s="11" t="s">
        <v>1</v>
      </c>
      <c r="B4" s="26"/>
      <c r="C4" s="26"/>
      <c r="D4" s="26"/>
      <c r="E4" s="26"/>
      <c r="F4" s="26"/>
    </row>
    <row r="5" spans="1:12">
      <c r="A5" s="11" t="s">
        <v>2</v>
      </c>
      <c r="B5" s="26"/>
      <c r="C5" s="26"/>
      <c r="D5" s="26"/>
      <c r="E5" s="26"/>
      <c r="F5" s="26"/>
    </row>
    <row r="6" spans="1:12">
      <c r="A6" s="11" t="s">
        <v>103</v>
      </c>
      <c r="B6" s="26"/>
      <c r="C6" s="26"/>
      <c r="D6" s="26"/>
      <c r="E6" s="26"/>
      <c r="F6" s="26"/>
    </row>
    <row r="7" spans="1:12">
      <c r="A7" s="11" t="s">
        <v>3</v>
      </c>
      <c r="B7" s="26"/>
      <c r="C7" s="26"/>
      <c r="D7" s="26"/>
      <c r="E7" s="26"/>
      <c r="F7" s="26"/>
    </row>
    <row r="8" spans="1:12">
      <c r="A8" s="11" t="s">
        <v>104</v>
      </c>
      <c r="B8" s="26"/>
      <c r="C8" s="26"/>
      <c r="D8" s="26"/>
      <c r="E8" s="26"/>
      <c r="F8" s="26"/>
    </row>
    <row r="9" spans="1:12">
      <c r="A9" s="11"/>
      <c r="B9" s="11"/>
      <c r="C9" s="11"/>
      <c r="D9" s="11"/>
      <c r="E9" s="11"/>
      <c r="F9" s="11"/>
    </row>
    <row r="10" spans="1:12">
      <c r="A10" s="11" t="s">
        <v>106</v>
      </c>
      <c r="B10" s="42" t="s">
        <v>59</v>
      </c>
      <c r="C10" s="42" t="s">
        <v>159</v>
      </c>
      <c r="D10" s="42" t="s">
        <v>160</v>
      </c>
      <c r="E10" s="42" t="s">
        <v>161</v>
      </c>
      <c r="F10" s="43" t="s">
        <v>162</v>
      </c>
    </row>
    <row r="11" spans="1:12">
      <c r="A11" s="11" t="s">
        <v>102</v>
      </c>
      <c r="B11" s="12">
        <f>SUM(TPO!B3:D3)/SUM(TPO!$B$9:$D$9)</f>
        <v>0.26028109522819742</v>
      </c>
      <c r="C11" s="12"/>
      <c r="D11" s="12"/>
      <c r="E11" s="12"/>
      <c r="F11" s="12"/>
    </row>
    <row r="12" spans="1:12">
      <c r="A12" s="11" t="s">
        <v>1</v>
      </c>
      <c r="B12" s="12">
        <f>SUM(TPO!B4:D4)/SUM(TPO!$B$9:$D$9)</f>
        <v>4.8582714251394224E-2</v>
      </c>
      <c r="C12" s="12"/>
      <c r="D12" s="12"/>
      <c r="E12" s="12"/>
      <c r="F12" s="12"/>
    </row>
    <row r="13" spans="1:12">
      <c r="A13" s="11" t="s">
        <v>2</v>
      </c>
      <c r="B13" s="12">
        <f>SUM(TPO!B5:D5)/SUM(TPO!$B$9:$D$9)</f>
        <v>2.8188337876479473E-2</v>
      </c>
      <c r="C13" s="12"/>
      <c r="D13" s="12"/>
      <c r="E13" s="12"/>
      <c r="F13" s="12"/>
    </row>
    <row r="14" spans="1:12">
      <c r="A14" s="11" t="s">
        <v>103</v>
      </c>
      <c r="B14" s="12">
        <f>SUM(TPO!B6:D6)/SUM(TPO!$B$9:$D$9)</f>
        <v>3.7167308425329566E-2</v>
      </c>
      <c r="C14" s="12"/>
      <c r="D14" s="12"/>
      <c r="E14" s="12"/>
      <c r="F14" s="12"/>
    </row>
    <row r="15" spans="1:12">
      <c r="A15" s="11" t="s">
        <v>3</v>
      </c>
      <c r="B15" s="12">
        <f>SUM(TPO!B7:D7)/SUM(TPO!$B$9:$D$9)</f>
        <v>0.32713802287559579</v>
      </c>
      <c r="C15" s="12"/>
      <c r="D15" s="12"/>
      <c r="E15" s="12"/>
      <c r="F15" s="12"/>
    </row>
    <row r="16" spans="1:12">
      <c r="A16" s="11" t="s">
        <v>104</v>
      </c>
      <c r="B16" s="12">
        <f>SUM(TPO!B8:D8)/SUM(TPO!$B$9:$D$9)</f>
        <v>0.29864252134300351</v>
      </c>
      <c r="C16" s="12"/>
      <c r="D16" s="12"/>
      <c r="E16" s="12"/>
      <c r="F16" s="12"/>
    </row>
    <row r="17" spans="1:7">
      <c r="A17" s="11"/>
      <c r="B17" s="11"/>
      <c r="D17" s="11"/>
      <c r="E17" s="11"/>
      <c r="F17" s="11"/>
      <c r="G17" s="11"/>
    </row>
    <row r="18" spans="1:7">
      <c r="A18" s="11" t="s">
        <v>107</v>
      </c>
      <c r="B18" s="42" t="s">
        <v>59</v>
      </c>
      <c r="C18" s="42" t="s">
        <v>159</v>
      </c>
      <c r="D18" s="42" t="s">
        <v>160</v>
      </c>
      <c r="E18" s="42" t="s">
        <v>161</v>
      </c>
      <c r="F18" s="43" t="s">
        <v>162</v>
      </c>
      <c r="G18" s="11"/>
    </row>
    <row r="19" spans="1:7">
      <c r="A19" s="11" t="s">
        <v>102</v>
      </c>
      <c r="B19" s="21">
        <f>B11*$B$2</f>
        <v>2194429.9138689325</v>
      </c>
      <c r="C19" s="26"/>
      <c r="D19" s="26"/>
      <c r="E19" s="26"/>
      <c r="F19" s="26"/>
    </row>
    <row r="20" spans="1:7">
      <c r="A20" s="11" t="s">
        <v>1</v>
      </c>
      <c r="B20" s="21">
        <f t="shared" ref="B20:B24" si="0">B12*$B$2</f>
        <v>409600.86385350471</v>
      </c>
      <c r="C20" s="26"/>
      <c r="D20" s="26"/>
      <c r="E20" s="26"/>
      <c r="F20" s="26"/>
    </row>
    <row r="21" spans="1:7">
      <c r="A21" s="11" t="s">
        <v>2</v>
      </c>
      <c r="B21" s="21">
        <f t="shared" si="0"/>
        <v>237655.87663659843</v>
      </c>
      <c r="C21" s="26"/>
      <c r="D21" s="26"/>
      <c r="E21" s="26"/>
      <c r="F21" s="26"/>
    </row>
    <row r="22" spans="1:7">
      <c r="A22" s="11" t="s">
        <v>103</v>
      </c>
      <c r="B22" s="21">
        <f t="shared" si="0"/>
        <v>313357.57733395358</v>
      </c>
      <c r="C22" s="26"/>
      <c r="D22" s="26"/>
      <c r="E22" s="26"/>
      <c r="F22" s="26"/>
    </row>
    <row r="23" spans="1:7">
      <c r="A23" s="11" t="s">
        <v>3</v>
      </c>
      <c r="B23" s="21">
        <f t="shared" si="0"/>
        <v>2758100.6708641481</v>
      </c>
      <c r="C23" s="26"/>
      <c r="D23" s="26"/>
      <c r="E23" s="26"/>
      <c r="F23" s="26"/>
    </row>
    <row r="24" spans="1:7">
      <c r="A24" s="11" t="s">
        <v>104</v>
      </c>
      <c r="B24" s="21">
        <f t="shared" si="0"/>
        <v>2517855.0974428626</v>
      </c>
      <c r="C24" s="26"/>
      <c r="D24" s="26"/>
      <c r="E24" s="26"/>
      <c r="F24" s="26"/>
    </row>
    <row r="25" spans="1:7">
      <c r="A25" s="13"/>
      <c r="B25" s="13"/>
      <c r="C25" s="14"/>
      <c r="D25" s="13"/>
      <c r="E25" s="13"/>
      <c r="F25" s="13"/>
    </row>
    <row r="26" spans="1:7">
      <c r="A26" s="13"/>
      <c r="B26" s="13"/>
      <c r="C26" s="14"/>
      <c r="D26" s="13"/>
      <c r="E26" s="13"/>
      <c r="F26" s="13"/>
    </row>
  </sheetData>
  <mergeCells count="1">
    <mergeCell ref="I1:L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9"/>
  <dimension ref="A1:F26"/>
  <sheetViews>
    <sheetView workbookViewId="0">
      <selection activeCell="I26" sqref="I26"/>
    </sheetView>
  </sheetViews>
  <sheetFormatPr defaultColWidth="8.875" defaultRowHeight="15.75"/>
  <cols>
    <col min="1" max="1" width="18" bestFit="1" customWidth="1"/>
    <col min="2" max="2" width="13.5" bestFit="1" customWidth="1"/>
    <col min="3" max="3" width="17.5" bestFit="1" customWidth="1"/>
    <col min="4" max="4" width="23.625" bestFit="1" customWidth="1"/>
    <col min="5" max="5" width="17.125" bestFit="1" customWidth="1"/>
    <col min="6" max="6" width="23.5" bestFit="1" customWidth="1"/>
  </cols>
  <sheetData>
    <row r="1" spans="1:6">
      <c r="A1" s="11"/>
      <c r="B1" s="15" t="s">
        <v>157</v>
      </c>
      <c r="C1" s="15" t="s">
        <v>126</v>
      </c>
      <c r="D1" s="15" t="s">
        <v>141</v>
      </c>
      <c r="E1" s="15" t="s">
        <v>127</v>
      </c>
      <c r="F1" s="15" t="s">
        <v>142</v>
      </c>
    </row>
    <row r="2" spans="1:6">
      <c r="A2" s="11" t="s">
        <v>122</v>
      </c>
      <c r="B2" s="26">
        <v>35914000</v>
      </c>
      <c r="C2" s="26"/>
      <c r="D2" s="26"/>
      <c r="E2" s="26"/>
      <c r="F2" s="26"/>
    </row>
    <row r="3" spans="1:6">
      <c r="A3" s="11" t="s">
        <v>102</v>
      </c>
      <c r="B3" s="26"/>
      <c r="C3" s="26"/>
      <c r="D3" s="26"/>
      <c r="E3" s="26"/>
      <c r="F3" s="26"/>
    </row>
    <row r="4" spans="1:6">
      <c r="A4" s="11" t="s">
        <v>1</v>
      </c>
      <c r="B4" s="26"/>
      <c r="C4" s="26"/>
      <c r="D4" s="26"/>
      <c r="E4" s="26"/>
      <c r="F4" s="26"/>
    </row>
    <row r="5" spans="1:6">
      <c r="A5" s="11" t="s">
        <v>2</v>
      </c>
      <c r="B5" s="26"/>
      <c r="C5" s="26"/>
      <c r="D5" s="26"/>
      <c r="E5" s="26"/>
      <c r="F5" s="26"/>
    </row>
    <row r="6" spans="1:6">
      <c r="A6" s="11" t="s">
        <v>103</v>
      </c>
      <c r="B6" s="26"/>
      <c r="C6" s="26"/>
      <c r="D6" s="26"/>
      <c r="E6" s="26"/>
      <c r="F6" s="26"/>
    </row>
    <row r="7" spans="1:6">
      <c r="A7" s="11" t="s">
        <v>3</v>
      </c>
      <c r="B7" s="26"/>
      <c r="C7" s="26"/>
      <c r="D7" s="26"/>
      <c r="E7" s="26"/>
      <c r="F7" s="26"/>
    </row>
    <row r="8" spans="1:6">
      <c r="A8" s="11" t="s">
        <v>104</v>
      </c>
      <c r="B8" s="26"/>
      <c r="C8" s="26"/>
      <c r="D8" s="26"/>
      <c r="E8" s="26"/>
      <c r="F8" s="26"/>
    </row>
    <row r="9" spans="1:6">
      <c r="A9" s="11"/>
      <c r="B9" s="11"/>
      <c r="C9" s="11"/>
      <c r="D9" s="11"/>
      <c r="E9" s="11"/>
      <c r="F9" s="11"/>
    </row>
    <row r="10" spans="1:6">
      <c r="A10" s="11" t="s">
        <v>106</v>
      </c>
      <c r="B10" s="42" t="s">
        <v>59</v>
      </c>
      <c r="C10" s="42" t="s">
        <v>159</v>
      </c>
      <c r="D10" s="42" t="s">
        <v>160</v>
      </c>
      <c r="E10" s="42" t="s">
        <v>161</v>
      </c>
      <c r="F10" s="43" t="s">
        <v>162</v>
      </c>
    </row>
    <row r="11" spans="1:6">
      <c r="A11" s="11" t="s">
        <v>102</v>
      </c>
      <c r="B11" s="12">
        <f>SUM(TPO!J3:L3)/SUM(TPO!$J$9:$L$9)</f>
        <v>2.7880224318068154E-2</v>
      </c>
      <c r="C11" s="12"/>
      <c r="D11" s="12"/>
      <c r="E11" s="12"/>
      <c r="F11" s="12"/>
    </row>
    <row r="12" spans="1:6">
      <c r="A12" s="11" t="s">
        <v>1</v>
      </c>
      <c r="B12" s="12">
        <f>SUM(TPO!J4:L4)/SUM(TPO!$J$9:$L$9)</f>
        <v>1.5335096977663846E-3</v>
      </c>
      <c r="C12" s="12"/>
      <c r="D12" s="12"/>
      <c r="E12" s="12"/>
      <c r="F12" s="12"/>
    </row>
    <row r="13" spans="1:6">
      <c r="A13" s="11" t="s">
        <v>2</v>
      </c>
      <c r="B13" s="12">
        <f>SUM(TPO!J5:L5)/SUM(TPO!$J$9:$L$9)</f>
        <v>0.25456192659923643</v>
      </c>
      <c r="C13" s="12"/>
      <c r="D13" s="12"/>
      <c r="E13" s="12"/>
      <c r="F13" s="12"/>
    </row>
    <row r="14" spans="1:6">
      <c r="A14" s="11" t="s">
        <v>103</v>
      </c>
      <c r="B14" s="12">
        <f>SUM(TPO!J6:L6)/SUM(TPO!$J$9:$L$9)</f>
        <v>0.20674505136523016</v>
      </c>
      <c r="C14" s="12"/>
      <c r="D14" s="12"/>
      <c r="E14" s="12"/>
      <c r="F14" s="12"/>
    </row>
    <row r="15" spans="1:6">
      <c r="A15" s="11" t="s">
        <v>3</v>
      </c>
      <c r="B15" s="12">
        <f>SUM(TPO!J7:L7)/SUM(TPO!$J$9:$L$9)</f>
        <v>0.31324762440934767</v>
      </c>
      <c r="C15" s="12"/>
      <c r="D15" s="12"/>
      <c r="E15" s="12"/>
      <c r="F15" s="12"/>
    </row>
    <row r="16" spans="1:6">
      <c r="A16" s="11" t="s">
        <v>104</v>
      </c>
      <c r="B16" s="12">
        <f>SUM(TPO!J8:L8)/SUM(TPO!$J$9:$L$9)</f>
        <v>0.19603166361035121</v>
      </c>
      <c r="C16" s="12"/>
      <c r="D16" s="12"/>
      <c r="E16" s="12"/>
      <c r="F16" s="12"/>
    </row>
    <row r="17" spans="1:6">
      <c r="A17" s="11"/>
      <c r="B17" s="11"/>
      <c r="C17" s="11"/>
      <c r="D17" s="11"/>
      <c r="E17" s="11"/>
      <c r="F17" s="11"/>
    </row>
    <row r="18" spans="1:6">
      <c r="A18" s="11" t="s">
        <v>107</v>
      </c>
      <c r="B18" s="42" t="s">
        <v>59</v>
      </c>
      <c r="C18" s="42" t="s">
        <v>159</v>
      </c>
      <c r="D18" s="42" t="s">
        <v>160</v>
      </c>
      <c r="E18" s="42" t="s">
        <v>161</v>
      </c>
      <c r="F18" s="43" t="s">
        <v>162</v>
      </c>
    </row>
    <row r="19" spans="1:6">
      <c r="A19" s="11" t="s">
        <v>102</v>
      </c>
      <c r="B19" s="26">
        <f>B11*$B$2</f>
        <v>1001290.3761590996</v>
      </c>
      <c r="C19" s="27"/>
      <c r="D19" s="26"/>
      <c r="E19" s="26"/>
      <c r="F19" s="26"/>
    </row>
    <row r="20" spans="1:6">
      <c r="A20" s="11" t="s">
        <v>1</v>
      </c>
      <c r="B20" s="26">
        <f t="shared" ref="B20:B24" si="0">B12*$B$2</f>
        <v>55074.467285581937</v>
      </c>
      <c r="C20" s="27"/>
      <c r="D20" s="26"/>
      <c r="E20" s="26"/>
      <c r="F20" s="26"/>
    </row>
    <row r="21" spans="1:6">
      <c r="A21" s="11" t="s">
        <v>2</v>
      </c>
      <c r="B21" s="26">
        <f t="shared" si="0"/>
        <v>9142337.0318849776</v>
      </c>
      <c r="C21" s="27"/>
      <c r="D21" s="26"/>
      <c r="E21" s="26"/>
      <c r="F21" s="26"/>
    </row>
    <row r="22" spans="1:6">
      <c r="A22" s="11" t="s">
        <v>103</v>
      </c>
      <c r="B22" s="26">
        <f t="shared" si="0"/>
        <v>7425041.7747308761</v>
      </c>
      <c r="C22" s="27"/>
      <c r="D22" s="26"/>
      <c r="E22" s="26"/>
      <c r="F22" s="26"/>
    </row>
    <row r="23" spans="1:6">
      <c r="A23" s="11" t="s">
        <v>3</v>
      </c>
      <c r="B23" s="26">
        <f t="shared" si="0"/>
        <v>11249975.183037313</v>
      </c>
      <c r="C23" s="27"/>
      <c r="D23" s="26"/>
      <c r="E23" s="26"/>
      <c r="F23" s="26"/>
    </row>
    <row r="24" spans="1:6">
      <c r="A24" s="11" t="s">
        <v>104</v>
      </c>
      <c r="B24" s="26">
        <f t="shared" si="0"/>
        <v>7040281.1669021538</v>
      </c>
      <c r="C24" s="27"/>
      <c r="D24" s="26"/>
      <c r="E24" s="26"/>
      <c r="F24" s="26"/>
    </row>
    <row r="25" spans="1:6">
      <c r="A25" s="13"/>
      <c r="B25" s="13"/>
      <c r="C25" s="14"/>
      <c r="D25" s="13"/>
      <c r="E25" s="13"/>
      <c r="F25" s="13"/>
    </row>
    <row r="26" spans="1:6">
      <c r="A26" s="13"/>
      <c r="B26" s="13"/>
      <c r="C26" s="14"/>
      <c r="D26" s="13"/>
      <c r="E26" s="13"/>
      <c r="F26" s="1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26"/>
  <sheetViews>
    <sheetView workbookViewId="0">
      <selection activeCell="M14" sqref="M14"/>
    </sheetView>
  </sheetViews>
  <sheetFormatPr defaultColWidth="8.875" defaultRowHeight="15.75"/>
  <cols>
    <col min="1" max="1" width="18" bestFit="1" customWidth="1"/>
    <col min="2" max="2" width="13.5" bestFit="1" customWidth="1"/>
    <col min="3" max="3" width="17.5" bestFit="1" customWidth="1"/>
    <col min="4" max="4" width="23.625" bestFit="1" customWidth="1"/>
    <col min="5" max="5" width="17.125" bestFit="1" customWidth="1"/>
    <col min="6" max="6" width="23.5" bestFit="1" customWidth="1"/>
  </cols>
  <sheetData>
    <row r="1" spans="1:6">
      <c r="A1" s="11"/>
      <c r="B1" s="15" t="s">
        <v>128</v>
      </c>
      <c r="C1" s="15"/>
      <c r="D1" s="15"/>
      <c r="E1" s="15"/>
      <c r="F1" s="15"/>
    </row>
    <row r="2" spans="1:6">
      <c r="A2" s="11" t="s">
        <v>122</v>
      </c>
      <c r="B2" s="26">
        <f>'other.industrial.roundwood.c'!B2+'other.industrial.roundwood.nc'!B2</f>
        <v>14904000</v>
      </c>
      <c r="C2" s="26"/>
      <c r="D2" s="26"/>
      <c r="E2" s="26"/>
      <c r="F2" s="26"/>
    </row>
    <row r="3" spans="1:6">
      <c r="A3" s="11" t="s">
        <v>102</v>
      </c>
      <c r="B3" s="26"/>
      <c r="C3" s="26"/>
      <c r="D3" s="26"/>
      <c r="E3" s="26"/>
      <c r="F3" s="26"/>
    </row>
    <row r="4" spans="1:6">
      <c r="A4" s="11" t="s">
        <v>1</v>
      </c>
      <c r="B4" s="26"/>
      <c r="C4" s="26"/>
      <c r="D4" s="26"/>
      <c r="E4" s="26"/>
      <c r="F4" s="26"/>
    </row>
    <row r="5" spans="1:6">
      <c r="A5" s="11" t="s">
        <v>2</v>
      </c>
      <c r="B5" s="26"/>
      <c r="C5" s="26"/>
      <c r="D5" s="26"/>
      <c r="E5" s="26"/>
      <c r="F5" s="26"/>
    </row>
    <row r="6" spans="1:6">
      <c r="A6" s="11" t="s">
        <v>103</v>
      </c>
      <c r="B6" s="26"/>
      <c r="C6" s="26"/>
      <c r="D6" s="26"/>
      <c r="E6" s="26"/>
      <c r="F6" s="26"/>
    </row>
    <row r="7" spans="1:6">
      <c r="A7" s="11" t="s">
        <v>3</v>
      </c>
      <c r="B7" s="26"/>
      <c r="C7" s="26"/>
      <c r="D7" s="26"/>
      <c r="E7" s="26"/>
      <c r="F7" s="26"/>
    </row>
    <row r="8" spans="1:6">
      <c r="A8" s="11" t="s">
        <v>104</v>
      </c>
      <c r="B8" s="26"/>
      <c r="C8" s="26"/>
      <c r="D8" s="26"/>
      <c r="E8" s="26"/>
      <c r="F8" s="26"/>
    </row>
    <row r="9" spans="1:6">
      <c r="A9" s="11"/>
      <c r="B9" s="11"/>
      <c r="C9" s="11"/>
      <c r="D9" s="11"/>
      <c r="E9" s="11"/>
      <c r="F9" s="11"/>
    </row>
    <row r="10" spans="1:6">
      <c r="A10" s="11" t="s">
        <v>106</v>
      </c>
      <c r="B10" s="42" t="s">
        <v>59</v>
      </c>
      <c r="C10" s="42" t="s">
        <v>159</v>
      </c>
      <c r="D10" s="42" t="s">
        <v>160</v>
      </c>
      <c r="E10" s="42" t="s">
        <v>161</v>
      </c>
      <c r="F10" s="43" t="s">
        <v>162</v>
      </c>
    </row>
    <row r="11" spans="1:6">
      <c r="A11" s="11" t="s">
        <v>102</v>
      </c>
      <c r="B11" s="12">
        <f>B19/$B$2</f>
        <v>9.0330941440657231E-2</v>
      </c>
      <c r="C11" s="12"/>
      <c r="D11" s="12"/>
      <c r="E11" s="12"/>
      <c r="F11" s="12"/>
    </row>
    <row r="12" spans="1:6">
      <c r="A12" s="11" t="s">
        <v>1</v>
      </c>
      <c r="B12" s="12">
        <f t="shared" ref="B12:B16" si="0">B20/$B$2</f>
        <v>1.4176562853783528E-2</v>
      </c>
      <c r="C12" s="12"/>
      <c r="D12" s="12"/>
      <c r="E12" s="12"/>
      <c r="F12" s="12"/>
    </row>
    <row r="13" spans="1:6">
      <c r="A13" s="11" t="s">
        <v>2</v>
      </c>
      <c r="B13" s="12">
        <f t="shared" si="0"/>
        <v>0.19373085958134581</v>
      </c>
      <c r="C13" s="12"/>
      <c r="D13" s="12"/>
      <c r="E13" s="12"/>
      <c r="F13" s="12"/>
    </row>
    <row r="14" spans="1:6">
      <c r="A14" s="11" t="s">
        <v>103</v>
      </c>
      <c r="B14" s="12">
        <f t="shared" si="0"/>
        <v>0.16117615305106603</v>
      </c>
      <c r="C14" s="12"/>
      <c r="D14" s="12"/>
      <c r="E14" s="12"/>
      <c r="F14" s="12"/>
    </row>
    <row r="15" spans="1:6">
      <c r="A15" s="11" t="s">
        <v>3</v>
      </c>
      <c r="B15" s="12">
        <f t="shared" si="0"/>
        <v>0.31698024960106291</v>
      </c>
      <c r="C15" s="12"/>
      <c r="D15" s="12"/>
      <c r="E15" s="12"/>
      <c r="F15" s="12"/>
    </row>
    <row r="16" spans="1:6">
      <c r="A16" s="11" t="s">
        <v>104</v>
      </c>
      <c r="B16" s="12">
        <f t="shared" si="0"/>
        <v>0.22360523347208444</v>
      </c>
      <c r="C16" s="12"/>
      <c r="D16" s="12"/>
      <c r="E16" s="12"/>
      <c r="F16" s="12"/>
    </row>
    <row r="17" spans="1:6">
      <c r="A17" s="11"/>
      <c r="B17" s="11"/>
      <c r="C17" s="11"/>
      <c r="D17" s="11"/>
      <c r="E17" s="11"/>
      <c r="F17" s="11"/>
    </row>
    <row r="18" spans="1:6">
      <c r="A18" s="11" t="s">
        <v>107</v>
      </c>
      <c r="B18" s="42" t="s">
        <v>59</v>
      </c>
      <c r="C18" s="42" t="s">
        <v>159</v>
      </c>
      <c r="D18" s="42" t="s">
        <v>160</v>
      </c>
      <c r="E18" s="42" t="s">
        <v>161</v>
      </c>
      <c r="F18" s="43" t="s">
        <v>162</v>
      </c>
    </row>
    <row r="19" spans="1:6">
      <c r="A19" s="11" t="s">
        <v>102</v>
      </c>
      <c r="B19" s="26">
        <f>'other.industrial.roundwood.c'!B19+'other.industrial.roundwood.nc'!B19</f>
        <v>1346292.3512315555</v>
      </c>
      <c r="C19" s="27"/>
      <c r="D19" s="26"/>
      <c r="E19" s="26"/>
      <c r="F19" s="26"/>
    </row>
    <row r="20" spans="1:6">
      <c r="A20" s="11" t="s">
        <v>1</v>
      </c>
      <c r="B20" s="26">
        <f>'other.industrial.roundwood.c'!B20+'other.industrial.roundwood.nc'!B20</f>
        <v>211287.4927727897</v>
      </c>
      <c r="C20" s="27"/>
      <c r="D20" s="26"/>
      <c r="E20" s="26"/>
      <c r="F20" s="26"/>
    </row>
    <row r="21" spans="1:6">
      <c r="A21" s="11" t="s">
        <v>2</v>
      </c>
      <c r="B21" s="26">
        <f>'other.industrial.roundwood.c'!B21+'other.industrial.roundwood.nc'!B21</f>
        <v>2887364.7312003779</v>
      </c>
      <c r="C21" s="27"/>
      <c r="D21" s="26"/>
      <c r="E21" s="26"/>
      <c r="F21" s="26"/>
    </row>
    <row r="22" spans="1:6">
      <c r="A22" s="11" t="s">
        <v>103</v>
      </c>
      <c r="B22" s="26">
        <f>'other.industrial.roundwood.c'!B22+'other.industrial.roundwood.nc'!B22</f>
        <v>2402169.3850730881</v>
      </c>
      <c r="C22" s="27"/>
      <c r="D22" s="26"/>
      <c r="E22" s="26"/>
      <c r="F22" s="26"/>
    </row>
    <row r="23" spans="1:6">
      <c r="A23" s="11" t="s">
        <v>3</v>
      </c>
      <c r="B23" s="26">
        <f>'other.industrial.roundwood.c'!B23+'other.industrial.roundwood.nc'!B23</f>
        <v>4724273.6400542418</v>
      </c>
      <c r="C23" s="27"/>
      <c r="D23" s="26"/>
      <c r="E23" s="26"/>
      <c r="F23" s="26"/>
    </row>
    <row r="24" spans="1:6">
      <c r="A24" s="11" t="s">
        <v>104</v>
      </c>
      <c r="B24" s="26">
        <f>'other.industrial.roundwood.c'!B24+'other.industrial.roundwood.nc'!B24</f>
        <v>3332612.3996679466</v>
      </c>
      <c r="C24" s="27"/>
      <c r="D24" s="26"/>
      <c r="E24" s="26"/>
      <c r="F24" s="26"/>
    </row>
    <row r="25" spans="1:6">
      <c r="A25" s="13"/>
      <c r="B25" s="13"/>
      <c r="C25" s="14"/>
      <c r="D25" s="13"/>
      <c r="E25" s="13"/>
      <c r="F25" s="13"/>
    </row>
    <row r="26" spans="1:6">
      <c r="A26" s="13"/>
      <c r="B26" s="13"/>
      <c r="C26" s="14"/>
      <c r="D26" s="13"/>
      <c r="E26" s="13"/>
      <c r="F26" s="1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0"/>
  <dimension ref="A1:F26"/>
  <sheetViews>
    <sheetView workbookViewId="0">
      <selection activeCell="B10" sqref="B10:F10"/>
    </sheetView>
  </sheetViews>
  <sheetFormatPr defaultColWidth="8.875" defaultRowHeight="15.75"/>
  <cols>
    <col min="1" max="1" width="18" bestFit="1" customWidth="1"/>
    <col min="2" max="2" width="13.5" bestFit="1" customWidth="1"/>
    <col min="3" max="3" width="17.5" bestFit="1" customWidth="1"/>
    <col min="4" max="4" width="23.625" bestFit="1" customWidth="1"/>
    <col min="5" max="5" width="17.125" bestFit="1" customWidth="1"/>
    <col min="6" max="6" width="23.5" bestFit="1" customWidth="1"/>
  </cols>
  <sheetData>
    <row r="1" spans="1:6">
      <c r="A1" s="11"/>
      <c r="B1" s="15" t="s">
        <v>128</v>
      </c>
      <c r="C1" s="15"/>
      <c r="D1" s="15"/>
      <c r="E1" s="15"/>
      <c r="F1" s="15"/>
    </row>
    <row r="2" spans="1:6">
      <c r="A2" s="11" t="s">
        <v>122</v>
      </c>
      <c r="B2" s="26">
        <v>4005000</v>
      </c>
      <c r="C2" s="26"/>
      <c r="D2" s="26"/>
      <c r="E2" s="26"/>
      <c r="F2" s="26"/>
    </row>
    <row r="3" spans="1:6">
      <c r="A3" s="11" t="s">
        <v>102</v>
      </c>
      <c r="B3" s="26"/>
      <c r="C3" s="26"/>
      <c r="D3" s="26"/>
      <c r="E3" s="26"/>
      <c r="F3" s="26"/>
    </row>
    <row r="4" spans="1:6">
      <c r="A4" s="11" t="s">
        <v>1</v>
      </c>
      <c r="B4" s="26"/>
      <c r="C4" s="26"/>
      <c r="D4" s="26"/>
      <c r="E4" s="26"/>
      <c r="F4" s="26"/>
    </row>
    <row r="5" spans="1:6">
      <c r="A5" s="11" t="s">
        <v>2</v>
      </c>
      <c r="B5" s="26"/>
      <c r="C5" s="26"/>
      <c r="D5" s="26"/>
      <c r="E5" s="26"/>
      <c r="F5" s="26"/>
    </row>
    <row r="6" spans="1:6">
      <c r="A6" s="11" t="s">
        <v>103</v>
      </c>
      <c r="B6" s="26"/>
      <c r="C6" s="26"/>
      <c r="D6" s="26"/>
      <c r="E6" s="26"/>
      <c r="F6" s="26"/>
    </row>
    <row r="7" spans="1:6">
      <c r="A7" s="11" t="s">
        <v>3</v>
      </c>
      <c r="B7" s="26"/>
      <c r="C7" s="26"/>
      <c r="D7" s="26"/>
      <c r="E7" s="26"/>
      <c r="F7" s="26"/>
    </row>
    <row r="8" spans="1:6">
      <c r="A8" s="11" t="s">
        <v>104</v>
      </c>
      <c r="B8" s="26"/>
      <c r="C8" s="26"/>
      <c r="D8" s="26"/>
      <c r="E8" s="26"/>
      <c r="F8" s="26"/>
    </row>
    <row r="9" spans="1:6">
      <c r="A9" s="11"/>
      <c r="B9" s="11"/>
      <c r="C9" s="11"/>
      <c r="D9" s="11"/>
      <c r="E9" s="11"/>
      <c r="F9" s="11"/>
    </row>
    <row r="10" spans="1:6">
      <c r="A10" s="11" t="s">
        <v>106</v>
      </c>
      <c r="B10" s="42" t="s">
        <v>59</v>
      </c>
      <c r="C10" s="42" t="s">
        <v>159</v>
      </c>
      <c r="D10" s="42" t="s">
        <v>160</v>
      </c>
      <c r="E10" s="42" t="s">
        <v>161</v>
      </c>
      <c r="F10" s="43" t="s">
        <v>162</v>
      </c>
    </row>
    <row r="11" spans="1:6">
      <c r="A11" s="11" t="s">
        <v>102</v>
      </c>
      <c r="B11" s="12">
        <f>SUM(TPO!B3:D3)/SUM(TPO!$B$9:$D$9)</f>
        <v>0.26028109522819742</v>
      </c>
      <c r="C11" s="12"/>
      <c r="D11" s="12"/>
      <c r="E11" s="12"/>
      <c r="F11" s="12"/>
    </row>
    <row r="12" spans="1:6">
      <c r="A12" s="11" t="s">
        <v>1</v>
      </c>
      <c r="B12" s="12">
        <f>SUM(TPO!B4:D4)/SUM(TPO!$B$9:$D$9)</f>
        <v>4.8582714251394224E-2</v>
      </c>
      <c r="C12" s="12"/>
      <c r="D12" s="12"/>
      <c r="E12" s="12"/>
      <c r="F12" s="12"/>
    </row>
    <row r="13" spans="1:6">
      <c r="A13" s="11" t="s">
        <v>2</v>
      </c>
      <c r="B13" s="12">
        <f>SUM(TPO!B5:D5)/SUM(TPO!$B$9:$D$9)</f>
        <v>2.8188337876479473E-2</v>
      </c>
      <c r="C13" s="12"/>
      <c r="D13" s="12"/>
      <c r="E13" s="12"/>
      <c r="F13" s="12"/>
    </row>
    <row r="14" spans="1:6">
      <c r="A14" s="11" t="s">
        <v>103</v>
      </c>
      <c r="B14" s="12">
        <f>SUM(TPO!B6:D6)/SUM(TPO!$B$9:$D$9)</f>
        <v>3.7167308425329566E-2</v>
      </c>
      <c r="C14" s="12"/>
      <c r="D14" s="12"/>
      <c r="E14" s="12"/>
      <c r="F14" s="12"/>
    </row>
    <row r="15" spans="1:6">
      <c r="A15" s="11" t="s">
        <v>3</v>
      </c>
      <c r="B15" s="12">
        <f>SUM(TPO!B7:D7)/SUM(TPO!$B$9:$D$9)</f>
        <v>0.32713802287559579</v>
      </c>
      <c r="C15" s="12"/>
      <c r="D15" s="12"/>
      <c r="E15" s="12"/>
      <c r="F15" s="12"/>
    </row>
    <row r="16" spans="1:6">
      <c r="A16" s="11" t="s">
        <v>104</v>
      </c>
      <c r="B16" s="12">
        <f>SUM(TPO!B8:D8)/SUM(TPO!$B$9:$D$9)</f>
        <v>0.29864252134300351</v>
      </c>
      <c r="C16" s="12"/>
      <c r="D16" s="12"/>
      <c r="E16" s="12"/>
      <c r="F16" s="12"/>
    </row>
    <row r="17" spans="1:6">
      <c r="A17" s="11"/>
      <c r="B17" s="11"/>
      <c r="C17" s="11"/>
      <c r="D17" s="11"/>
      <c r="E17" s="11"/>
      <c r="F17" s="11"/>
    </row>
    <row r="18" spans="1:6">
      <c r="A18" s="11" t="s">
        <v>107</v>
      </c>
      <c r="B18" s="42" t="s">
        <v>59</v>
      </c>
      <c r="C18" s="42" t="s">
        <v>159</v>
      </c>
      <c r="D18" s="42" t="s">
        <v>160</v>
      </c>
      <c r="E18" s="42" t="s">
        <v>161</v>
      </c>
      <c r="F18" s="43" t="s">
        <v>162</v>
      </c>
    </row>
    <row r="19" spans="1:6">
      <c r="A19" s="11" t="s">
        <v>102</v>
      </c>
      <c r="B19" s="26">
        <f>B11*$B$2</f>
        <v>1042425.7863889306</v>
      </c>
      <c r="C19" s="27"/>
      <c r="D19" s="26"/>
      <c r="E19" s="26"/>
      <c r="F19" s="26"/>
    </row>
    <row r="20" spans="1:6">
      <c r="A20" s="11" t="s">
        <v>1</v>
      </c>
      <c r="B20" s="26">
        <f t="shared" ref="B20:B24" si="0">B12*$B$2</f>
        <v>194573.77057683386</v>
      </c>
      <c r="C20" s="27"/>
      <c r="D20" s="26"/>
      <c r="E20" s="26"/>
      <c r="F20" s="26"/>
    </row>
    <row r="21" spans="1:6">
      <c r="A21" s="11" t="s">
        <v>2</v>
      </c>
      <c r="B21" s="26">
        <f t="shared" si="0"/>
        <v>112894.29319530028</v>
      </c>
      <c r="C21" s="27"/>
      <c r="D21" s="26"/>
      <c r="E21" s="26"/>
      <c r="F21" s="26"/>
    </row>
    <row r="22" spans="1:6">
      <c r="A22" s="11" t="s">
        <v>103</v>
      </c>
      <c r="B22" s="26">
        <f t="shared" si="0"/>
        <v>148855.0702434449</v>
      </c>
      <c r="C22" s="27"/>
      <c r="D22" s="26"/>
      <c r="E22" s="26"/>
      <c r="F22" s="26"/>
    </row>
    <row r="23" spans="1:6">
      <c r="A23" s="11" t="s">
        <v>3</v>
      </c>
      <c r="B23" s="26">
        <f t="shared" si="0"/>
        <v>1310187.7816167611</v>
      </c>
      <c r="C23" s="27"/>
      <c r="D23" s="26"/>
      <c r="E23" s="26"/>
      <c r="F23" s="26"/>
    </row>
    <row r="24" spans="1:6">
      <c r="A24" s="11" t="s">
        <v>104</v>
      </c>
      <c r="B24" s="26">
        <f t="shared" si="0"/>
        <v>1196063.297978729</v>
      </c>
      <c r="C24" s="27"/>
      <c r="D24" s="26"/>
      <c r="E24" s="26"/>
      <c r="F24" s="26"/>
    </row>
    <row r="25" spans="1:6">
      <c r="A25" s="13"/>
      <c r="B25" s="13"/>
      <c r="C25" s="14"/>
      <c r="D25" s="13"/>
      <c r="E25" s="13"/>
      <c r="F25" s="13"/>
    </row>
    <row r="26" spans="1:6">
      <c r="A26" s="13"/>
      <c r="B26" s="13"/>
      <c r="C26" s="14"/>
      <c r="D26" s="13"/>
      <c r="E26" s="13"/>
      <c r="F26" s="1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11"/>
  <dimension ref="A1:F26"/>
  <sheetViews>
    <sheetView workbookViewId="0">
      <selection activeCell="B15" sqref="B15"/>
    </sheetView>
  </sheetViews>
  <sheetFormatPr defaultColWidth="8.875" defaultRowHeight="15.75"/>
  <cols>
    <col min="1" max="1" width="18" bestFit="1" customWidth="1"/>
    <col min="2" max="2" width="13.5" bestFit="1" customWidth="1"/>
    <col min="3" max="3" width="17.5" bestFit="1" customWidth="1"/>
    <col min="4" max="4" width="23.625" bestFit="1" customWidth="1"/>
    <col min="5" max="5" width="17.125" bestFit="1" customWidth="1"/>
    <col min="6" max="6" width="23.5" bestFit="1" customWidth="1"/>
  </cols>
  <sheetData>
    <row r="1" spans="1:6">
      <c r="A1" s="11"/>
      <c r="B1" s="15" t="s">
        <v>128</v>
      </c>
      <c r="C1" s="15"/>
      <c r="D1" s="15"/>
      <c r="E1" s="15"/>
      <c r="F1" s="15"/>
    </row>
    <row r="2" spans="1:6">
      <c r="A2" s="11" t="s">
        <v>122</v>
      </c>
      <c r="B2" s="26">
        <v>10899000</v>
      </c>
      <c r="C2" s="26"/>
      <c r="D2" s="26"/>
      <c r="E2" s="26"/>
      <c r="F2" s="26"/>
    </row>
    <row r="3" spans="1:6">
      <c r="A3" s="11" t="s">
        <v>102</v>
      </c>
      <c r="B3" s="26"/>
      <c r="C3" s="26"/>
      <c r="D3" s="26"/>
      <c r="E3" s="26"/>
      <c r="F3" s="26"/>
    </row>
    <row r="4" spans="1:6">
      <c r="A4" s="11" t="s">
        <v>1</v>
      </c>
      <c r="B4" s="26"/>
      <c r="C4" s="26"/>
      <c r="D4" s="26"/>
      <c r="E4" s="26"/>
      <c r="F4" s="26"/>
    </row>
    <row r="5" spans="1:6">
      <c r="A5" s="11" t="s">
        <v>2</v>
      </c>
      <c r="B5" s="26"/>
      <c r="C5" s="26"/>
      <c r="D5" s="26"/>
      <c r="E5" s="26"/>
      <c r="F5" s="26"/>
    </row>
    <row r="6" spans="1:6">
      <c r="A6" s="11" t="s">
        <v>103</v>
      </c>
      <c r="B6" s="26"/>
      <c r="C6" s="26"/>
      <c r="D6" s="26"/>
      <c r="E6" s="26"/>
      <c r="F6" s="26"/>
    </row>
    <row r="7" spans="1:6">
      <c r="A7" s="11" t="s">
        <v>3</v>
      </c>
      <c r="B7" s="26"/>
      <c r="C7" s="26"/>
      <c r="D7" s="26"/>
      <c r="E7" s="26"/>
      <c r="F7" s="26"/>
    </row>
    <row r="8" spans="1:6">
      <c r="A8" s="11" t="s">
        <v>104</v>
      </c>
      <c r="B8" s="26"/>
      <c r="C8" s="26"/>
      <c r="D8" s="26"/>
      <c r="E8" s="26"/>
      <c r="F8" s="26"/>
    </row>
    <row r="9" spans="1:6">
      <c r="A9" s="11"/>
      <c r="B9" s="11"/>
      <c r="C9" s="11"/>
      <c r="D9" s="11"/>
      <c r="E9" s="11"/>
      <c r="F9" s="11"/>
    </row>
    <row r="10" spans="1:6">
      <c r="A10" s="11" t="s">
        <v>106</v>
      </c>
      <c r="B10" s="42" t="s">
        <v>59</v>
      </c>
      <c r="C10" s="42" t="s">
        <v>159</v>
      </c>
      <c r="D10" s="42" t="s">
        <v>160</v>
      </c>
      <c r="E10" s="42" t="s">
        <v>161</v>
      </c>
      <c r="F10" s="43" t="s">
        <v>162</v>
      </c>
    </row>
    <row r="11" spans="1:6">
      <c r="A11" s="11" t="s">
        <v>102</v>
      </c>
      <c r="B11" s="12">
        <f>SUM(TPO!J3:L3)/SUM(TPO!$J$9:$L$9)</f>
        <v>2.7880224318068154E-2</v>
      </c>
      <c r="C11" s="12"/>
      <c r="D11" s="12"/>
      <c r="E11" s="12"/>
      <c r="F11" s="12"/>
    </row>
    <row r="12" spans="1:6">
      <c r="A12" s="11" t="s">
        <v>1</v>
      </c>
      <c r="B12" s="12">
        <f>SUM(TPO!J4:L4)/SUM(TPO!$J$9:$L$9)</f>
        <v>1.5335096977663846E-3</v>
      </c>
      <c r="C12" s="12"/>
      <c r="D12" s="12"/>
      <c r="E12" s="12"/>
      <c r="F12" s="12"/>
    </row>
    <row r="13" spans="1:6">
      <c r="A13" s="11" t="s">
        <v>2</v>
      </c>
      <c r="B13" s="12">
        <f>SUM(TPO!J5:L5)/SUM(TPO!$J$9:$L$9)</f>
        <v>0.25456192659923643</v>
      </c>
      <c r="C13" s="12"/>
      <c r="D13" s="12"/>
      <c r="E13" s="12"/>
      <c r="F13" s="12"/>
    </row>
    <row r="14" spans="1:6">
      <c r="A14" s="11" t="s">
        <v>103</v>
      </c>
      <c r="B14" s="12">
        <f>SUM(TPO!J6:L6)/SUM(TPO!$J$9:$L$9)</f>
        <v>0.20674505136523016</v>
      </c>
      <c r="C14" s="12"/>
      <c r="D14" s="12"/>
      <c r="E14" s="12"/>
      <c r="F14" s="12"/>
    </row>
    <row r="15" spans="1:6">
      <c r="A15" s="11" t="s">
        <v>3</v>
      </c>
      <c r="B15" s="12">
        <f>SUM(TPO!J7:L7)/SUM(TPO!$J$9:$L$9)</f>
        <v>0.31324762440934767</v>
      </c>
      <c r="C15" s="12"/>
      <c r="D15" s="12"/>
      <c r="E15" s="12"/>
      <c r="F15" s="12"/>
    </row>
    <row r="16" spans="1:6">
      <c r="A16" s="11" t="s">
        <v>104</v>
      </c>
      <c r="B16" s="12">
        <f>SUM(TPO!J8:L8)/SUM(TPO!$J$9:$L$9)</f>
        <v>0.19603166361035121</v>
      </c>
      <c r="C16" s="12"/>
      <c r="D16" s="12"/>
      <c r="E16" s="12"/>
      <c r="F16" s="12"/>
    </row>
    <row r="17" spans="1:6">
      <c r="A17" s="11"/>
      <c r="B17" s="11"/>
      <c r="C17" s="11"/>
      <c r="D17" s="11"/>
      <c r="E17" s="11"/>
      <c r="F17" s="11"/>
    </row>
    <row r="18" spans="1:6">
      <c r="A18" s="11" t="s">
        <v>107</v>
      </c>
      <c r="B18" s="42" t="s">
        <v>59</v>
      </c>
      <c r="C18" s="42" t="s">
        <v>159</v>
      </c>
      <c r="D18" s="42" t="s">
        <v>160</v>
      </c>
      <c r="E18" s="42" t="s">
        <v>161</v>
      </c>
      <c r="F18" s="43" t="s">
        <v>162</v>
      </c>
    </row>
    <row r="19" spans="1:6">
      <c r="A19" s="11" t="s">
        <v>102</v>
      </c>
      <c r="B19" s="26">
        <f>B11*$B$2</f>
        <v>303866.56484262482</v>
      </c>
      <c r="C19" s="27"/>
      <c r="D19" s="26"/>
      <c r="E19" s="26"/>
      <c r="F19" s="26"/>
    </row>
    <row r="20" spans="1:6">
      <c r="A20" s="11" t="s">
        <v>1</v>
      </c>
      <c r="B20" s="26">
        <f t="shared" ref="B20:B24" si="0">B12*$B$2</f>
        <v>16713.722195955826</v>
      </c>
      <c r="C20" s="27"/>
      <c r="D20" s="26"/>
      <c r="E20" s="26"/>
      <c r="F20" s="26"/>
    </row>
    <row r="21" spans="1:6">
      <c r="A21" s="11" t="s">
        <v>2</v>
      </c>
      <c r="B21" s="26">
        <f t="shared" si="0"/>
        <v>2774470.4380050777</v>
      </c>
      <c r="C21" s="27"/>
      <c r="D21" s="26"/>
      <c r="E21" s="26"/>
      <c r="F21" s="26"/>
    </row>
    <row r="22" spans="1:6">
      <c r="A22" s="11" t="s">
        <v>103</v>
      </c>
      <c r="B22" s="26">
        <f t="shared" si="0"/>
        <v>2253314.3148296434</v>
      </c>
      <c r="C22" s="27"/>
      <c r="D22" s="26"/>
      <c r="E22" s="26"/>
      <c r="F22" s="26"/>
    </row>
    <row r="23" spans="1:6">
      <c r="A23" s="11" t="s">
        <v>3</v>
      </c>
      <c r="B23" s="26">
        <f t="shared" si="0"/>
        <v>3414085.8584374804</v>
      </c>
      <c r="C23" s="27"/>
      <c r="D23" s="26"/>
      <c r="E23" s="26"/>
      <c r="F23" s="26"/>
    </row>
    <row r="24" spans="1:6">
      <c r="A24" s="11" t="s">
        <v>104</v>
      </c>
      <c r="B24" s="26">
        <f t="shared" si="0"/>
        <v>2136549.1016892176</v>
      </c>
      <c r="C24" s="27"/>
      <c r="D24" s="26"/>
      <c r="E24" s="26"/>
      <c r="F24" s="26"/>
    </row>
    <row r="25" spans="1:6">
      <c r="A25" s="13"/>
      <c r="B25" s="13"/>
      <c r="C25" s="14"/>
      <c r="D25" s="13"/>
      <c r="E25" s="13"/>
      <c r="F25" s="13"/>
    </row>
    <row r="26" spans="1:6">
      <c r="A26" s="13"/>
      <c r="B26" s="13"/>
      <c r="C26" s="14"/>
      <c r="D26" s="13"/>
      <c r="E26" s="13"/>
      <c r="F26" s="1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12"/>
  <dimension ref="A1:K24"/>
  <sheetViews>
    <sheetView workbookViewId="0">
      <selection activeCell="J19" sqref="J19"/>
    </sheetView>
  </sheetViews>
  <sheetFormatPr defaultColWidth="11" defaultRowHeight="15.75"/>
  <cols>
    <col min="1" max="1" width="18.125" customWidth="1"/>
    <col min="2" max="2" width="13.5" bestFit="1" customWidth="1"/>
    <col min="3" max="3" width="17.875" bestFit="1" customWidth="1"/>
    <col min="4" max="4" width="20.125" bestFit="1" customWidth="1"/>
    <col min="5" max="5" width="17.125" bestFit="1" customWidth="1"/>
    <col min="6" max="6" width="19.875" bestFit="1" customWidth="1"/>
  </cols>
  <sheetData>
    <row r="1" spans="1:11">
      <c r="B1" s="42" t="s">
        <v>59</v>
      </c>
      <c r="C1" s="42" t="s">
        <v>159</v>
      </c>
      <c r="D1" s="42" t="s">
        <v>160</v>
      </c>
      <c r="E1" s="42" t="s">
        <v>161</v>
      </c>
      <c r="F1" s="43" t="s">
        <v>162</v>
      </c>
    </row>
    <row r="2" spans="1:11">
      <c r="A2" s="29" t="s">
        <v>105</v>
      </c>
      <c r="B2" s="30">
        <v>53793000</v>
      </c>
      <c r="C2" s="30">
        <v>23311069</v>
      </c>
      <c r="D2" s="30">
        <f>4916422*1000</f>
        <v>4916422000</v>
      </c>
      <c r="E2" s="30">
        <v>2732818</v>
      </c>
      <c r="F2" s="30">
        <f>1020991*1000</f>
        <v>1020991000</v>
      </c>
      <c r="H2">
        <f>D2/C2</f>
        <v>210.90504257869941</v>
      </c>
      <c r="J2">
        <f>F2*1000/E2</f>
        <v>373603.73065458436</v>
      </c>
      <c r="K2">
        <f>G2*1000/F2</f>
        <v>0</v>
      </c>
    </row>
    <row r="3" spans="1:11" ht="18">
      <c r="A3" t="s">
        <v>102</v>
      </c>
      <c r="B3" s="21"/>
      <c r="C3" s="21">
        <v>5125683</v>
      </c>
      <c r="D3" s="21">
        <v>1190824323</v>
      </c>
      <c r="E3" s="21">
        <v>1558234</v>
      </c>
      <c r="F3" s="21">
        <v>434655299</v>
      </c>
      <c r="H3" s="1">
        <f>D3/C3</f>
        <v>232.32500390679641</v>
      </c>
      <c r="I3" s="9"/>
      <c r="J3">
        <f>F3/E3</f>
        <v>278.94096714614108</v>
      </c>
      <c r="K3">
        <f>G3/F3</f>
        <v>0</v>
      </c>
    </row>
    <row r="4" spans="1:11">
      <c r="A4" t="s">
        <v>1</v>
      </c>
      <c r="B4" s="21"/>
      <c r="C4" s="21">
        <v>4253594</v>
      </c>
      <c r="D4" s="21">
        <v>593693489</v>
      </c>
      <c r="E4" s="21">
        <v>85375</v>
      </c>
      <c r="F4" s="21">
        <v>19842343</v>
      </c>
      <c r="H4" s="1">
        <f t="shared" ref="H4:J8" si="0">D4/C4</f>
        <v>139.57455483527576</v>
      </c>
      <c r="J4">
        <f t="shared" si="0"/>
        <v>232.41397364568081</v>
      </c>
      <c r="K4">
        <f t="shared" ref="K4:K8" si="1">G4/F4</f>
        <v>0</v>
      </c>
    </row>
    <row r="5" spans="1:11">
      <c r="A5" t="s">
        <v>2</v>
      </c>
      <c r="B5" s="21"/>
      <c r="C5" s="21">
        <v>14247057</v>
      </c>
      <c r="D5" s="21">
        <v>1695201499</v>
      </c>
      <c r="E5" s="21">
        <v>170520</v>
      </c>
      <c r="F5" s="21">
        <v>38396141</v>
      </c>
      <c r="H5" s="1">
        <f t="shared" si="0"/>
        <v>118.98608245899486</v>
      </c>
      <c r="J5">
        <f t="shared" si="0"/>
        <v>225.170894909688</v>
      </c>
      <c r="K5">
        <f t="shared" si="1"/>
        <v>0</v>
      </c>
    </row>
    <row r="6" spans="1:11">
      <c r="A6" t="s">
        <v>103</v>
      </c>
      <c r="B6" s="21"/>
      <c r="C6" s="21">
        <v>7979685</v>
      </c>
      <c r="D6" s="21">
        <v>1196807173</v>
      </c>
      <c r="E6" s="21">
        <v>349868</v>
      </c>
      <c r="F6" s="21">
        <v>88325792</v>
      </c>
      <c r="H6" s="1">
        <f t="shared" si="0"/>
        <v>149.98175654803416</v>
      </c>
      <c r="J6">
        <f t="shared" si="0"/>
        <v>252.45461716990408</v>
      </c>
      <c r="K6">
        <f t="shared" si="1"/>
        <v>0</v>
      </c>
    </row>
    <row r="7" spans="1:11">
      <c r="A7" t="s">
        <v>3</v>
      </c>
      <c r="B7" s="21"/>
      <c r="C7" s="21">
        <v>258314</v>
      </c>
      <c r="D7" s="21">
        <v>77439590</v>
      </c>
      <c r="E7" s="21">
        <v>828391</v>
      </c>
      <c r="F7" s="21">
        <v>211882205</v>
      </c>
      <c r="H7">
        <f t="shared" si="0"/>
        <v>299.78859063000846</v>
      </c>
      <c r="J7" s="1">
        <f t="shared" si="0"/>
        <v>255.77559992805331</v>
      </c>
      <c r="K7">
        <f t="shared" si="1"/>
        <v>0</v>
      </c>
    </row>
    <row r="8" spans="1:11">
      <c r="A8" t="s">
        <v>104</v>
      </c>
      <c r="B8" s="21"/>
      <c r="C8" s="21">
        <v>461518</v>
      </c>
      <c r="D8" s="21">
        <v>154455040</v>
      </c>
      <c r="E8" s="21">
        <v>771691</v>
      </c>
      <c r="F8" s="21">
        <v>220954701</v>
      </c>
      <c r="H8">
        <f t="shared" si="0"/>
        <v>334.66742358911245</v>
      </c>
      <c r="J8" s="1">
        <f t="shared" si="0"/>
        <v>286.32535691099156</v>
      </c>
      <c r="K8">
        <f t="shared" si="1"/>
        <v>0</v>
      </c>
    </row>
    <row r="10" spans="1:11">
      <c r="A10" t="s">
        <v>106</v>
      </c>
      <c r="B10" s="42" t="s">
        <v>59</v>
      </c>
      <c r="C10" s="42" t="s">
        <v>159</v>
      </c>
      <c r="D10" s="42" t="s">
        <v>160</v>
      </c>
      <c r="E10" s="42" t="s">
        <v>161</v>
      </c>
      <c r="F10" s="43" t="s">
        <v>162</v>
      </c>
    </row>
    <row r="11" spans="1:11">
      <c r="A11" t="s">
        <v>102</v>
      </c>
      <c r="B11" s="41">
        <f>TPO!B3/TPO!$B$9</f>
        <v>0.40380968910247778</v>
      </c>
      <c r="C11" s="25">
        <f>C3/SUM(C$3:C$8)</f>
        <v>0.15856297178379</v>
      </c>
      <c r="D11" s="25">
        <f>D3/SUM(D$3:D$8)</f>
        <v>0.24260842648636688</v>
      </c>
      <c r="E11" s="25">
        <f t="shared" ref="E11:F16" si="2">E3/SUM(E$3:E$8)</f>
        <v>0.41397483952913849</v>
      </c>
      <c r="F11" s="25">
        <f t="shared" si="2"/>
        <v>0.42863026581258051</v>
      </c>
    </row>
    <row r="12" spans="1:11">
      <c r="A12" t="s">
        <v>1</v>
      </c>
      <c r="B12" s="41">
        <f>TPO!B4/TPO!$B$9</f>
        <v>7.8846520219959318E-2</v>
      </c>
      <c r="C12" s="25">
        <f>C4/SUM(C$3:C$8)</f>
        <v>0.13158490398288356</v>
      </c>
      <c r="D12" s="25">
        <f t="shared" ref="C12:D16" si="3">D4/SUM(D$3:D$8)</f>
        <v>0.12095406551541453</v>
      </c>
      <c r="E12" s="25">
        <f t="shared" si="2"/>
        <v>2.2681511201013582E-2</v>
      </c>
      <c r="F12" s="25">
        <f t="shared" si="2"/>
        <v>1.9567295680051968E-2</v>
      </c>
    </row>
    <row r="13" spans="1:11">
      <c r="A13" t="s">
        <v>2</v>
      </c>
      <c r="B13" s="41">
        <f>TPO!B5/TPO!$B$9</f>
        <v>2.7309887097787738E-2</v>
      </c>
      <c r="C13" s="25">
        <f>C5/SUM(C$3:C$8)</f>
        <v>0.44073261984657419</v>
      </c>
      <c r="D13" s="25">
        <f t="shared" si="3"/>
        <v>0.34536594551043648</v>
      </c>
      <c r="E13" s="25">
        <f t="shared" si="2"/>
        <v>4.5301918477268943E-2</v>
      </c>
      <c r="F13" s="25">
        <f t="shared" si="2"/>
        <v>3.7863907700817705E-2</v>
      </c>
    </row>
    <row r="14" spans="1:11">
      <c r="A14" t="s">
        <v>103</v>
      </c>
      <c r="B14" s="41">
        <f>TPO!B6/TPO!$B$9</f>
        <v>3.8829274180114885E-2</v>
      </c>
      <c r="C14" s="25">
        <f t="shared" si="3"/>
        <v>0.24685150593560554</v>
      </c>
      <c r="D14" s="25">
        <f t="shared" si="3"/>
        <v>0.24382732149578965</v>
      </c>
      <c r="E14" s="25">
        <f t="shared" si="2"/>
        <v>9.2949164988301261E-2</v>
      </c>
      <c r="F14" s="25">
        <f t="shared" si="2"/>
        <v>8.7101452093574269E-2</v>
      </c>
    </row>
    <row r="15" spans="1:11">
      <c r="A15" t="s">
        <v>3</v>
      </c>
      <c r="B15" s="41">
        <f>TPO!B7/TPO!$B$9</f>
        <v>0.23269660635041281</v>
      </c>
      <c r="C15" s="25">
        <f t="shared" si="3"/>
        <v>7.990941986337808E-3</v>
      </c>
      <c r="D15" s="25">
        <f t="shared" si="3"/>
        <v>1.5776883890243978E-2</v>
      </c>
      <c r="E15" s="25">
        <f t="shared" si="2"/>
        <v>0.22007800580168482</v>
      </c>
      <c r="F15" s="25">
        <f t="shared" si="2"/>
        <v>0.20894517117138764</v>
      </c>
    </row>
    <row r="16" spans="1:11">
      <c r="A16" t="s">
        <v>104</v>
      </c>
      <c r="B16" s="41">
        <f>TPO!B8/TPO!$B$9</f>
        <v>0.21850802304924746</v>
      </c>
      <c r="C16" s="25">
        <f t="shared" si="3"/>
        <v>1.4277056464808924E-2</v>
      </c>
      <c r="D16" s="25">
        <f t="shared" si="3"/>
        <v>3.1467357101748465E-2</v>
      </c>
      <c r="E16" s="25">
        <f t="shared" si="2"/>
        <v>0.20501456000259294</v>
      </c>
      <c r="F16" s="25">
        <f t="shared" si="2"/>
        <v>0.21789190754158791</v>
      </c>
    </row>
    <row r="18" spans="1:9">
      <c r="A18" t="s">
        <v>107</v>
      </c>
      <c r="B18" s="42" t="s">
        <v>59</v>
      </c>
      <c r="C18" s="42" t="s">
        <v>159</v>
      </c>
      <c r="D18" s="42" t="s">
        <v>160</v>
      </c>
      <c r="E18" s="42" t="s">
        <v>161</v>
      </c>
      <c r="F18" s="43" t="s">
        <v>162</v>
      </c>
    </row>
    <row r="19" spans="1:9">
      <c r="A19" s="10" t="s">
        <v>102</v>
      </c>
      <c r="B19" s="23">
        <f>B11*$B$2</f>
        <v>21722134.605889589</v>
      </c>
      <c r="C19" s="24">
        <f>C11*C$2</f>
        <v>3696272.376096982</v>
      </c>
      <c r="D19" s="24">
        <f>D11*D$2</f>
        <v>1192765405.3629568</v>
      </c>
      <c r="E19" s="24">
        <f>E11*E$2</f>
        <v>1131317.8930123411</v>
      </c>
      <c r="F19" s="24">
        <f t="shared" ref="F19" si="4">F11*F$2</f>
        <v>437627643.72225237</v>
      </c>
    </row>
    <row r="20" spans="1:9">
      <c r="A20" s="10" t="s">
        <v>1</v>
      </c>
      <c r="B20" s="23">
        <f t="shared" ref="B20:B24" si="5">B12*$B$2</f>
        <v>4241390.8621922713</v>
      </c>
      <c r="C20" s="24">
        <f>C12*C$2</f>
        <v>3067384.7761033732</v>
      </c>
      <c r="D20" s="24">
        <f t="shared" ref="C20:F24" si="6">D12*D$2</f>
        <v>594661228.68942535</v>
      </c>
      <c r="E20" s="24">
        <f t="shared" si="6"/>
        <v>61984.442077331536</v>
      </c>
      <c r="F20" s="24">
        <f t="shared" si="6"/>
        <v>19978032.783671938</v>
      </c>
      <c r="I20" t="s">
        <v>108</v>
      </c>
    </row>
    <row r="21" spans="1:9">
      <c r="A21" s="10" t="s">
        <v>2</v>
      </c>
      <c r="B21" s="23">
        <f t="shared" si="5"/>
        <v>1469080.7566512958</v>
      </c>
      <c r="C21" s="24">
        <f t="shared" si="6"/>
        <v>10273948.51179426</v>
      </c>
      <c r="D21" s="24">
        <f t="shared" si="6"/>
        <v>1697964732.5583112</v>
      </c>
      <c r="E21" s="24">
        <f t="shared" si="6"/>
        <v>123801.89824921316</v>
      </c>
      <c r="F21" s="24">
        <f t="shared" si="6"/>
        <v>38658708.987365566</v>
      </c>
    </row>
    <row r="22" spans="1:9">
      <c r="A22" s="10" t="s">
        <v>103</v>
      </c>
      <c r="B22" s="23">
        <f t="shared" si="5"/>
        <v>2088743.1459709201</v>
      </c>
      <c r="C22" s="24">
        <f t="shared" si="6"/>
        <v>5754372.4876188105</v>
      </c>
      <c r="D22" s="24">
        <f t="shared" si="6"/>
        <v>1198758007.6029732</v>
      </c>
      <c r="E22" s="24">
        <f t="shared" si="6"/>
        <v>254013.15116499946</v>
      </c>
      <c r="F22" s="24">
        <f t="shared" si="6"/>
        <v>88929798.674470484</v>
      </c>
    </row>
    <row r="23" spans="1:9">
      <c r="A23" s="10" t="s">
        <v>3</v>
      </c>
      <c r="B23" s="23">
        <f t="shared" si="5"/>
        <v>12517448.545407757</v>
      </c>
      <c r="C23" s="24">
        <f t="shared" si="6"/>
        <v>186277.40001851768</v>
      </c>
      <c r="D23" s="24">
        <f t="shared" si="6"/>
        <v>77565819.049441084</v>
      </c>
      <c r="E23" s="24">
        <f t="shared" si="6"/>
        <v>601433.13565894868</v>
      </c>
      <c r="F23" s="24">
        <f t="shared" si="6"/>
        <v>213331139.25944623</v>
      </c>
    </row>
    <row r="24" spans="1:9">
      <c r="A24" s="10" t="s">
        <v>104</v>
      </c>
      <c r="B24" s="23">
        <f t="shared" si="5"/>
        <v>11754202.083888169</v>
      </c>
      <c r="C24" s="24">
        <f t="shared" si="6"/>
        <v>332813.44836805691</v>
      </c>
      <c r="D24" s="24">
        <f t="shared" si="6"/>
        <v>154706806.7368924</v>
      </c>
      <c r="E24" s="24">
        <f t="shared" si="6"/>
        <v>560267.47983716603</v>
      </c>
      <c r="F24" s="24">
        <f t="shared" si="6"/>
        <v>222465676.57279339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workbookViewId="0">
      <selection activeCell="B2" sqref="B2"/>
    </sheetView>
  </sheetViews>
  <sheetFormatPr defaultColWidth="11" defaultRowHeight="15.75"/>
  <sheetData>
    <row r="1" spans="1:2">
      <c r="A1" t="s">
        <v>132</v>
      </c>
      <c r="B1" t="s">
        <v>74</v>
      </c>
    </row>
    <row r="2" spans="1:2">
      <c r="A2" s="11" t="s">
        <v>102</v>
      </c>
      <c r="B2">
        <v>52341730</v>
      </c>
    </row>
    <row r="3" spans="1:2">
      <c r="A3" s="11" t="s">
        <v>1</v>
      </c>
      <c r="B3">
        <v>29907798</v>
      </c>
    </row>
    <row r="4" spans="1:2">
      <c r="A4" s="11" t="s">
        <v>2</v>
      </c>
      <c r="B4">
        <v>61423147</v>
      </c>
    </row>
    <row r="5" spans="1:2">
      <c r="A5" s="11" t="s">
        <v>103</v>
      </c>
      <c r="B5">
        <v>64964849</v>
      </c>
    </row>
    <row r="6" spans="1:2">
      <c r="A6" s="11" t="s">
        <v>3</v>
      </c>
      <c r="B6">
        <v>57846798</v>
      </c>
    </row>
    <row r="7" spans="1:2">
      <c r="A7" s="11" t="s">
        <v>104</v>
      </c>
      <c r="B7">
        <v>53741919</v>
      </c>
    </row>
    <row r="9" spans="1:2">
      <c r="A9" s="1" t="s">
        <v>139</v>
      </c>
      <c r="B9" s="32" t="s">
        <v>140</v>
      </c>
    </row>
  </sheetData>
  <hyperlinks>
    <hyperlink ref="B9" r:id="rId1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3"/>
  <dimension ref="A1:F26"/>
  <sheetViews>
    <sheetView workbookViewId="0">
      <selection activeCell="M35" sqref="M35"/>
    </sheetView>
  </sheetViews>
  <sheetFormatPr defaultColWidth="11" defaultRowHeight="15.75"/>
  <cols>
    <col min="1" max="1" width="18" bestFit="1" customWidth="1"/>
    <col min="2" max="2" width="13.5" bestFit="1" customWidth="1"/>
    <col min="3" max="3" width="17.5" bestFit="1" customWidth="1"/>
    <col min="4" max="4" width="19.625" bestFit="1" customWidth="1"/>
    <col min="5" max="5" width="17.125" bestFit="1" customWidth="1"/>
    <col min="6" max="6" width="19.5" bestFit="1" customWidth="1"/>
  </cols>
  <sheetData>
    <row r="1" spans="1:6">
      <c r="A1" s="11"/>
      <c r="B1" s="15" t="s">
        <v>128</v>
      </c>
      <c r="C1" s="15" t="s">
        <v>126</v>
      </c>
      <c r="D1" s="15" t="s">
        <v>141</v>
      </c>
      <c r="E1" s="15" t="s">
        <v>127</v>
      </c>
      <c r="F1" s="15" t="s">
        <v>142</v>
      </c>
    </row>
    <row r="2" spans="1:6">
      <c r="A2" s="11" t="s">
        <v>122</v>
      </c>
      <c r="B2" s="26">
        <v>22569000</v>
      </c>
      <c r="C2" s="26">
        <v>1138000</v>
      </c>
      <c r="D2" s="26">
        <f>1000*557229</f>
        <v>557229000</v>
      </c>
      <c r="E2" s="26">
        <v>3565000</v>
      </c>
      <c r="F2" s="26">
        <f>1000*2083325</f>
        <v>2083325000</v>
      </c>
    </row>
    <row r="3" spans="1:6">
      <c r="A3" s="11" t="s">
        <v>102</v>
      </c>
      <c r="B3" s="26"/>
      <c r="C3" s="26">
        <v>107665</v>
      </c>
      <c r="D3" s="26">
        <v>91145886</v>
      </c>
      <c r="E3" s="26">
        <v>679299</v>
      </c>
      <c r="F3" s="26">
        <v>342791018</v>
      </c>
    </row>
    <row r="4" spans="1:6">
      <c r="A4" s="11" t="s">
        <v>1</v>
      </c>
      <c r="B4" s="26"/>
      <c r="C4" s="26">
        <v>4056</v>
      </c>
      <c r="D4" s="26">
        <v>1585388</v>
      </c>
      <c r="E4" s="26">
        <v>55052</v>
      </c>
      <c r="F4" s="26">
        <v>34726684</v>
      </c>
    </row>
    <row r="5" spans="1:6">
      <c r="A5" s="11" t="s">
        <v>2</v>
      </c>
      <c r="B5" s="26"/>
      <c r="C5" s="26">
        <v>181428</v>
      </c>
      <c r="D5" s="26">
        <v>72231202</v>
      </c>
      <c r="E5" s="26">
        <v>166384</v>
      </c>
      <c r="F5" s="26">
        <v>87990354</v>
      </c>
    </row>
    <row r="6" spans="1:6">
      <c r="A6" s="11" t="s">
        <v>103</v>
      </c>
      <c r="B6" s="26"/>
      <c r="C6" s="26">
        <v>335093</v>
      </c>
      <c r="D6" s="26">
        <v>184279170</v>
      </c>
      <c r="E6" s="26">
        <v>1001614</v>
      </c>
      <c r="F6" s="26">
        <v>656291052</v>
      </c>
    </row>
    <row r="7" spans="1:6">
      <c r="A7" s="11" t="s">
        <v>3</v>
      </c>
      <c r="B7" s="26"/>
      <c r="C7" s="26">
        <v>354002</v>
      </c>
      <c r="D7" s="26">
        <v>66352458</v>
      </c>
      <c r="E7" s="26">
        <v>216373</v>
      </c>
      <c r="F7" s="26">
        <v>114099878</v>
      </c>
    </row>
    <row r="8" spans="1:6">
      <c r="A8" s="11" t="s">
        <v>104</v>
      </c>
      <c r="B8" s="26"/>
      <c r="C8" s="26">
        <v>152525</v>
      </c>
      <c r="D8" s="26">
        <v>106474680</v>
      </c>
      <c r="E8" s="26">
        <v>1386352</v>
      </c>
      <c r="F8" s="26">
        <v>818909474</v>
      </c>
    </row>
    <row r="9" spans="1:6">
      <c r="A9" s="11"/>
      <c r="B9" s="11"/>
      <c r="C9" s="11"/>
      <c r="D9" s="11"/>
      <c r="E9" s="11"/>
      <c r="F9" s="11"/>
    </row>
    <row r="10" spans="1:6">
      <c r="A10" s="11" t="s">
        <v>106</v>
      </c>
      <c r="B10" s="42" t="s">
        <v>59</v>
      </c>
      <c r="C10" s="42" t="s">
        <v>159</v>
      </c>
      <c r="D10" s="42" t="s">
        <v>160</v>
      </c>
      <c r="E10" s="42" t="s">
        <v>161</v>
      </c>
      <c r="F10" s="43" t="s">
        <v>162</v>
      </c>
    </row>
    <row r="11" spans="1:6">
      <c r="A11" s="11" t="s">
        <v>102</v>
      </c>
      <c r="B11" s="12">
        <f>TPO!J3/TPO!$J$9</f>
        <v>3.7611947630506536E-2</v>
      </c>
      <c r="C11" s="12">
        <f>C3/SUM(C$3:C$8)</f>
        <v>9.4878340878187542E-2</v>
      </c>
      <c r="D11" s="12">
        <f t="shared" ref="D11:F11" si="0">D3/SUM(D$3:D$8)</f>
        <v>0.1745859717979231</v>
      </c>
      <c r="E11" s="12">
        <f t="shared" si="0"/>
        <v>0.19380446746630742</v>
      </c>
      <c r="F11" s="12">
        <f t="shared" si="0"/>
        <v>0.1668238303827112</v>
      </c>
    </row>
    <row r="12" spans="1:6">
      <c r="A12" s="11" t="s">
        <v>1</v>
      </c>
      <c r="B12" s="12">
        <f>TPO!J4/TPO!$J$9</f>
        <v>3.1128972483837713E-3</v>
      </c>
      <c r="C12" s="12">
        <f t="shared" ref="C12:F12" si="1">C4/SUM(C$3:C$8)</f>
        <v>3.5742957377228315E-3</v>
      </c>
      <c r="D12" s="12">
        <f t="shared" si="1"/>
        <v>3.0367416106610199E-3</v>
      </c>
      <c r="E12" s="12">
        <f t="shared" si="1"/>
        <v>1.5706373103677698E-2</v>
      </c>
      <c r="F12" s="12">
        <f t="shared" si="1"/>
        <v>1.690020489793E-2</v>
      </c>
    </row>
    <row r="13" spans="1:6">
      <c r="A13" s="11" t="s">
        <v>2</v>
      </c>
      <c r="B13" s="12">
        <f>TPO!J5/TPO!$J$9</f>
        <v>0.27083723137806204</v>
      </c>
      <c r="C13" s="12">
        <f t="shared" ref="C13:F13" si="2">C5/SUM(C$3:C$8)</f>
        <v>0.15988099780660206</v>
      </c>
      <c r="D13" s="12">
        <f t="shared" si="2"/>
        <v>0.13835571904256969</v>
      </c>
      <c r="E13" s="12">
        <f>E5/SUM(E$3:E$8)</f>
        <v>4.7469468547596996E-2</v>
      </c>
      <c r="F13" s="12">
        <f t="shared" si="2"/>
        <v>4.2821681783420336E-2</v>
      </c>
    </row>
    <row r="14" spans="1:6">
      <c r="A14" s="11" t="s">
        <v>103</v>
      </c>
      <c r="B14" s="12">
        <f>TPO!J6/TPO!$J$9</f>
        <v>0.21898354405049411</v>
      </c>
      <c r="C14" s="12">
        <f t="shared" ref="C14:F14" si="3">C6/SUM(C$3:C$8)</f>
        <v>0.29529622328421029</v>
      </c>
      <c r="D14" s="12">
        <f t="shared" si="3"/>
        <v>0.35297871783883555</v>
      </c>
      <c r="E14" s="12">
        <f t="shared" si="3"/>
        <v>0.28576115654048961</v>
      </c>
      <c r="F14" s="12">
        <f t="shared" si="3"/>
        <v>0.31939281192174962</v>
      </c>
    </row>
    <row r="15" spans="1:6">
      <c r="A15" s="11" t="s">
        <v>3</v>
      </c>
      <c r="B15" s="12">
        <f>TPO!J7/TPO!$J$9</f>
        <v>0.29399215887984825</v>
      </c>
      <c r="C15" s="12">
        <f t="shared" ref="C15:F15" si="4">C7/SUM(C$3:C$8)</f>
        <v>0.31195952656443732</v>
      </c>
      <c r="D15" s="12">
        <f t="shared" si="4"/>
        <v>0.12709524115121199</v>
      </c>
      <c r="E15" s="12">
        <f t="shared" si="4"/>
        <v>6.1731364302151683E-2</v>
      </c>
      <c r="F15" s="12">
        <f t="shared" si="4"/>
        <v>5.5528230597220729E-2</v>
      </c>
    </row>
    <row r="16" spans="1:6">
      <c r="A16" s="11" t="s">
        <v>104</v>
      </c>
      <c r="B16" s="12">
        <f>TPO!J8/TPO!$J$9</f>
        <v>0.17546222081270529</v>
      </c>
      <c r="C16" s="12">
        <f t="shared" ref="C16:F16" si="5">C8/SUM(C$3:C$8)</f>
        <v>0.13441061572883997</v>
      </c>
      <c r="D16" s="12">
        <f>D8/SUM(D$3:D$8)</f>
        <v>0.20394760855879865</v>
      </c>
      <c r="E16" s="12">
        <f t="shared" si="5"/>
        <v>0.39552717003977661</v>
      </c>
      <c r="F16" s="12">
        <f t="shared" si="5"/>
        <v>0.39853324041696814</v>
      </c>
    </row>
    <row r="17" spans="1:6">
      <c r="A17" s="11"/>
      <c r="B17" s="11"/>
      <c r="C17" s="11"/>
      <c r="D17" s="11"/>
      <c r="E17" s="11"/>
      <c r="F17" s="11"/>
    </row>
    <row r="18" spans="1:6">
      <c r="A18" s="11" t="s">
        <v>107</v>
      </c>
      <c r="B18" s="42" t="s">
        <v>59</v>
      </c>
      <c r="C18" s="42" t="s">
        <v>159</v>
      </c>
      <c r="D18" s="42" t="s">
        <v>160</v>
      </c>
      <c r="E18" s="42" t="s">
        <v>161</v>
      </c>
      <c r="F18" s="43" t="s">
        <v>162</v>
      </c>
    </row>
    <row r="19" spans="1:6">
      <c r="A19" s="11" t="s">
        <v>102</v>
      </c>
      <c r="B19" s="26">
        <f>B11*$B$2</f>
        <v>848864.04607290204</v>
      </c>
      <c r="C19" s="27">
        <f>C$2*C11</f>
        <v>107971.55191937742</v>
      </c>
      <c r="D19" s="27">
        <f t="shared" ref="D19:F19" si="6">D$2*D11</f>
        <v>97284366.478984892</v>
      </c>
      <c r="E19" s="27">
        <f t="shared" si="6"/>
        <v>690912.92651738599</v>
      </c>
      <c r="F19" s="27">
        <f t="shared" si="6"/>
        <v>347548256.43206179</v>
      </c>
    </row>
    <row r="20" spans="1:6">
      <c r="A20" s="11" t="s">
        <v>1</v>
      </c>
      <c r="B20" s="26">
        <f t="shared" ref="B20:B24" si="7">B12*$B$2</f>
        <v>70254.977998773335</v>
      </c>
      <c r="C20" s="27">
        <f t="shared" ref="C20:F20" si="8">C$2*C12</f>
        <v>4067.548549528582</v>
      </c>
      <c r="D20" s="27">
        <f t="shared" si="8"/>
        <v>1692160.4909670295</v>
      </c>
      <c r="E20" s="27">
        <f t="shared" si="8"/>
        <v>55993.220114610995</v>
      </c>
      <c r="F20" s="27">
        <f t="shared" si="8"/>
        <v>35208619.36898002</v>
      </c>
    </row>
    <row r="21" spans="1:6">
      <c r="A21" s="11" t="s">
        <v>2</v>
      </c>
      <c r="B21" s="26">
        <f t="shared" si="7"/>
        <v>6112525.4749714825</v>
      </c>
      <c r="C21" s="27">
        <f t="shared" ref="C21:F21" si="9">C$2*C13</f>
        <v>181944.57550391313</v>
      </c>
      <c r="D21" s="27">
        <f t="shared" si="9"/>
        <v>77095818.966372058</v>
      </c>
      <c r="E21" s="27">
        <f t="shared" si="9"/>
        <v>169228.6553721833</v>
      </c>
      <c r="F21" s="27">
        <f t="shared" si="9"/>
        <v>89211480.201444164</v>
      </c>
    </row>
    <row r="22" spans="1:6">
      <c r="A22" s="11" t="s">
        <v>103</v>
      </c>
      <c r="B22" s="26">
        <f t="shared" si="7"/>
        <v>4942239.6056756014</v>
      </c>
      <c r="C22" s="27">
        <f t="shared" ref="C22:F22" si="10">C$2*C14</f>
        <v>336047.10209743131</v>
      </c>
      <c r="D22" s="27">
        <f t="shared" si="10"/>
        <v>196689977.9626165</v>
      </c>
      <c r="E22" s="27">
        <f t="shared" si="10"/>
        <v>1018738.5230668455</v>
      </c>
      <c r="F22" s="27">
        <f t="shared" si="10"/>
        <v>665399029.89687908</v>
      </c>
    </row>
    <row r="23" spans="1:6">
      <c r="A23" s="11" t="s">
        <v>3</v>
      </c>
      <c r="B23" s="26">
        <f t="shared" si="7"/>
        <v>6635109.033759295</v>
      </c>
      <c r="C23" s="27">
        <f t="shared" ref="C23:F23" si="11">C$2*C15</f>
        <v>355009.94123032968</v>
      </c>
      <c r="D23" s="27">
        <f t="shared" si="11"/>
        <v>70821154.131448701</v>
      </c>
      <c r="E23" s="27">
        <f t="shared" si="11"/>
        <v>220072.31373717074</v>
      </c>
      <c r="F23" s="27">
        <f t="shared" si="11"/>
        <v>115683351.00895488</v>
      </c>
    </row>
    <row r="24" spans="1:6">
      <c r="A24" s="11" t="s">
        <v>104</v>
      </c>
      <c r="B24" s="26">
        <f t="shared" si="7"/>
        <v>3960006.8615219458</v>
      </c>
      <c r="C24" s="27">
        <f t="shared" ref="C24:F24" si="12">C$2*C16</f>
        <v>152959.28069941988</v>
      </c>
      <c r="D24" s="27">
        <f t="shared" si="12"/>
        <v>113645521.96961081</v>
      </c>
      <c r="E24" s="27">
        <f t="shared" si="12"/>
        <v>1410054.3611918036</v>
      </c>
      <c r="F24" s="27">
        <f t="shared" si="12"/>
        <v>830274263.09168017</v>
      </c>
    </row>
    <row r="25" spans="1:6">
      <c r="A25" s="13"/>
      <c r="B25" s="13"/>
      <c r="C25" s="14"/>
      <c r="D25" s="13"/>
      <c r="E25" s="13"/>
      <c r="F25" s="13"/>
    </row>
    <row r="26" spans="1:6">
      <c r="A26" s="13"/>
      <c r="B26" s="13"/>
      <c r="C26" s="14"/>
      <c r="D26" s="13"/>
      <c r="E26" s="13"/>
      <c r="F26" s="1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4"/>
  <dimension ref="A1:F26"/>
  <sheetViews>
    <sheetView workbookViewId="0">
      <selection activeCell="B10" sqref="B10:F10"/>
    </sheetView>
  </sheetViews>
  <sheetFormatPr defaultColWidth="8.875" defaultRowHeight="15.75"/>
  <cols>
    <col min="1" max="1" width="18" bestFit="1" customWidth="1"/>
    <col min="2" max="2" width="13.5" bestFit="1" customWidth="1"/>
    <col min="3" max="3" width="17.5" bestFit="1" customWidth="1"/>
    <col min="4" max="4" width="19.625" bestFit="1" customWidth="1"/>
    <col min="5" max="5" width="17.125" bestFit="1" customWidth="1"/>
    <col min="6" max="6" width="19.5" bestFit="1" customWidth="1"/>
  </cols>
  <sheetData>
    <row r="1" spans="1:6">
      <c r="A1" s="11"/>
      <c r="B1" s="15" t="s">
        <v>128</v>
      </c>
      <c r="C1" s="15" t="s">
        <v>126</v>
      </c>
      <c r="D1" s="15" t="s">
        <v>141</v>
      </c>
      <c r="E1" s="15" t="s">
        <v>127</v>
      </c>
      <c r="F1" s="15" t="s">
        <v>142</v>
      </c>
    </row>
    <row r="2" spans="1:6">
      <c r="A2" s="11" t="s">
        <v>122</v>
      </c>
      <c r="B2" s="26">
        <v>9644635</v>
      </c>
      <c r="C2" s="26">
        <v>4571500</v>
      </c>
      <c r="D2" s="26">
        <f>1000*3017298</f>
        <v>3017298000</v>
      </c>
      <c r="E2" s="26">
        <v>796500</v>
      </c>
      <c r="F2" s="26">
        <f>1000*642079</f>
        <v>642079000</v>
      </c>
    </row>
    <row r="3" spans="1:6">
      <c r="A3" s="11" t="s">
        <v>102</v>
      </c>
      <c r="B3" s="26"/>
      <c r="C3" s="26">
        <v>1186869</v>
      </c>
      <c r="D3" s="26">
        <v>944589189</v>
      </c>
      <c r="E3" s="26">
        <v>307214</v>
      </c>
      <c r="F3" s="26">
        <v>165474187</v>
      </c>
    </row>
    <row r="4" spans="1:6">
      <c r="A4" s="11" t="s">
        <v>1</v>
      </c>
      <c r="B4" s="26"/>
      <c r="C4" s="26">
        <v>90376</v>
      </c>
      <c r="D4" s="26">
        <v>54211332</v>
      </c>
      <c r="E4" s="26">
        <v>33698</v>
      </c>
      <c r="F4" s="26">
        <v>19038273</v>
      </c>
    </row>
    <row r="5" spans="1:6">
      <c r="A5" s="11" t="s">
        <v>2</v>
      </c>
      <c r="B5" s="26"/>
      <c r="C5" s="26">
        <v>400273</v>
      </c>
      <c r="D5" s="26">
        <v>278396978</v>
      </c>
      <c r="E5" s="26">
        <v>100442</v>
      </c>
      <c r="F5" s="26">
        <v>93120503</v>
      </c>
    </row>
    <row r="6" spans="1:6">
      <c r="A6" s="11" t="s">
        <v>103</v>
      </c>
      <c r="B6" s="26"/>
      <c r="C6" s="26">
        <v>1421700</v>
      </c>
      <c r="D6" s="26">
        <v>755046678</v>
      </c>
      <c r="E6" s="26">
        <v>91708</v>
      </c>
      <c r="F6" s="26">
        <v>135069188</v>
      </c>
    </row>
    <row r="7" spans="1:6">
      <c r="A7" s="11" t="s">
        <v>3</v>
      </c>
      <c r="B7" s="26"/>
      <c r="C7" s="26">
        <v>571737</v>
      </c>
      <c r="D7" s="26">
        <v>336083947</v>
      </c>
      <c r="E7" s="26">
        <v>125177</v>
      </c>
      <c r="F7" s="26">
        <v>73298600</v>
      </c>
    </row>
    <row r="8" spans="1:6">
      <c r="A8" s="11" t="s">
        <v>104</v>
      </c>
      <c r="B8" s="26"/>
      <c r="C8" s="26">
        <v>741456</v>
      </c>
      <c r="D8" s="26">
        <v>472441053</v>
      </c>
      <c r="E8" s="26">
        <v>139532</v>
      </c>
      <c r="F8" s="26">
        <v>123758185</v>
      </c>
    </row>
    <row r="9" spans="1:6">
      <c r="A9" s="11"/>
      <c r="B9" s="11"/>
      <c r="C9" s="11"/>
      <c r="D9" s="11"/>
      <c r="E9" s="11"/>
      <c r="F9" s="11"/>
    </row>
    <row r="10" spans="1:6">
      <c r="A10" s="11" t="s">
        <v>106</v>
      </c>
      <c r="B10" s="42" t="s">
        <v>59</v>
      </c>
      <c r="C10" s="42" t="s">
        <v>159</v>
      </c>
      <c r="D10" s="42" t="s">
        <v>160</v>
      </c>
      <c r="E10" s="42" t="s">
        <v>161</v>
      </c>
      <c r="F10" s="43" t="s">
        <v>162</v>
      </c>
    </row>
    <row r="11" spans="1:6">
      <c r="A11" s="11" t="s">
        <v>102</v>
      </c>
      <c r="B11" s="12">
        <f>(TPO!C3+TPO!K3)/(TPO!$C$9+TPO!$K$9)</f>
        <v>0.32504903844209421</v>
      </c>
      <c r="C11" s="12">
        <f>C3/SUM(C$3:C$8)</f>
        <v>0.26898423560271245</v>
      </c>
      <c r="D11" s="12">
        <f t="shared" ref="D11:F11" si="0">D3/SUM(D$3:D$8)</f>
        <v>0.33251177063162002</v>
      </c>
      <c r="E11" s="12">
        <f t="shared" si="0"/>
        <v>0.38509045828940885</v>
      </c>
      <c r="F11" s="12">
        <f t="shared" si="0"/>
        <v>0.27137640341198704</v>
      </c>
    </row>
    <row r="12" spans="1:6">
      <c r="A12" s="11" t="s">
        <v>1</v>
      </c>
      <c r="B12" s="12">
        <f>(TPO!C4+TPO!K4)/(TPO!$C$9+TPO!$K$9)</f>
        <v>3.4993458948485136E-2</v>
      </c>
      <c r="C12" s="12">
        <f t="shared" ref="C12:F12" si="1">C4/SUM(C$3:C$8)</f>
        <v>2.0482226157082829E-2</v>
      </c>
      <c r="D12" s="12">
        <f t="shared" si="1"/>
        <v>1.9083328712137741E-2</v>
      </c>
      <c r="E12" s="12">
        <f t="shared" si="1"/>
        <v>4.2240191734219466E-2</v>
      </c>
      <c r="F12" s="12">
        <f t="shared" si="1"/>
        <v>3.1222622377443929E-2</v>
      </c>
    </row>
    <row r="13" spans="1:6">
      <c r="A13" s="11" t="s">
        <v>2</v>
      </c>
      <c r="B13" s="12">
        <f>(TPO!C5+TPO!K5)/(TPO!$C$9+TPO!$K$9)</f>
        <v>2.4543331938531227E-2</v>
      </c>
      <c r="C13" s="12">
        <f t="shared" ref="C13:F13" si="2">C5/SUM(C$3:C$8)</f>
        <v>9.0715257486213313E-2</v>
      </c>
      <c r="D13" s="12">
        <f t="shared" si="2"/>
        <v>9.8000562753923465E-2</v>
      </c>
      <c r="E13" s="12">
        <f t="shared" si="2"/>
        <v>0.12590329806423148</v>
      </c>
      <c r="F13" s="12">
        <f t="shared" si="2"/>
        <v>0.15271691401665657</v>
      </c>
    </row>
    <row r="14" spans="1:6">
      <c r="A14" s="11" t="s">
        <v>103</v>
      </c>
      <c r="B14" s="12">
        <f>(TPO!C6+TPO!K6)/(TPO!$C$9+TPO!$K$9)</f>
        <v>3.4389908891941205E-2</v>
      </c>
      <c r="C14" s="12">
        <f t="shared" ref="C14:F14" si="3">C6/SUM(C$3:C$8)</f>
        <v>0.32220479914495725</v>
      </c>
      <c r="D14" s="12">
        <f t="shared" si="3"/>
        <v>0.2657895207090949</v>
      </c>
      <c r="E14" s="12">
        <f t="shared" si="3"/>
        <v>0.11495529418843252</v>
      </c>
      <c r="F14" s="12">
        <f t="shared" si="3"/>
        <v>0.22151243717074448</v>
      </c>
    </row>
    <row r="15" spans="1:6">
      <c r="A15" s="11" t="s">
        <v>3</v>
      </c>
      <c r="B15" s="12">
        <f>(TPO!C7+TPO!K7)/(TPO!$C$9+TPO!$K$9)</f>
        <v>0.41893062752094923</v>
      </c>
      <c r="C15" s="12">
        <f t="shared" ref="C15:F15" si="4">C7/SUM(C$3:C$8)</f>
        <v>0.12957473816469045</v>
      </c>
      <c r="D15" s="12">
        <f t="shared" si="4"/>
        <v>0.11830737594629992</v>
      </c>
      <c r="E15" s="12">
        <f t="shared" si="4"/>
        <v>0.15690843613016767</v>
      </c>
      <c r="F15" s="12">
        <f t="shared" si="4"/>
        <v>0.12020914442162435</v>
      </c>
    </row>
    <row r="16" spans="1:6">
      <c r="A16" s="11" t="s">
        <v>104</v>
      </c>
      <c r="B16" s="12">
        <f>(TPO!C8+TPO!K8)/(TPO!$C$9+TPO!$K$9)</f>
        <v>0.16209363425799897</v>
      </c>
      <c r="C16" s="12">
        <f t="shared" ref="C16:F16" si="5">C8/SUM(C$3:C$8)</f>
        <v>0.16803874344434369</v>
      </c>
      <c r="D16" s="12">
        <f t="shared" si="5"/>
        <v>0.16630744124692395</v>
      </c>
      <c r="E16" s="12">
        <f t="shared" si="5"/>
        <v>0.17490232159353999</v>
      </c>
      <c r="F16" s="12">
        <f t="shared" si="5"/>
        <v>0.20296247860154362</v>
      </c>
    </row>
    <row r="17" spans="1:6">
      <c r="A17" s="11"/>
      <c r="B17" s="11"/>
      <c r="C17" s="11"/>
      <c r="D17" s="11"/>
      <c r="E17" s="11"/>
      <c r="F17" s="11"/>
    </row>
    <row r="18" spans="1:6">
      <c r="A18" s="11" t="s">
        <v>107</v>
      </c>
      <c r="B18" s="42" t="s">
        <v>59</v>
      </c>
      <c r="C18" s="42" t="s">
        <v>159</v>
      </c>
      <c r="D18" s="42" t="s">
        <v>160</v>
      </c>
      <c r="E18" s="42" t="s">
        <v>161</v>
      </c>
      <c r="F18" s="43" t="s">
        <v>162</v>
      </c>
    </row>
    <row r="19" spans="1:6">
      <c r="A19" s="11" t="s">
        <v>102</v>
      </c>
      <c r="B19" s="26">
        <f>B11*$B$2</f>
        <v>3134979.3328749673</v>
      </c>
      <c r="C19" s="27">
        <f>C$2*C11</f>
        <v>1229661.4330577999</v>
      </c>
      <c r="D19" s="27">
        <f>D$2*D11</f>
        <v>1003287100.5032458</v>
      </c>
      <c r="E19" s="27">
        <f>E$2*E11</f>
        <v>306724.55002751417</v>
      </c>
      <c r="F19" s="27">
        <f t="shared" ref="F19" si="6">F$2*F11</f>
        <v>174245089.72636524</v>
      </c>
    </row>
    <row r="20" spans="1:6">
      <c r="A20" s="11" t="s">
        <v>1</v>
      </c>
      <c r="B20" s="26">
        <f t="shared" ref="B20:B24" si="7">B12*$B$2</f>
        <v>337499.13894562295</v>
      </c>
      <c r="C20" s="27">
        <f>C$2*C12</f>
        <v>93634.496877104146</v>
      </c>
      <c r="D20" s="27">
        <f t="shared" ref="D20:F20" si="8">D$2*D12</f>
        <v>57580089.556475781</v>
      </c>
      <c r="E20" s="27">
        <f t="shared" si="8"/>
        <v>33644.312716305802</v>
      </c>
      <c r="F20" s="27">
        <f t="shared" si="8"/>
        <v>20047390.153486822</v>
      </c>
    </row>
    <row r="21" spans="1:6">
      <c r="A21" s="11" t="s">
        <v>2</v>
      </c>
      <c r="B21" s="26">
        <f t="shared" si="7"/>
        <v>236711.47823097612</v>
      </c>
      <c r="C21" s="27">
        <f>C$2*C13</f>
        <v>414704.79959822417</v>
      </c>
      <c r="D21" s="27">
        <f t="shared" ref="D21:F21" si="9">D$2*D13</f>
        <v>295696901.99628776</v>
      </c>
      <c r="E21" s="27">
        <f t="shared" si="9"/>
        <v>100281.97690816037</v>
      </c>
      <c r="F21" s="27">
        <f t="shared" si="9"/>
        <v>98056323.434900835</v>
      </c>
    </row>
    <row r="22" spans="1:6">
      <c r="A22" s="11" t="s">
        <v>103</v>
      </c>
      <c r="B22" s="26">
        <f t="shared" si="7"/>
        <v>331678.11894602736</v>
      </c>
      <c r="C22" s="27">
        <f>C$2*C14</f>
        <v>1472959.239291172</v>
      </c>
      <c r="D22" s="27">
        <f t="shared" ref="D22:F22" si="10">D$2*D14</f>
        <v>801966189.25651062</v>
      </c>
      <c r="E22" s="27">
        <f t="shared" si="10"/>
        <v>91561.891821086509</v>
      </c>
      <c r="F22" s="27">
        <f t="shared" si="10"/>
        <v>142228484.14615443</v>
      </c>
    </row>
    <row r="23" spans="1:6">
      <c r="A23" s="11" t="s">
        <v>3</v>
      </c>
      <c r="B23" s="26">
        <f t="shared" si="7"/>
        <v>4040432.9927605102</v>
      </c>
      <c r="C23" s="27">
        <f t="shared" ref="C23:F24" si="11">C$2*C15</f>
        <v>592350.91551988234</v>
      </c>
      <c r="D23" s="27">
        <f t="shared" si="11"/>
        <v>356968608.82801884</v>
      </c>
      <c r="E23" s="27">
        <f t="shared" si="11"/>
        <v>124977.56937767855</v>
      </c>
      <c r="F23" s="27">
        <f t="shared" si="11"/>
        <v>77183767.241092145</v>
      </c>
    </row>
    <row r="24" spans="1:6">
      <c r="A24" s="11" t="s">
        <v>104</v>
      </c>
      <c r="B24" s="26">
        <f t="shared" si="7"/>
        <v>1563333.938241896</v>
      </c>
      <c r="C24" s="27">
        <f t="shared" si="11"/>
        <v>768189.11565581721</v>
      </c>
      <c r="D24" s="27">
        <f t="shared" si="11"/>
        <v>501799109.85946113</v>
      </c>
      <c r="E24" s="27">
        <f t="shared" si="11"/>
        <v>139309.69914925459</v>
      </c>
      <c r="F24" s="27">
        <f t="shared" si="11"/>
        <v>130317945.29800053</v>
      </c>
    </row>
    <row r="25" spans="1:6">
      <c r="A25" s="13"/>
      <c r="B25" s="13"/>
      <c r="C25" s="14"/>
      <c r="D25" s="13"/>
      <c r="E25" s="13"/>
      <c r="F25" s="13"/>
    </row>
    <row r="26" spans="1:6">
      <c r="A26" s="13"/>
      <c r="B26" s="13"/>
      <c r="C26" s="14"/>
      <c r="D26" s="13"/>
      <c r="E26" s="13"/>
      <c r="F26" s="1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15"/>
  <dimension ref="A1:F26"/>
  <sheetViews>
    <sheetView workbookViewId="0">
      <selection activeCell="B10" sqref="B10:F10"/>
    </sheetView>
  </sheetViews>
  <sheetFormatPr defaultColWidth="8.875" defaultRowHeight="15.75"/>
  <cols>
    <col min="1" max="1" width="18" bestFit="1" customWidth="1"/>
    <col min="2" max="2" width="13.5" bestFit="1" customWidth="1"/>
    <col min="3" max="3" width="17.5" bestFit="1" customWidth="1"/>
    <col min="4" max="4" width="19.625" bestFit="1" customWidth="1"/>
    <col min="5" max="5" width="17.125" bestFit="1" customWidth="1"/>
    <col min="6" max="6" width="19.5" bestFit="1" customWidth="1"/>
  </cols>
  <sheetData>
    <row r="1" spans="1:6">
      <c r="A1" s="11"/>
      <c r="B1" s="15" t="s">
        <v>128</v>
      </c>
      <c r="C1" s="15" t="s">
        <v>126</v>
      </c>
      <c r="D1" s="15" t="s">
        <v>141</v>
      </c>
      <c r="E1" s="15" t="s">
        <v>127</v>
      </c>
      <c r="F1" s="15" t="s">
        <v>142</v>
      </c>
    </row>
    <row r="2" spans="1:6">
      <c r="A2" s="11" t="s">
        <v>122</v>
      </c>
      <c r="B2" s="26">
        <v>16056555</v>
      </c>
      <c r="C2" s="26">
        <v>5069680</v>
      </c>
      <c r="D2" s="26">
        <f>1000*1236737</f>
        <v>1236737000</v>
      </c>
      <c r="E2" s="26">
        <v>380380</v>
      </c>
      <c r="F2" s="26">
        <f>1000*174414</f>
        <v>174414000</v>
      </c>
    </row>
    <row r="3" spans="1:6">
      <c r="A3" s="11" t="s">
        <v>102</v>
      </c>
      <c r="B3" s="26"/>
      <c r="C3" s="26">
        <v>1888346</v>
      </c>
      <c r="D3" s="26">
        <v>391272595</v>
      </c>
      <c r="E3" s="26">
        <v>189117</v>
      </c>
      <c r="F3" s="26">
        <v>65962162</v>
      </c>
    </row>
    <row r="4" spans="1:6">
      <c r="A4" s="11" t="s">
        <v>1</v>
      </c>
      <c r="B4" s="26"/>
      <c r="C4" s="26">
        <v>964412</v>
      </c>
      <c r="D4" s="31">
        <v>204048029</v>
      </c>
      <c r="E4" s="26">
        <v>63890</v>
      </c>
      <c r="F4" s="26">
        <v>19728899</v>
      </c>
    </row>
    <row r="5" spans="1:6">
      <c r="A5" s="11" t="s">
        <v>2</v>
      </c>
      <c r="B5" s="26"/>
      <c r="C5" s="26">
        <v>1722108</v>
      </c>
      <c r="D5" s="26">
        <v>380774489</v>
      </c>
      <c r="E5" s="26">
        <v>77620</v>
      </c>
      <c r="F5" s="26">
        <v>27903666</v>
      </c>
    </row>
    <row r="6" spans="1:6">
      <c r="A6" s="11" t="s">
        <v>103</v>
      </c>
      <c r="B6" s="26"/>
      <c r="C6" s="26">
        <v>877710</v>
      </c>
      <c r="D6" s="26">
        <v>201844621</v>
      </c>
      <c r="E6" s="26">
        <v>36588</v>
      </c>
      <c r="F6" s="26">
        <v>12477469</v>
      </c>
    </row>
    <row r="7" spans="1:6">
      <c r="A7" s="11" t="s">
        <v>3</v>
      </c>
      <c r="B7" s="26"/>
      <c r="C7" s="26">
        <v>38015</v>
      </c>
      <c r="D7" s="26">
        <v>7806775</v>
      </c>
      <c r="E7" s="26">
        <v>79919</v>
      </c>
      <c r="F7" s="26">
        <v>23606502</v>
      </c>
    </row>
    <row r="8" spans="1:6">
      <c r="A8" s="11" t="s">
        <v>104</v>
      </c>
      <c r="B8" s="26"/>
      <c r="C8" s="26">
        <v>29774</v>
      </c>
      <c r="D8" s="26">
        <v>7209277</v>
      </c>
      <c r="E8" s="26">
        <v>79840</v>
      </c>
      <c r="F8" s="26">
        <v>18268038</v>
      </c>
    </row>
    <row r="9" spans="1:6">
      <c r="A9" s="11"/>
      <c r="B9" s="11"/>
      <c r="C9" s="11"/>
      <c r="D9" s="11"/>
      <c r="E9" s="11"/>
      <c r="F9" s="11"/>
    </row>
    <row r="10" spans="1:6">
      <c r="A10" s="11" t="s">
        <v>106</v>
      </c>
      <c r="B10" s="42" t="s">
        <v>59</v>
      </c>
      <c r="C10" s="42" t="s">
        <v>159</v>
      </c>
      <c r="D10" s="42" t="s">
        <v>160</v>
      </c>
      <c r="E10" s="42" t="s">
        <v>161</v>
      </c>
      <c r="F10" s="43" t="s">
        <v>162</v>
      </c>
    </row>
    <row r="11" spans="1:6">
      <c r="A11" s="11" t="s">
        <v>102</v>
      </c>
      <c r="B11" s="12">
        <f>(TPO!D3+TPO!L3)/(TPO!$D$9+TPO!$L$9)</f>
        <v>5.3945383438247528E-2</v>
      </c>
      <c r="C11" s="12">
        <f>C3/SUM(C$3:C$8)</f>
        <v>0.34206904797055993</v>
      </c>
      <c r="D11" s="12">
        <f>D3/SUM(D$3:D$8)</f>
        <v>0.32798583115300806</v>
      </c>
      <c r="E11" s="12">
        <f t="shared" ref="E11:F11" si="0">E3/SUM(E$3:E$8)</f>
        <v>0.35887349280989195</v>
      </c>
      <c r="F11" s="12">
        <f t="shared" si="0"/>
        <v>0.39275643916056813</v>
      </c>
    </row>
    <row r="12" spans="1:6">
      <c r="A12" s="11" t="s">
        <v>1</v>
      </c>
      <c r="B12" s="12">
        <f>(TPO!D4+TPO!L4)/(TPO!$D$9+TPO!$L$9)</f>
        <v>9.4941071670289184E-3</v>
      </c>
      <c r="C12" s="12">
        <f t="shared" ref="C12:F12" si="1">C4/SUM(C$3:C$8)</f>
        <v>0.17470076706884419</v>
      </c>
      <c r="D12" s="12">
        <f t="shared" si="1"/>
        <v>0.17104408343931701</v>
      </c>
      <c r="E12" s="12">
        <f t="shared" si="1"/>
        <v>0.12123937803383089</v>
      </c>
      <c r="F12" s="12">
        <f t="shared" si="1"/>
        <v>0.11747116657271625</v>
      </c>
    </row>
    <row r="13" spans="1:6">
      <c r="A13" s="11" t="s">
        <v>2</v>
      </c>
      <c r="B13" s="12">
        <f>(TPO!D5+TPO!L5)/(TPO!$D$9+TPO!$L$9)</f>
        <v>9.7566759612418508E-2</v>
      </c>
      <c r="C13" s="12">
        <f t="shared" ref="C13:F13" si="2">C5/SUM(C$3:C$8)</f>
        <v>0.31195545946690117</v>
      </c>
      <c r="D13" s="12">
        <f t="shared" si="2"/>
        <v>0.31918575144913208</v>
      </c>
      <c r="E13" s="12">
        <f t="shared" si="2"/>
        <v>0.14729379438074744</v>
      </c>
      <c r="F13" s="12">
        <f t="shared" si="2"/>
        <v>0.16614592617030677</v>
      </c>
    </row>
    <row r="14" spans="1:6">
      <c r="A14" s="11" t="s">
        <v>103</v>
      </c>
      <c r="B14" s="12">
        <f>(TPO!D6+TPO!L6)/(TPO!$D$9+TPO!$L$9)</f>
        <v>8.7191444124196771E-2</v>
      </c>
      <c r="C14" s="12">
        <f t="shared" ref="C14:F14" si="3">C6/SUM(C$3:C$8)</f>
        <v>0.1589949215314567</v>
      </c>
      <c r="D14" s="12">
        <f t="shared" si="3"/>
        <v>0.1691970677947657</v>
      </c>
      <c r="E14" s="12">
        <f t="shared" si="3"/>
        <v>6.9430370378804271E-2</v>
      </c>
      <c r="F14" s="12">
        <f t="shared" si="3"/>
        <v>7.4294203609887366E-2</v>
      </c>
    </row>
    <row r="15" spans="1:6">
      <c r="A15" s="11" t="s">
        <v>3</v>
      </c>
      <c r="B15" s="12">
        <f>(TPO!D7+TPO!L7)/(TPO!$D$9+TPO!$L$9)</f>
        <v>0.39491064130483072</v>
      </c>
      <c r="C15" s="12">
        <f t="shared" ref="C15:F15" si="4">C7/SUM(C$3:C$8)</f>
        <v>6.8863200168829417E-3</v>
      </c>
      <c r="D15" s="12">
        <f t="shared" si="4"/>
        <v>6.5440606362925169E-3</v>
      </c>
      <c r="E15" s="12">
        <f t="shared" si="4"/>
        <v>0.15165643845806434</v>
      </c>
      <c r="F15" s="12">
        <f t="shared" si="4"/>
        <v>0.14055945689828708</v>
      </c>
    </row>
    <row r="16" spans="1:6">
      <c r="A16" s="11" t="s">
        <v>104</v>
      </c>
      <c r="B16" s="12">
        <f>(TPO!D8+TPO!L8)/(TPO!$D$9+TPO!$L$9)</f>
        <v>0.35689166435327757</v>
      </c>
      <c r="C16" s="12">
        <f t="shared" ref="C16:F16" si="5">C8/SUM(C$3:C$8)</f>
        <v>5.3934839453550626E-3</v>
      </c>
      <c r="D16" s="12">
        <f t="shared" si="5"/>
        <v>6.0432055274846543E-3</v>
      </c>
      <c r="E16" s="12">
        <f t="shared" si="5"/>
        <v>0.15150652593866112</v>
      </c>
      <c r="F16" s="12">
        <f t="shared" si="5"/>
        <v>0.1087728075882344</v>
      </c>
    </row>
    <row r="17" spans="1:6">
      <c r="A17" s="11"/>
      <c r="B17" s="11"/>
      <c r="C17" s="11"/>
      <c r="D17" s="11"/>
      <c r="E17" s="11"/>
      <c r="F17" s="11"/>
    </row>
    <row r="18" spans="1:6">
      <c r="A18" s="11" t="s">
        <v>107</v>
      </c>
      <c r="B18" s="42" t="s">
        <v>59</v>
      </c>
      <c r="C18" s="42" t="s">
        <v>159</v>
      </c>
      <c r="D18" s="42" t="s">
        <v>160</v>
      </c>
      <c r="E18" s="42" t="s">
        <v>161</v>
      </c>
      <c r="F18" s="43" t="s">
        <v>162</v>
      </c>
    </row>
    <row r="19" spans="1:6">
      <c r="A19" s="11" t="s">
        <v>102</v>
      </c>
      <c r="B19" s="26">
        <f>B11*$B$2</f>
        <v>866177.01617231057</v>
      </c>
      <c r="C19" s="27">
        <f>C11*C$2</f>
        <v>1734180.6111153883</v>
      </c>
      <c r="D19" s="27">
        <f t="shared" ref="D19:F19" si="6">D11*D$2</f>
        <v>405632212.86267775</v>
      </c>
      <c r="E19" s="27">
        <f t="shared" si="6"/>
        <v>136508.29919502669</v>
      </c>
      <c r="F19" s="27">
        <f t="shared" si="6"/>
        <v>68502221.579751328</v>
      </c>
    </row>
    <row r="20" spans="1:6">
      <c r="A20" s="11" t="s">
        <v>1</v>
      </c>
      <c r="B20" s="26">
        <f t="shared" ref="B20:B24" si="7">B12*$B$2</f>
        <v>152442.65390329401</v>
      </c>
      <c r="C20" s="27">
        <f t="shared" ref="C20:F20" si="8">C12*C$2</f>
        <v>885676.98479357804</v>
      </c>
      <c r="D20" s="27">
        <f t="shared" si="8"/>
        <v>211536546.62049061</v>
      </c>
      <c r="E20" s="27">
        <f t="shared" si="8"/>
        <v>46117.034616508594</v>
      </c>
      <c r="F20" s="27">
        <f t="shared" si="8"/>
        <v>20488616.04661373</v>
      </c>
    </row>
    <row r="21" spans="1:6">
      <c r="A21" s="11" t="s">
        <v>2</v>
      </c>
      <c r="B21" s="26">
        <f t="shared" si="7"/>
        <v>1566586.0418885765</v>
      </c>
      <c r="C21" s="27">
        <f t="shared" ref="C21:F21" si="9">C13*C$2</f>
        <v>1581514.3537501595</v>
      </c>
      <c r="D21" s="27">
        <f t="shared" si="9"/>
        <v>394748828.68994528</v>
      </c>
      <c r="E21" s="27">
        <f t="shared" si="9"/>
        <v>56027.613506548711</v>
      </c>
      <c r="F21" s="27">
        <f t="shared" si="9"/>
        <v>28978175.567067884</v>
      </c>
    </row>
    <row r="22" spans="1:6">
      <c r="A22" s="11" t="s">
        <v>103</v>
      </c>
      <c r="B22" s="26">
        <f t="shared" si="7"/>
        <v>1399994.2181095923</v>
      </c>
      <c r="C22" s="27">
        <f t="shared" ref="C22:F22" si="10">C14*C$2</f>
        <v>806053.37378959532</v>
      </c>
      <c r="D22" s="27">
        <f t="shared" si="10"/>
        <v>209252274.03329515</v>
      </c>
      <c r="E22" s="27">
        <f t="shared" si="10"/>
        <v>26409.924284689569</v>
      </c>
      <c r="F22" s="27">
        <f t="shared" si="10"/>
        <v>12957949.228414895</v>
      </c>
    </row>
    <row r="23" spans="1:6">
      <c r="A23" s="11" t="s">
        <v>3</v>
      </c>
      <c r="B23" s="26">
        <f t="shared" si="7"/>
        <v>6340904.4321962865</v>
      </c>
      <c r="C23" s="27">
        <f t="shared" ref="C23:F23" si="11">C15*C$2</f>
        <v>34911.438863191113</v>
      </c>
      <c r="D23" s="27">
        <f t="shared" si="11"/>
        <v>8093281.9191464987</v>
      </c>
      <c r="E23" s="27">
        <f t="shared" si="11"/>
        <v>57687.076060678512</v>
      </c>
      <c r="F23" s="27">
        <f t="shared" si="11"/>
        <v>24515537.115457844</v>
      </c>
    </row>
    <row r="24" spans="1:6">
      <c r="A24" s="11" t="s">
        <v>104</v>
      </c>
      <c r="B24" s="26">
        <f t="shared" si="7"/>
        <v>5730450.6377299409</v>
      </c>
      <c r="C24" s="27">
        <f t="shared" ref="C24:F24" si="12">C16*C$2</f>
        <v>27343.237688087655</v>
      </c>
      <c r="D24" s="27">
        <f t="shared" si="12"/>
        <v>7473855.8744447893</v>
      </c>
      <c r="E24" s="27">
        <f t="shared" si="12"/>
        <v>57630.052336547917</v>
      </c>
      <c r="F24" s="27">
        <f t="shared" si="12"/>
        <v>18971500.462694317</v>
      </c>
    </row>
    <row r="25" spans="1:6">
      <c r="A25" s="13"/>
      <c r="B25" s="13"/>
      <c r="C25" s="14"/>
      <c r="D25" s="13"/>
      <c r="E25" s="13"/>
      <c r="F25" s="13"/>
    </row>
    <row r="26" spans="1:6">
      <c r="A26" s="13"/>
      <c r="B26" s="13"/>
      <c r="C26" s="14"/>
      <c r="D26" s="13"/>
      <c r="E26" s="13"/>
      <c r="F26" s="13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6"/>
  <dimension ref="A1:F26"/>
  <sheetViews>
    <sheetView workbookViewId="0">
      <selection activeCell="B10" sqref="B10:F10"/>
    </sheetView>
  </sheetViews>
  <sheetFormatPr defaultColWidth="8.875" defaultRowHeight="15.75"/>
  <cols>
    <col min="1" max="1" width="18" bestFit="1" customWidth="1"/>
    <col min="2" max="2" width="13.5" style="19" bestFit="1" customWidth="1"/>
    <col min="3" max="3" width="17.5" style="19" bestFit="1" customWidth="1"/>
    <col min="4" max="4" width="19.625" style="19" bestFit="1" customWidth="1"/>
    <col min="5" max="5" width="17.125" style="19" bestFit="1" customWidth="1"/>
    <col min="6" max="6" width="19.5" style="19" bestFit="1" customWidth="1"/>
  </cols>
  <sheetData>
    <row r="1" spans="1:6">
      <c r="A1" s="11"/>
      <c r="B1" s="15" t="s">
        <v>128</v>
      </c>
      <c r="C1" s="15" t="s">
        <v>126</v>
      </c>
      <c r="D1" s="15" t="s">
        <v>141</v>
      </c>
      <c r="E1" s="15" t="s">
        <v>127</v>
      </c>
      <c r="F1" s="15" t="s">
        <v>142</v>
      </c>
    </row>
    <row r="2" spans="1:6">
      <c r="A2" s="11" t="s">
        <v>122</v>
      </c>
      <c r="B2" s="28">
        <v>8230350</v>
      </c>
      <c r="C2" s="28">
        <v>1906540</v>
      </c>
      <c r="D2" s="28">
        <f>1000*1137562</f>
        <v>1137562000</v>
      </c>
      <c r="E2" s="28">
        <v>641710</v>
      </c>
      <c r="F2" s="28">
        <f>1000*219003</f>
        <v>219003000</v>
      </c>
    </row>
    <row r="3" spans="1:6">
      <c r="A3" s="11" t="s">
        <v>102</v>
      </c>
      <c r="B3" s="28"/>
      <c r="C3" s="33">
        <v>660884</v>
      </c>
      <c r="D3" s="33">
        <v>335152235</v>
      </c>
      <c r="E3" s="28">
        <v>133964</v>
      </c>
      <c r="F3" s="28">
        <v>39228866</v>
      </c>
    </row>
    <row r="4" spans="1:6">
      <c r="A4" s="11" t="s">
        <v>1</v>
      </c>
      <c r="B4" s="28"/>
      <c r="C4" s="33">
        <v>39018</v>
      </c>
      <c r="D4" s="33">
        <v>19993871</v>
      </c>
      <c r="E4" s="28">
        <v>137412</v>
      </c>
      <c r="F4" s="28">
        <v>35720012</v>
      </c>
    </row>
    <row r="5" spans="1:6">
      <c r="A5" s="11" t="s">
        <v>2</v>
      </c>
      <c r="B5" s="28"/>
      <c r="C5" s="33">
        <v>469825</v>
      </c>
      <c r="D5" s="33">
        <v>158199885</v>
      </c>
      <c r="E5" s="28">
        <v>120005</v>
      </c>
      <c r="F5" s="28">
        <v>31791174</v>
      </c>
    </row>
    <row r="6" spans="1:6">
      <c r="A6" s="11" t="s">
        <v>103</v>
      </c>
      <c r="B6" s="28"/>
      <c r="C6" s="33">
        <v>543228</v>
      </c>
      <c r="D6" s="33">
        <v>227114044</v>
      </c>
      <c r="E6" s="28">
        <v>181453</v>
      </c>
      <c r="F6" s="28">
        <v>49610713</v>
      </c>
    </row>
    <row r="7" spans="1:6">
      <c r="A7" s="11" t="s">
        <v>3</v>
      </c>
      <c r="B7" s="28"/>
      <c r="C7" s="33">
        <v>198525</v>
      </c>
      <c r="D7" s="33">
        <v>92786559</v>
      </c>
      <c r="E7" s="28">
        <v>86424</v>
      </c>
      <c r="F7" s="28">
        <v>26275074</v>
      </c>
    </row>
    <row r="8" spans="1:6">
      <c r="A8" s="11" t="s">
        <v>104</v>
      </c>
      <c r="B8" s="28"/>
      <c r="C8" s="33">
        <v>342626</v>
      </c>
      <c r="D8" s="33">
        <v>207418474</v>
      </c>
      <c r="E8" s="28">
        <v>153039</v>
      </c>
      <c r="F8" s="28">
        <v>7943369</v>
      </c>
    </row>
    <row r="9" spans="1:6">
      <c r="A9" s="11"/>
      <c r="B9" s="16"/>
      <c r="C9" s="16"/>
      <c r="D9" s="16"/>
      <c r="E9" s="16"/>
      <c r="F9" s="16"/>
    </row>
    <row r="10" spans="1:6">
      <c r="A10" s="11" t="s">
        <v>106</v>
      </c>
      <c r="B10" s="42" t="s">
        <v>59</v>
      </c>
      <c r="C10" s="42" t="s">
        <v>159</v>
      </c>
      <c r="D10" s="42" t="s">
        <v>160</v>
      </c>
      <c r="E10" s="42" t="s">
        <v>161</v>
      </c>
      <c r="F10" s="43" t="s">
        <v>162</v>
      </c>
    </row>
    <row r="11" spans="1:6">
      <c r="A11" s="11" t="s">
        <v>102</v>
      </c>
      <c r="B11" s="38">
        <f>(TPO!D3+TPO!L3)/(TPO!$D$9+TPO!$L$9)</f>
        <v>5.3945383438247528E-2</v>
      </c>
      <c r="C11" s="38">
        <f>C3/SUM(C$3:C$8)</f>
        <v>0.29319118089388874</v>
      </c>
      <c r="D11" s="38">
        <f t="shared" ref="D11:E11" si="0">D3/SUM(D$3:D$8)</f>
        <v>0.32205581344640655</v>
      </c>
      <c r="E11" s="38">
        <f t="shared" si="0"/>
        <v>0.16491997385192855</v>
      </c>
      <c r="F11" s="38">
        <f>F3/SUM(F$3:F$8)</f>
        <v>0.20585102080080009</v>
      </c>
    </row>
    <row r="12" spans="1:6">
      <c r="A12" s="11" t="s">
        <v>1</v>
      </c>
      <c r="B12" s="38">
        <f>(TPO!D4+TPO!L4)/(TPO!$D$9+TPO!$L$9)</f>
        <v>9.4941071670289184E-3</v>
      </c>
      <c r="C12" s="38">
        <f t="shared" ref="C12:F16" si="1">C4/SUM(C$3:C$8)</f>
        <v>1.7309744972064313E-2</v>
      </c>
      <c r="D12" s="38">
        <f t="shared" si="1"/>
        <v>1.9212589732088517E-2</v>
      </c>
      <c r="E12" s="38">
        <f t="shared" si="1"/>
        <v>0.16916472669479266</v>
      </c>
      <c r="F12" s="38">
        <f t="shared" si="1"/>
        <v>0.18743852889392287</v>
      </c>
    </row>
    <row r="13" spans="1:6">
      <c r="A13" s="11" t="s">
        <v>2</v>
      </c>
      <c r="B13" s="38">
        <f>(TPO!D5+TPO!L5)/(TPO!$D$9+TPO!$L$9)</f>
        <v>9.7566759612418508E-2</v>
      </c>
      <c r="C13" s="38">
        <f t="shared" si="1"/>
        <v>0.20843074815470081</v>
      </c>
      <c r="D13" s="38">
        <f t="shared" si="1"/>
        <v>0.15201806024299069</v>
      </c>
      <c r="E13" s="38">
        <f t="shared" si="1"/>
        <v>0.14773537265310593</v>
      </c>
      <c r="F13" s="38">
        <f t="shared" si="1"/>
        <v>0.16682219721456784</v>
      </c>
    </row>
    <row r="14" spans="1:6">
      <c r="A14" s="11" t="s">
        <v>103</v>
      </c>
      <c r="B14" s="38">
        <f>(TPO!D6+TPO!L6)/(TPO!$D$9+TPO!$L$9)</f>
        <v>8.7191444124196771E-2</v>
      </c>
      <c r="C14" s="38">
        <f t="shared" si="1"/>
        <v>0.24099487779190509</v>
      </c>
      <c r="D14" s="38">
        <f t="shared" si="1"/>
        <v>0.21823932693011275</v>
      </c>
      <c r="E14" s="38">
        <f t="shared" si="1"/>
        <v>0.22338258050934573</v>
      </c>
      <c r="F14" s="38">
        <f t="shared" si="1"/>
        <v>0.26032911361000144</v>
      </c>
    </row>
    <row r="15" spans="1:6">
      <c r="A15" s="11" t="s">
        <v>3</v>
      </c>
      <c r="B15" s="38">
        <f>(TPO!D7+TPO!L7)/(TPO!$D$9+TPO!$L$9)</f>
        <v>0.39491064130483072</v>
      </c>
      <c r="C15" s="38">
        <f t="shared" si="1"/>
        <v>8.8072610604825144E-2</v>
      </c>
      <c r="D15" s="38">
        <f t="shared" si="1"/>
        <v>8.9160827871662546E-2</v>
      </c>
      <c r="E15" s="38">
        <f t="shared" si="1"/>
        <v>0.10639458227717202</v>
      </c>
      <c r="F15" s="38">
        <f t="shared" si="1"/>
        <v>0.13787680746408937</v>
      </c>
    </row>
    <row r="16" spans="1:6">
      <c r="A16" s="11" t="s">
        <v>104</v>
      </c>
      <c r="B16" s="38">
        <f>(TPO!D8+TPO!L8)/(TPO!$D$9+TPO!$L$9)</f>
        <v>0.35689166435327757</v>
      </c>
      <c r="C16" s="38">
        <f t="shared" si="1"/>
        <v>0.1520008375826159</v>
      </c>
      <c r="D16" s="38">
        <f t="shared" si="1"/>
        <v>0.19931338177673896</v>
      </c>
      <c r="E16" s="38">
        <f t="shared" si="1"/>
        <v>0.18840276401365511</v>
      </c>
      <c r="F16" s="38">
        <f t="shared" si="1"/>
        <v>4.1682332016618341E-2</v>
      </c>
    </row>
    <row r="17" spans="1:6">
      <c r="A17" s="11"/>
      <c r="B17" s="16"/>
      <c r="C17" s="16"/>
      <c r="D17" s="16"/>
      <c r="E17" s="16"/>
      <c r="F17" s="16"/>
    </row>
    <row r="18" spans="1:6">
      <c r="A18" s="11" t="s">
        <v>107</v>
      </c>
      <c r="B18" s="42" t="s">
        <v>59</v>
      </c>
      <c r="C18" s="42" t="s">
        <v>159</v>
      </c>
      <c r="D18" s="42" t="s">
        <v>160</v>
      </c>
      <c r="E18" s="42" t="s">
        <v>161</v>
      </c>
      <c r="F18" s="43" t="s">
        <v>162</v>
      </c>
    </row>
    <row r="19" spans="1:6">
      <c r="A19" s="11" t="s">
        <v>102</v>
      </c>
      <c r="B19" s="28">
        <f>B11*$B$2</f>
        <v>443989.38658098056</v>
      </c>
      <c r="C19" s="39">
        <f>C11*C$2</f>
        <v>558980.71402143466</v>
      </c>
      <c r="D19" s="39">
        <f t="shared" ref="D19:F19" si="2">D11*D$2</f>
        <v>366358455.25572115</v>
      </c>
      <c r="E19" s="39">
        <f t="shared" si="2"/>
        <v>105830.79642052107</v>
      </c>
      <c r="F19" s="39">
        <f t="shared" si="2"/>
        <v>45081991.10843762</v>
      </c>
    </row>
    <row r="20" spans="1:6">
      <c r="A20" s="11" t="s">
        <v>1</v>
      </c>
      <c r="B20" s="28">
        <f t="shared" ref="B20:B24" si="3">B12*$B$2</f>
        <v>78139.824922156462</v>
      </c>
      <c r="C20" s="39">
        <f t="shared" ref="C20:F20" si="4">C12*C$2</f>
        <v>33001.721179039494</v>
      </c>
      <c r="D20" s="39">
        <f t="shared" si="4"/>
        <v>21855512.000814077</v>
      </c>
      <c r="E20" s="39">
        <f t="shared" si="4"/>
        <v>108554.6967673154</v>
      </c>
      <c r="F20" s="39">
        <f t="shared" si="4"/>
        <v>41049600.143355794</v>
      </c>
    </row>
    <row r="21" spans="1:6">
      <c r="A21" s="11" t="s">
        <v>2</v>
      </c>
      <c r="B21" s="28">
        <f t="shared" si="3"/>
        <v>803008.57997606869</v>
      </c>
      <c r="C21" s="39">
        <f t="shared" ref="C21:F21" si="5">C13*C$2</f>
        <v>397381.55858686328</v>
      </c>
      <c r="D21" s="39">
        <f t="shared" si="5"/>
        <v>172929968.64613697</v>
      </c>
      <c r="E21" s="39">
        <f t="shared" si="5"/>
        <v>94803.265985224614</v>
      </c>
      <c r="F21" s="39">
        <f t="shared" si="5"/>
        <v>36534561.656581998</v>
      </c>
    </row>
    <row r="22" spans="1:6">
      <c r="A22" s="11" t="s">
        <v>103</v>
      </c>
      <c r="B22" s="28">
        <f t="shared" si="3"/>
        <v>717616.10214758292</v>
      </c>
      <c r="C22" s="39">
        <f t="shared" ref="C22:F22" si="6">C14*C$2</f>
        <v>459466.37430537876</v>
      </c>
      <c r="D22" s="39">
        <f t="shared" si="6"/>
        <v>248260765.22127292</v>
      </c>
      <c r="E22" s="39">
        <f t="shared" si="6"/>
        <v>143346.83573865224</v>
      </c>
      <c r="F22" s="39">
        <f t="shared" si="6"/>
        <v>57012856.867931142</v>
      </c>
    </row>
    <row r="23" spans="1:6">
      <c r="A23" s="11" t="s">
        <v>3</v>
      </c>
      <c r="B23" s="28">
        <f t="shared" si="3"/>
        <v>3250252.7966632135</v>
      </c>
      <c r="C23" s="39">
        <f t="shared" ref="C23:F23" si="7">C15*C$2</f>
        <v>167913.95502252333</v>
      </c>
      <c r="D23" s="39">
        <f t="shared" si="7"/>
        <v>101425969.67534418</v>
      </c>
      <c r="E23" s="39">
        <f t="shared" si="7"/>
        <v>68274.467393084065</v>
      </c>
      <c r="F23" s="39">
        <f t="shared" si="7"/>
        <v>30195434.465057965</v>
      </c>
    </row>
    <row r="24" spans="1:6">
      <c r="A24" s="11" t="s">
        <v>104</v>
      </c>
      <c r="B24" s="28">
        <f t="shared" si="3"/>
        <v>2937343.3097099978</v>
      </c>
      <c r="C24" s="39">
        <f t="shared" ref="C24:F24" si="8">C16*C$2</f>
        <v>289795.6768847605</v>
      </c>
      <c r="D24" s="39">
        <f t="shared" si="8"/>
        <v>226731329.20071071</v>
      </c>
      <c r="E24" s="39">
        <f t="shared" si="8"/>
        <v>120899.93769520262</v>
      </c>
      <c r="F24" s="39">
        <f t="shared" si="8"/>
        <v>9128555.7586354669</v>
      </c>
    </row>
    <row r="25" spans="1:6">
      <c r="A25" s="13"/>
      <c r="B25" s="17"/>
      <c r="C25" s="18"/>
      <c r="D25" s="17"/>
      <c r="E25" s="17"/>
      <c r="F25" s="17"/>
    </row>
    <row r="26" spans="1:6">
      <c r="A26" s="13"/>
      <c r="B26" s="17"/>
      <c r="C26" s="18"/>
      <c r="D26" s="17"/>
      <c r="E26" s="17"/>
      <c r="F26" s="17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7"/>
  <dimension ref="A1:F26"/>
  <sheetViews>
    <sheetView workbookViewId="0">
      <selection activeCell="B10" sqref="B10:F10"/>
    </sheetView>
  </sheetViews>
  <sheetFormatPr defaultColWidth="8.875" defaultRowHeight="15.75"/>
  <cols>
    <col min="1" max="1" width="18" bestFit="1" customWidth="1"/>
    <col min="2" max="2" width="16.5" bestFit="1" customWidth="1"/>
    <col min="3" max="3" width="20.5" bestFit="1" customWidth="1"/>
    <col min="4" max="4" width="19.625" bestFit="1" customWidth="1"/>
    <col min="5" max="5" width="20.125" bestFit="1" customWidth="1"/>
    <col min="6" max="6" width="19.5" bestFit="1" customWidth="1"/>
  </cols>
  <sheetData>
    <row r="1" spans="1:6">
      <c r="A1" s="11"/>
      <c r="B1" s="15" t="s">
        <v>129</v>
      </c>
      <c r="C1" s="15" t="s">
        <v>130</v>
      </c>
      <c r="D1" s="15" t="s">
        <v>141</v>
      </c>
      <c r="E1" s="15" t="s">
        <v>131</v>
      </c>
      <c r="F1" s="15" t="s">
        <v>142</v>
      </c>
    </row>
    <row r="2" spans="1:6">
      <c r="A2" s="11" t="s">
        <v>122</v>
      </c>
      <c r="B2" s="26">
        <v>2747156</v>
      </c>
      <c r="C2" s="26">
        <v>31964</v>
      </c>
      <c r="D2" s="26">
        <f>1000*13525</f>
        <v>13525000</v>
      </c>
      <c r="E2" s="26">
        <v>87781</v>
      </c>
      <c r="F2" s="26">
        <f>1000*40665</f>
        <v>40665000</v>
      </c>
    </row>
    <row r="3" spans="1:6">
      <c r="A3" s="11" t="s">
        <v>102</v>
      </c>
      <c r="B3" s="26"/>
      <c r="C3" s="26">
        <v>1222</v>
      </c>
      <c r="D3" s="26">
        <v>365109</v>
      </c>
      <c r="E3" s="26">
        <v>18837</v>
      </c>
      <c r="F3" s="26">
        <v>9439782</v>
      </c>
    </row>
    <row r="4" spans="1:6">
      <c r="A4" s="11" t="s">
        <v>1</v>
      </c>
      <c r="B4" s="26"/>
      <c r="C4" s="26">
        <v>36</v>
      </c>
      <c r="D4" s="26">
        <v>3600</v>
      </c>
      <c r="E4" s="26">
        <v>189</v>
      </c>
      <c r="F4" s="26">
        <v>80420</v>
      </c>
    </row>
    <row r="5" spans="1:6">
      <c r="A5" s="11" t="s">
        <v>2</v>
      </c>
      <c r="B5" s="26"/>
      <c r="C5" s="26">
        <v>20</v>
      </c>
      <c r="D5" s="26">
        <v>3829</v>
      </c>
      <c r="E5" s="26">
        <v>113</v>
      </c>
      <c r="F5" s="26">
        <v>61585</v>
      </c>
    </row>
    <row r="6" spans="1:6">
      <c r="A6" s="11" t="s">
        <v>103</v>
      </c>
      <c r="B6" s="26"/>
      <c r="C6" s="26">
        <v>30646</v>
      </c>
      <c r="D6" s="26">
        <v>12418998</v>
      </c>
      <c r="E6" s="26">
        <v>8681</v>
      </c>
      <c r="F6" s="26">
        <v>4732964</v>
      </c>
    </row>
    <row r="7" spans="1:6">
      <c r="A7" s="11" t="s">
        <v>3</v>
      </c>
      <c r="B7" s="26"/>
      <c r="C7" s="26">
        <v>40</v>
      </c>
      <c r="D7" s="26">
        <v>41802</v>
      </c>
      <c r="E7" s="26">
        <v>19302</v>
      </c>
      <c r="F7" s="26">
        <v>10967861</v>
      </c>
    </row>
    <row r="8" spans="1:6">
      <c r="A8" s="11" t="s">
        <v>104</v>
      </c>
      <c r="B8" s="26"/>
      <c r="C8" s="26">
        <v>0</v>
      </c>
      <c r="D8" s="26">
        <v>0</v>
      </c>
      <c r="E8" s="26">
        <v>39528</v>
      </c>
      <c r="F8" s="26">
        <v>14663677</v>
      </c>
    </row>
    <row r="9" spans="1:6">
      <c r="A9" s="11"/>
      <c r="B9" s="11"/>
      <c r="C9" s="11"/>
      <c r="D9" s="11"/>
      <c r="E9" s="11"/>
      <c r="F9" s="11"/>
    </row>
    <row r="10" spans="1:6">
      <c r="A10" s="11" t="s">
        <v>106</v>
      </c>
      <c r="B10" s="42" t="s">
        <v>59</v>
      </c>
      <c r="C10" s="42" t="s">
        <v>159</v>
      </c>
      <c r="D10" s="42" t="s">
        <v>160</v>
      </c>
      <c r="E10" s="42" t="s">
        <v>161</v>
      </c>
      <c r="F10" s="43" t="s">
        <v>162</v>
      </c>
    </row>
    <row r="11" spans="1:6">
      <c r="A11" s="11" t="s">
        <v>102</v>
      </c>
      <c r="B11" s="12">
        <f>(TPO!D3+TPO!L3)/(TPO!$D$9+TPO!$L$9)</f>
        <v>5.3945383438247528E-2</v>
      </c>
      <c r="C11" s="12">
        <f>C3/SUM(C$3:C$8)</f>
        <v>3.8230509322988361E-2</v>
      </c>
      <c r="D11" s="12">
        <f>D3/SUM(D$3:D$8)</f>
        <v>2.8450041602582275E-2</v>
      </c>
      <c r="E11" s="12">
        <f t="shared" ref="E11:F11" si="0">E3/SUM(E$3:E$8)</f>
        <v>0.21739180611656087</v>
      </c>
      <c r="F11" s="12">
        <f t="shared" si="0"/>
        <v>0.23631186366272972</v>
      </c>
    </row>
    <row r="12" spans="1:6">
      <c r="A12" s="11" t="s">
        <v>1</v>
      </c>
      <c r="B12" s="12">
        <f>(TPO!D4+TPO!L4)/(TPO!$D$9+TPO!$L$9)</f>
        <v>9.4941071670289184E-3</v>
      </c>
      <c r="C12" s="12">
        <f t="shared" ref="C12:F12" si="1">C4/SUM(C$3:C$8)</f>
        <v>1.1262670504317356E-3</v>
      </c>
      <c r="D12" s="12">
        <f t="shared" si="1"/>
        <v>2.8051937851243381E-4</v>
      </c>
      <c r="E12" s="12">
        <f t="shared" si="1"/>
        <v>2.181188690132718E-3</v>
      </c>
      <c r="F12" s="12">
        <f t="shared" si="1"/>
        <v>2.0132032790330036E-3</v>
      </c>
    </row>
    <row r="13" spans="1:6">
      <c r="A13" s="11" t="s">
        <v>2</v>
      </c>
      <c r="B13" s="12">
        <f>(TPO!D5+TPO!L5)/(TPO!$D$9+TPO!$L$9)</f>
        <v>9.7566759612418508E-2</v>
      </c>
      <c r="C13" s="12">
        <f t="shared" ref="C13:F13" si="2">C5/SUM(C$3:C$8)</f>
        <v>6.2570391690651981E-4</v>
      </c>
      <c r="D13" s="12">
        <f t="shared" si="2"/>
        <v>2.9836352786780806E-4</v>
      </c>
      <c r="E13" s="12">
        <f t="shared" si="2"/>
        <v>1.3040969417195615E-3</v>
      </c>
      <c r="F13" s="12">
        <f t="shared" si="2"/>
        <v>1.5416951497046446E-3</v>
      </c>
    </row>
    <row r="14" spans="1:6">
      <c r="A14" s="11" t="s">
        <v>103</v>
      </c>
      <c r="B14" s="12">
        <f>(TPO!D6+TPO!L6)/(TPO!$D$9+TPO!$L$9)</f>
        <v>8.7191444124196771E-2</v>
      </c>
      <c r="C14" s="12">
        <f t="shared" ref="C14:E14" si="3">C6/SUM(C$3:C$8)</f>
        <v>0.95876611187586036</v>
      </c>
      <c r="D14" s="12">
        <f t="shared" si="3"/>
        <v>0.96771377797421065</v>
      </c>
      <c r="E14" s="12">
        <f t="shared" si="3"/>
        <v>0.10018465089440277</v>
      </c>
      <c r="F14" s="12">
        <f>F6/SUM(F$3:F$8)</f>
        <v>0.11848319627387666</v>
      </c>
    </row>
    <row r="15" spans="1:6">
      <c r="A15" s="11" t="s">
        <v>3</v>
      </c>
      <c r="B15" s="12">
        <f>(TPO!D7+TPO!L7)/(TPO!$D$9+TPO!$L$9)</f>
        <v>0.39491064130483072</v>
      </c>
      <c r="C15" s="12">
        <f t="shared" ref="C15:F15" si="4">C7/SUM(C$3:C$8)</f>
        <v>1.2514078338130396E-3</v>
      </c>
      <c r="D15" s="12">
        <f t="shared" si="4"/>
        <v>3.257297516826877E-3</v>
      </c>
      <c r="E15" s="12">
        <f t="shared" si="4"/>
        <v>0.22275822273514137</v>
      </c>
      <c r="F15" s="12">
        <f t="shared" si="4"/>
        <v>0.27456520429219344</v>
      </c>
    </row>
    <row r="16" spans="1:6">
      <c r="A16" s="11" t="s">
        <v>104</v>
      </c>
      <c r="B16" s="12">
        <f>(TPO!D8+TPO!L8)/(TPO!$D$9+TPO!$L$9)</f>
        <v>0.35689166435327757</v>
      </c>
      <c r="C16" s="12">
        <f t="shared" ref="C16:F16" si="5">C8/SUM(C$3:C$8)</f>
        <v>0</v>
      </c>
      <c r="D16" s="12">
        <f t="shared" si="5"/>
        <v>0</v>
      </c>
      <c r="E16" s="12">
        <f t="shared" si="5"/>
        <v>0.45618003462204271</v>
      </c>
      <c r="F16" s="12">
        <f t="shared" si="5"/>
        <v>0.3670848373424625</v>
      </c>
    </row>
    <row r="17" spans="1:6">
      <c r="A17" s="11"/>
      <c r="B17" s="11"/>
      <c r="C17" s="11"/>
      <c r="D17" s="11"/>
      <c r="E17" s="11"/>
      <c r="F17" s="11"/>
    </row>
    <row r="18" spans="1:6">
      <c r="A18" s="11" t="s">
        <v>107</v>
      </c>
      <c r="B18" s="42" t="s">
        <v>59</v>
      </c>
      <c r="C18" s="42" t="s">
        <v>159</v>
      </c>
      <c r="D18" s="42" t="s">
        <v>160</v>
      </c>
      <c r="E18" s="42" t="s">
        <v>161</v>
      </c>
      <c r="F18" s="43" t="s">
        <v>162</v>
      </c>
    </row>
    <row r="19" spans="1:6">
      <c r="A19" s="11" t="s">
        <v>102</v>
      </c>
      <c r="B19" s="26">
        <f>B11*$B$2</f>
        <v>148196.38378468232</v>
      </c>
      <c r="C19" s="27">
        <f>C11*C$2</f>
        <v>1222</v>
      </c>
      <c r="D19" s="27">
        <f t="shared" ref="D19:F19" si="6">D11*D$2</f>
        <v>384786.81267492526</v>
      </c>
      <c r="E19" s="27">
        <f t="shared" si="6"/>
        <v>19082.870132717828</v>
      </c>
      <c r="F19" s="27">
        <f t="shared" si="6"/>
        <v>9609621.9358449038</v>
      </c>
    </row>
    <row r="20" spans="1:6">
      <c r="A20" s="11" t="s">
        <v>1</v>
      </c>
      <c r="B20" s="26">
        <f t="shared" ref="B20:B24" si="7">B12*$B$2</f>
        <v>26081.793468546497</v>
      </c>
      <c r="C20" s="27">
        <f t="shared" ref="C20:F24" si="8">C12*C$2</f>
        <v>36</v>
      </c>
      <c r="D20" s="27">
        <f t="shared" si="8"/>
        <v>3794.0245943806672</v>
      </c>
      <c r="E20" s="27">
        <f t="shared" si="8"/>
        <v>191.46692440854011</v>
      </c>
      <c r="F20" s="27">
        <f t="shared" si="8"/>
        <v>81866.911341877087</v>
      </c>
    </row>
    <row r="21" spans="1:6">
      <c r="A21" s="11" t="s">
        <v>2</v>
      </c>
      <c r="B21" s="26">
        <f t="shared" si="7"/>
        <v>268031.10906981316</v>
      </c>
      <c r="C21" s="27">
        <f t="shared" si="8"/>
        <v>20</v>
      </c>
      <c r="D21" s="27">
        <f t="shared" si="8"/>
        <v>4035.3667144121041</v>
      </c>
      <c r="E21" s="27">
        <f t="shared" si="8"/>
        <v>114.47493364108483</v>
      </c>
      <c r="F21" s="27">
        <f t="shared" si="8"/>
        <v>62693.033262739373</v>
      </c>
    </row>
    <row r="22" spans="1:6">
      <c r="A22" s="11" t="s">
        <v>103</v>
      </c>
      <c r="B22" s="26">
        <f t="shared" si="7"/>
        <v>239528.49887445191</v>
      </c>
      <c r="C22" s="27">
        <f t="shared" si="8"/>
        <v>30646</v>
      </c>
      <c r="D22" s="27">
        <f t="shared" si="8"/>
        <v>13088328.847101199</v>
      </c>
      <c r="E22" s="27">
        <f t="shared" si="8"/>
        <v>8794.3088401615696</v>
      </c>
      <c r="F22" s="27">
        <f t="shared" si="8"/>
        <v>4818119.1764771938</v>
      </c>
    </row>
    <row r="23" spans="1:6">
      <c r="A23" s="11" t="s">
        <v>3</v>
      </c>
      <c r="B23" s="26">
        <f t="shared" si="7"/>
        <v>1084881.1377244135</v>
      </c>
      <c r="C23" s="27">
        <f t="shared" si="8"/>
        <v>40</v>
      </c>
      <c r="D23" s="27">
        <f t="shared" si="8"/>
        <v>44054.948915083514</v>
      </c>
      <c r="E23" s="27">
        <f t="shared" si="8"/>
        <v>19553.939549913444</v>
      </c>
      <c r="F23" s="27">
        <f t="shared" si="8"/>
        <v>11165194.032542046</v>
      </c>
    </row>
    <row r="24" spans="1:6">
      <c r="A24" s="11" t="s">
        <v>104</v>
      </c>
      <c r="B24" s="26">
        <f t="shared" si="7"/>
        <v>980437.07707809261</v>
      </c>
      <c r="C24" s="27">
        <f t="shared" si="8"/>
        <v>0</v>
      </c>
      <c r="D24" s="27">
        <f t="shared" si="8"/>
        <v>0</v>
      </c>
      <c r="E24" s="27">
        <f t="shared" si="8"/>
        <v>40043.939619157529</v>
      </c>
      <c r="F24" s="27">
        <f t="shared" si="8"/>
        <v>14927504.910531238</v>
      </c>
    </row>
    <row r="25" spans="1:6">
      <c r="A25" s="13"/>
      <c r="B25" s="13"/>
      <c r="C25" s="14"/>
      <c r="D25" s="13"/>
      <c r="E25" s="13"/>
      <c r="F25" s="13"/>
    </row>
    <row r="26" spans="1:6">
      <c r="A26" s="13"/>
      <c r="B26" s="13"/>
      <c r="C26" s="14"/>
      <c r="D26" s="13"/>
      <c r="E26" s="13"/>
      <c r="F26" s="13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8"/>
  <dimension ref="A1:F31"/>
  <sheetViews>
    <sheetView workbookViewId="0">
      <selection activeCell="B10" sqref="B10:F10"/>
    </sheetView>
  </sheetViews>
  <sheetFormatPr defaultColWidth="8.875" defaultRowHeight="15.75"/>
  <cols>
    <col min="1" max="1" width="18" bestFit="1" customWidth="1"/>
    <col min="2" max="2" width="16.5" bestFit="1" customWidth="1"/>
    <col min="3" max="3" width="20.5" bestFit="1" customWidth="1"/>
    <col min="4" max="4" width="23.625" bestFit="1" customWidth="1"/>
    <col min="5" max="5" width="20.125" bestFit="1" customWidth="1"/>
    <col min="6" max="6" width="23.5" bestFit="1" customWidth="1"/>
  </cols>
  <sheetData>
    <row r="1" spans="1:6">
      <c r="A1" s="11"/>
      <c r="B1" s="15" t="s">
        <v>129</v>
      </c>
      <c r="C1" s="15" t="s">
        <v>130</v>
      </c>
      <c r="D1" s="15" t="s">
        <v>141</v>
      </c>
      <c r="E1" s="15" t="s">
        <v>131</v>
      </c>
      <c r="F1" s="15" t="s">
        <v>142</v>
      </c>
    </row>
    <row r="2" spans="1:6">
      <c r="A2" s="11" t="s">
        <v>122</v>
      </c>
      <c r="B2" s="26">
        <v>45437014</v>
      </c>
      <c r="C2" s="21">
        <v>5178307</v>
      </c>
      <c r="D2" s="21">
        <v>3114995000</v>
      </c>
      <c r="E2" s="26">
        <v>6868377</v>
      </c>
      <c r="F2" s="26">
        <v>4485489000</v>
      </c>
    </row>
    <row r="3" spans="1:6">
      <c r="A3" s="11" t="s">
        <v>102</v>
      </c>
      <c r="B3" s="26"/>
      <c r="C3" s="26">
        <v>422784</v>
      </c>
      <c r="D3" s="26">
        <v>252476809</v>
      </c>
      <c r="E3" s="26">
        <v>691106</v>
      </c>
      <c r="F3" s="26">
        <v>492088926</v>
      </c>
    </row>
    <row r="4" spans="1:6">
      <c r="A4" s="11" t="s">
        <v>1</v>
      </c>
      <c r="B4" s="26"/>
      <c r="C4" s="26">
        <v>94017</v>
      </c>
      <c r="D4" s="26">
        <v>59491039</v>
      </c>
      <c r="E4" s="26">
        <v>610</v>
      </c>
      <c r="F4" s="26">
        <v>345134</v>
      </c>
    </row>
    <row r="5" spans="1:6">
      <c r="A5" s="11" t="s">
        <v>2</v>
      </c>
      <c r="B5" s="26"/>
      <c r="C5" s="26">
        <v>1571050</v>
      </c>
      <c r="D5" s="26">
        <v>1029442145</v>
      </c>
      <c r="E5" s="26">
        <v>20163</v>
      </c>
      <c r="F5" s="26">
        <v>56784510</v>
      </c>
    </row>
    <row r="6" spans="1:6">
      <c r="A6" s="11" t="s">
        <v>103</v>
      </c>
      <c r="B6" s="26"/>
      <c r="C6" s="26">
        <v>1601932</v>
      </c>
      <c r="D6" s="26">
        <v>969491515</v>
      </c>
      <c r="E6" s="26">
        <v>361680</v>
      </c>
      <c r="F6" s="26">
        <v>208467234</v>
      </c>
    </row>
    <row r="7" spans="1:6">
      <c r="A7" s="11" t="s">
        <v>3</v>
      </c>
      <c r="B7" s="26"/>
      <c r="C7" s="26">
        <v>971497</v>
      </c>
      <c r="D7" s="26">
        <v>496976854</v>
      </c>
      <c r="E7" s="26">
        <v>1583317</v>
      </c>
      <c r="F7" s="26">
        <v>998474364</v>
      </c>
    </row>
    <row r="8" spans="1:6">
      <c r="A8" s="11" t="s">
        <v>104</v>
      </c>
      <c r="B8" s="26"/>
      <c r="C8" s="26">
        <v>463922</v>
      </c>
      <c r="D8" s="26">
        <v>286443119</v>
      </c>
      <c r="E8" s="26">
        <v>4495083</v>
      </c>
      <c r="F8" s="26">
        <v>3404101486</v>
      </c>
    </row>
    <row r="9" spans="1:6">
      <c r="A9" s="11"/>
      <c r="B9" s="11"/>
      <c r="C9" s="11"/>
      <c r="D9" s="11"/>
      <c r="E9" s="11"/>
      <c r="F9" s="11"/>
    </row>
    <row r="10" spans="1:6">
      <c r="A10" s="11" t="s">
        <v>106</v>
      </c>
      <c r="B10" s="42" t="s">
        <v>59</v>
      </c>
      <c r="C10" s="42" t="s">
        <v>159</v>
      </c>
      <c r="D10" s="42" t="s">
        <v>160</v>
      </c>
      <c r="E10" s="42" t="s">
        <v>161</v>
      </c>
      <c r="F10" s="43" t="s">
        <v>162</v>
      </c>
    </row>
    <row r="11" spans="1:6">
      <c r="A11" s="11" t="s">
        <v>102</v>
      </c>
      <c r="B11" s="12">
        <f>(TPO!D3+TPO!L3)/(TPO!$D$9+TPO!$L$9)</f>
        <v>5.3945383438247528E-2</v>
      </c>
      <c r="C11" s="12">
        <f>C3/SUM(C$3:C$8)</f>
        <v>8.2491187664408161E-2</v>
      </c>
      <c r="D11" s="12">
        <f t="shared" ref="D11:F11" si="0">D3/SUM(D$3:D$8)</f>
        <v>8.1593593474459034E-2</v>
      </c>
      <c r="E11" s="12">
        <f t="shared" si="0"/>
        <v>9.6631706082207683E-2</v>
      </c>
      <c r="F11" s="12">
        <f t="shared" si="0"/>
        <v>9.5361235339404743E-2</v>
      </c>
    </row>
    <row r="12" spans="1:6">
      <c r="A12" s="11" t="s">
        <v>1</v>
      </c>
      <c r="B12" s="12">
        <f>(TPO!D4+TPO!L4)/(TPO!$D$9+TPO!$L$9)</f>
        <v>9.4941071670289184E-3</v>
      </c>
      <c r="C12" s="12">
        <f t="shared" ref="C12:F16" si="1">C4/SUM(C$3:C$8)</f>
        <v>1.8344057463491194E-2</v>
      </c>
      <c r="D12" s="12">
        <f t="shared" si="1"/>
        <v>1.9225875322034777E-2</v>
      </c>
      <c r="E12" s="12">
        <f t="shared" si="1"/>
        <v>8.5291316686798686E-5</v>
      </c>
      <c r="F12" s="12">
        <f t="shared" si="1"/>
        <v>6.6883042593870762E-5</v>
      </c>
    </row>
    <row r="13" spans="1:6">
      <c r="A13" s="11" t="s">
        <v>2</v>
      </c>
      <c r="B13" s="12">
        <f>(TPO!D5+TPO!L5)/(TPO!$D$9+TPO!$L$9)</f>
        <v>9.7566759612418508E-2</v>
      </c>
      <c r="C13" s="12">
        <f t="shared" si="1"/>
        <v>0.30653425952772201</v>
      </c>
      <c r="D13" s="12">
        <f t="shared" si="1"/>
        <v>0.33268752174622546</v>
      </c>
      <c r="E13" s="12">
        <f t="shared" si="1"/>
        <v>2.8192275710752818E-3</v>
      </c>
      <c r="F13" s="12">
        <f t="shared" si="1"/>
        <v>1.1004191997896703E-2</v>
      </c>
    </row>
    <row r="14" spans="1:6">
      <c r="A14" s="11" t="s">
        <v>103</v>
      </c>
      <c r="B14" s="12">
        <f>(TPO!D6+TPO!L6)/(TPO!$D$9+TPO!$L$9)</f>
        <v>8.7191444124196771E-2</v>
      </c>
      <c r="C14" s="12">
        <f>C6/SUM(C$3:C$8)</f>
        <v>0.31255977813167168</v>
      </c>
      <c r="D14" s="12">
        <f t="shared" si="1"/>
        <v>0.31331311919364208</v>
      </c>
      <c r="E14" s="12">
        <f t="shared" si="1"/>
        <v>5.0570759703739913E-2</v>
      </c>
      <c r="F14" s="12">
        <f t="shared" si="1"/>
        <v>4.0398578207445295E-2</v>
      </c>
    </row>
    <row r="15" spans="1:6">
      <c r="A15" s="11" t="s">
        <v>3</v>
      </c>
      <c r="B15" s="12">
        <f>(TPO!D7+TPO!L7)/(TPO!$D$9+TPO!$L$9)</f>
        <v>0.39491064130483072</v>
      </c>
      <c r="C15" s="12">
        <f t="shared" si="1"/>
        <v>0.18955291908494534</v>
      </c>
      <c r="D15" s="12">
        <f t="shared" si="1"/>
        <v>0.16060931517671223</v>
      </c>
      <c r="E15" s="12">
        <f t="shared" si="1"/>
        <v>0.22138228141408528</v>
      </c>
      <c r="F15" s="12">
        <f t="shared" si="1"/>
        <v>0.1934929720523044</v>
      </c>
    </row>
    <row r="16" spans="1:6">
      <c r="A16" s="11" t="s">
        <v>104</v>
      </c>
      <c r="B16" s="12">
        <f>(TPO!D8+TPO!L8)/(TPO!$D$9+TPO!$L$9)</f>
        <v>0.35689166435327757</v>
      </c>
      <c r="C16" s="12">
        <f t="shared" si="1"/>
        <v>9.0517798127761603E-2</v>
      </c>
      <c r="D16" s="12">
        <f t="shared" si="1"/>
        <v>9.2570575086926468E-2</v>
      </c>
      <c r="E16" s="12">
        <f t="shared" si="1"/>
        <v>0.62851073391220502</v>
      </c>
      <c r="F16" s="12">
        <f t="shared" si="1"/>
        <v>0.65967613936035496</v>
      </c>
    </row>
    <row r="17" spans="1:6">
      <c r="A17" s="11"/>
      <c r="B17" s="11"/>
      <c r="C17" s="11"/>
      <c r="D17" s="11"/>
      <c r="E17" s="11"/>
      <c r="F17" s="11"/>
    </row>
    <row r="18" spans="1:6">
      <c r="A18" s="11" t="s">
        <v>107</v>
      </c>
      <c r="B18" s="42" t="s">
        <v>59</v>
      </c>
      <c r="C18" s="42" t="s">
        <v>159</v>
      </c>
      <c r="D18" s="42" t="s">
        <v>160</v>
      </c>
      <c r="E18" s="42" t="s">
        <v>161</v>
      </c>
      <c r="F18" s="43" t="s">
        <v>162</v>
      </c>
    </row>
    <row r="19" spans="1:6">
      <c r="A19" s="11" t="s">
        <v>102</v>
      </c>
      <c r="B19" s="26">
        <f>B11*$B$2</f>
        <v>2451117.1425190209</v>
      </c>
      <c r="C19" s="27">
        <f>$C$2*C11</f>
        <v>427164.69452091842</v>
      </c>
      <c r="D19" s="27">
        <f>D$2*D11</f>
        <v>254163635.70497251</v>
      </c>
      <c r="E19" s="27">
        <f t="shared" ref="E19" si="2">E$2*E11</f>
        <v>663702.98752579535</v>
      </c>
      <c r="F19" s="27">
        <f>F$2*F11</f>
        <v>427741772.14131123</v>
      </c>
    </row>
    <row r="20" spans="1:6">
      <c r="A20" s="11" t="s">
        <v>1</v>
      </c>
      <c r="B20" s="26">
        <f t="shared" ref="B20:B24" si="3">B12*$B$2</f>
        <v>431383.8802657933</v>
      </c>
      <c r="C20" s="27">
        <f t="shared" ref="C20:C24" si="4">$C$2*C12</f>
        <v>94991.161171598695</v>
      </c>
      <c r="D20" s="27">
        <f>D$2*D12</f>
        <v>59888505.498761721</v>
      </c>
      <c r="E20" s="27">
        <f t="shared" ref="E20:F24" si="5">E$2*E12</f>
        <v>585.81291783132428</v>
      </c>
      <c r="F20" s="27">
        <f t="shared" si="5"/>
        <v>300003.15184133878</v>
      </c>
    </row>
    <row r="21" spans="1:6">
      <c r="A21" s="11" t="s">
        <v>2</v>
      </c>
      <c r="B21" s="26">
        <f t="shared" si="3"/>
        <v>4433142.2224440947</v>
      </c>
      <c r="C21" s="27">
        <f t="shared" si="4"/>
        <v>1587328.5018522195</v>
      </c>
      <c r="D21" s="27">
        <f t="shared" ref="D21:D24" si="6">D$2*D13</f>
        <v>1036319966.8018836</v>
      </c>
      <c r="E21" s="27">
        <f t="shared" si="5"/>
        <v>19363.51780693933</v>
      </c>
      <c r="F21" s="27">
        <f t="shared" si="5"/>
        <v>49359182.160453685</v>
      </c>
    </row>
    <row r="22" spans="1:6">
      <c r="A22" s="11" t="s">
        <v>103</v>
      </c>
      <c r="B22" s="26">
        <f t="shared" si="3"/>
        <v>3961718.8673513462</v>
      </c>
      <c r="C22" s="27">
        <f t="shared" si="4"/>
        <v>1618530.4870176823</v>
      </c>
      <c r="D22" s="27">
        <f>D$2*D14</f>
        <v>975968799.72259915</v>
      </c>
      <c r="E22" s="27">
        <f t="shared" si="5"/>
        <v>347339.04282169405</v>
      </c>
      <c r="F22" s="27">
        <f t="shared" si="5"/>
        <v>181207378.16513559</v>
      </c>
    </row>
    <row r="23" spans="1:6">
      <c r="A23" s="11" t="s">
        <v>3</v>
      </c>
      <c r="B23" s="26">
        <f t="shared" si="3"/>
        <v>17943560.337716572</v>
      </c>
      <c r="C23" s="27">
        <f t="shared" si="4"/>
        <v>981563.20776800602</v>
      </c>
      <c r="D23" s="27">
        <f t="shared" si="6"/>
        <v>500297213.72888273</v>
      </c>
      <c r="E23" s="27">
        <f t="shared" si="5"/>
        <v>1520536.9698720309</v>
      </c>
      <c r="F23" s="27">
        <f t="shared" si="5"/>
        <v>867910597.71791875</v>
      </c>
    </row>
    <row r="24" spans="1:6">
      <c r="A24" s="11" t="s">
        <v>104</v>
      </c>
      <c r="B24" s="26">
        <f t="shared" si="3"/>
        <v>16216091.549703173</v>
      </c>
      <c r="C24" s="27">
        <f t="shared" si="4"/>
        <v>468728.94766957482</v>
      </c>
      <c r="D24" s="27">
        <f t="shared" si="6"/>
        <v>288356878.5429005</v>
      </c>
      <c r="E24" s="27">
        <f t="shared" si="5"/>
        <v>4316848.6690557087</v>
      </c>
      <c r="F24" s="27">
        <f t="shared" si="5"/>
        <v>2958970066.6633391</v>
      </c>
    </row>
    <row r="25" spans="1:6">
      <c r="A25" s="13"/>
      <c r="B25" s="13"/>
      <c r="C25" s="14"/>
      <c r="D25" s="13"/>
      <c r="E25" s="13"/>
      <c r="F25" s="13"/>
    </row>
    <row r="26" spans="1:6">
      <c r="A26" s="13"/>
      <c r="B26" s="13"/>
      <c r="C26" s="14"/>
      <c r="D26" s="13"/>
      <c r="E26" s="13"/>
      <c r="F26" s="13"/>
    </row>
    <row r="27" spans="1:6">
      <c r="F27" s="26"/>
    </row>
    <row r="28" spans="1:6">
      <c r="B28" s="26"/>
      <c r="C28" s="26"/>
      <c r="D28" s="26"/>
      <c r="F28" s="26"/>
    </row>
    <row r="29" spans="1:6">
      <c r="B29" s="26"/>
      <c r="C29" s="26"/>
      <c r="D29" s="26"/>
      <c r="E29" s="26"/>
      <c r="F29" s="21"/>
    </row>
    <row r="30" spans="1:6">
      <c r="B30" s="21"/>
      <c r="E30" s="26"/>
    </row>
    <row r="31" spans="1:6">
      <c r="E31" s="2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9"/>
  <dimension ref="A1:F24"/>
  <sheetViews>
    <sheetView workbookViewId="0">
      <selection activeCell="H13" sqref="H13"/>
    </sheetView>
  </sheetViews>
  <sheetFormatPr defaultColWidth="8.875" defaultRowHeight="15.75"/>
  <cols>
    <col min="1" max="1" width="18" bestFit="1" customWidth="1"/>
    <col min="2" max="2" width="16.5" bestFit="1" customWidth="1"/>
    <col min="3" max="3" width="20.5" bestFit="1" customWidth="1"/>
    <col min="4" max="4" width="19.625" bestFit="1" customWidth="1"/>
    <col min="5" max="5" width="20.125" bestFit="1" customWidth="1"/>
    <col min="6" max="6" width="19.5" bestFit="1" customWidth="1"/>
  </cols>
  <sheetData>
    <row r="1" spans="1:6">
      <c r="A1" s="11"/>
      <c r="B1" s="15" t="s">
        <v>129</v>
      </c>
      <c r="C1" s="15" t="s">
        <v>130</v>
      </c>
      <c r="D1" s="15" t="s">
        <v>141</v>
      </c>
      <c r="E1" s="15" t="s">
        <v>131</v>
      </c>
      <c r="F1" s="15" t="s">
        <v>142</v>
      </c>
    </row>
    <row r="2" spans="1:6">
      <c r="A2" s="11" t="s">
        <v>122</v>
      </c>
      <c r="B2" s="21">
        <v>319770</v>
      </c>
      <c r="C2" s="21">
        <v>22400</v>
      </c>
      <c r="D2" s="21">
        <v>13896000</v>
      </c>
      <c r="E2" s="21">
        <v>84426</v>
      </c>
      <c r="F2" s="21">
        <v>113098000</v>
      </c>
    </row>
    <row r="3" spans="1:6">
      <c r="A3" s="11" t="s">
        <v>102</v>
      </c>
      <c r="B3" s="21"/>
      <c r="C3" s="21">
        <v>532</v>
      </c>
      <c r="D3" s="21">
        <v>352615</v>
      </c>
      <c r="E3" s="21">
        <v>26819</v>
      </c>
      <c r="F3" s="21">
        <v>30686701</v>
      </c>
    </row>
    <row r="4" spans="1:6">
      <c r="A4" s="11" t="s">
        <v>1</v>
      </c>
      <c r="B4" s="21"/>
      <c r="C4" s="21">
        <v>128</v>
      </c>
      <c r="D4" s="21">
        <v>171884</v>
      </c>
      <c r="E4" s="21">
        <v>99</v>
      </c>
      <c r="F4" s="21">
        <v>54927</v>
      </c>
    </row>
    <row r="5" spans="1:6">
      <c r="A5" s="11" t="s">
        <v>2</v>
      </c>
      <c r="B5" s="21"/>
      <c r="C5" s="21">
        <v>9940</v>
      </c>
      <c r="D5" s="21">
        <v>5977846</v>
      </c>
      <c r="E5" s="21">
        <v>6132</v>
      </c>
      <c r="F5" s="21">
        <v>2383094</v>
      </c>
    </row>
    <row r="6" spans="1:6">
      <c r="A6" s="11" t="s">
        <v>103</v>
      </c>
      <c r="B6" s="21"/>
      <c r="C6" s="21">
        <v>11567</v>
      </c>
      <c r="D6" s="21">
        <v>5593481</v>
      </c>
      <c r="E6" s="21">
        <v>34204</v>
      </c>
      <c r="F6" s="21">
        <v>22610521</v>
      </c>
    </row>
    <row r="7" spans="1:6">
      <c r="A7" s="11" t="s">
        <v>3</v>
      </c>
      <c r="B7" s="21"/>
      <c r="C7" s="21">
        <v>772</v>
      </c>
      <c r="D7" s="21">
        <v>596015</v>
      </c>
      <c r="E7" s="21">
        <v>11576</v>
      </c>
      <c r="F7" s="21">
        <v>7450960</v>
      </c>
    </row>
    <row r="8" spans="1:6">
      <c r="A8" s="11" t="s">
        <v>104</v>
      </c>
      <c r="B8" s="21"/>
      <c r="C8" s="21">
        <v>1121</v>
      </c>
      <c r="D8" s="21">
        <v>616052</v>
      </c>
      <c r="E8" s="21">
        <v>95283</v>
      </c>
      <c r="F8" s="21">
        <v>114933292</v>
      </c>
    </row>
    <row r="9" spans="1:6">
      <c r="A9" s="11"/>
    </row>
    <row r="10" spans="1:6">
      <c r="A10" s="11" t="s">
        <v>106</v>
      </c>
      <c r="B10" s="42" t="s">
        <v>59</v>
      </c>
      <c r="C10" s="42" t="s">
        <v>159</v>
      </c>
      <c r="D10" s="42" t="s">
        <v>160</v>
      </c>
      <c r="E10" s="42" t="s">
        <v>161</v>
      </c>
      <c r="F10" s="43" t="s">
        <v>162</v>
      </c>
    </row>
    <row r="11" spans="1:6">
      <c r="A11" s="11" t="s">
        <v>102</v>
      </c>
      <c r="B11" s="40">
        <f>(TPO!D3+TPO!L3)/(TPO!$D$9+TPO!$L$9)</f>
        <v>5.3945383438247528E-2</v>
      </c>
      <c r="C11" s="40">
        <f>C3/SUM(C$3:C$8)</f>
        <v>2.2111388196176227E-2</v>
      </c>
      <c r="D11" s="40">
        <f>D3/SUM(D$3:D$8)</f>
        <v>2.6496681330395427E-2</v>
      </c>
      <c r="E11" s="40">
        <f t="shared" ref="E11" si="0">E3/SUM(E$3:E$8)</f>
        <v>0.15403215153377403</v>
      </c>
      <c r="F11" s="40">
        <f>F3/SUM(F$3:F$8)</f>
        <v>0.17228154054669872</v>
      </c>
    </row>
    <row r="12" spans="1:6">
      <c r="A12" s="11" t="s">
        <v>1</v>
      </c>
      <c r="B12" s="40">
        <f>(TPO!D4+TPO!L4)/(TPO!$D$9+TPO!$L$9)</f>
        <v>9.4941071670289184E-3</v>
      </c>
      <c r="C12" s="40">
        <f t="shared" ref="C12:F16" si="1">C4/SUM(C$3:C$8)</f>
        <v>5.3200332502078137E-3</v>
      </c>
      <c r="D12" s="40">
        <f t="shared" si="1"/>
        <v>1.2915943943943643E-2</v>
      </c>
      <c r="E12" s="40">
        <f t="shared" si="1"/>
        <v>5.6859625645414187E-4</v>
      </c>
      <c r="F12" s="40">
        <f t="shared" si="1"/>
        <v>3.0837163556970558E-4</v>
      </c>
    </row>
    <row r="13" spans="1:6">
      <c r="A13" s="11" t="s">
        <v>2</v>
      </c>
      <c r="B13" s="40">
        <f>(TPO!D5+TPO!L5)/(TPO!$D$9+TPO!$L$9)</f>
        <v>9.7566759612418508E-2</v>
      </c>
      <c r="C13" s="40">
        <f t="shared" si="1"/>
        <v>0.41313383208645055</v>
      </c>
      <c r="D13" s="40">
        <f t="shared" si="1"/>
        <v>0.44919552629405723</v>
      </c>
      <c r="E13" s="40">
        <f t="shared" si="1"/>
        <v>3.5218507520977757E-2</v>
      </c>
      <c r="F13" s="40">
        <f t="shared" si="1"/>
        <v>1.3379186820622863E-2</v>
      </c>
    </row>
    <row r="14" spans="1:6">
      <c r="A14" s="11" t="s">
        <v>103</v>
      </c>
      <c r="B14" s="40">
        <f>(TPO!D6+TPO!L6)/(TPO!$D$9+TPO!$L$9)</f>
        <v>8.7191444124196771E-2</v>
      </c>
      <c r="C14" s="40">
        <f t="shared" si="1"/>
        <v>0.48075644222776392</v>
      </c>
      <c r="D14" s="40">
        <f t="shared" si="1"/>
        <v>0.42031304279347603</v>
      </c>
      <c r="E14" s="40">
        <f t="shared" si="1"/>
        <v>0.19644713490664109</v>
      </c>
      <c r="F14" s="40">
        <f t="shared" si="1"/>
        <v>0.12694018136532445</v>
      </c>
    </row>
    <row r="15" spans="1:6">
      <c r="A15" s="11" t="s">
        <v>3</v>
      </c>
      <c r="B15" s="40">
        <f>(TPO!D7+TPO!L7)/(TPO!$D$9+TPO!$L$9)</f>
        <v>0.39491064130483072</v>
      </c>
      <c r="C15" s="40">
        <f t="shared" si="1"/>
        <v>3.2086450540315878E-2</v>
      </c>
      <c r="D15" s="40">
        <f t="shared" si="1"/>
        <v>4.4786578912229008E-2</v>
      </c>
      <c r="E15" s="40">
        <f t="shared" si="1"/>
        <v>6.6485558229425715E-2</v>
      </c>
      <c r="F15" s="40">
        <f t="shared" si="1"/>
        <v>4.183124368278722E-2</v>
      </c>
    </row>
    <row r="16" spans="1:6">
      <c r="A16" s="11" t="s">
        <v>104</v>
      </c>
      <c r="B16" s="40">
        <f>(TPO!D8+TPO!L8)/(TPO!$D$9+TPO!$L$9)</f>
        <v>0.35689166435327757</v>
      </c>
      <c r="C16" s="40">
        <f t="shared" si="1"/>
        <v>4.6591853699085618E-2</v>
      </c>
      <c r="D16" s="40">
        <f t="shared" si="1"/>
        <v>4.629222672589868E-2</v>
      </c>
      <c r="E16" s="40">
        <f t="shared" si="1"/>
        <v>0.54724805155272727</v>
      </c>
      <c r="F16" s="40">
        <f t="shared" si="1"/>
        <v>0.64525947594899702</v>
      </c>
    </row>
    <row r="17" spans="1:6">
      <c r="A17" s="11"/>
    </row>
    <row r="18" spans="1:6">
      <c r="A18" s="11" t="s">
        <v>107</v>
      </c>
      <c r="B18" s="42" t="s">
        <v>59</v>
      </c>
      <c r="C18" s="42" t="s">
        <v>159</v>
      </c>
      <c r="D18" s="42" t="s">
        <v>160</v>
      </c>
      <c r="E18" s="42" t="s">
        <v>161</v>
      </c>
      <c r="F18" s="43" t="s">
        <v>162</v>
      </c>
    </row>
    <row r="19" spans="1:6">
      <c r="A19" s="11" t="s">
        <v>102</v>
      </c>
      <c r="B19" s="21">
        <f>B11*$B$2</f>
        <v>17250.115262048414</v>
      </c>
      <c r="C19" s="21">
        <f>C11*C$2</f>
        <v>495.29509559434752</v>
      </c>
      <c r="D19" s="21">
        <f t="shared" ref="D19:E19" si="2">D11*D$2</f>
        <v>368197.88376717485</v>
      </c>
      <c r="E19" s="21">
        <f t="shared" si="2"/>
        <v>13004.318425390406</v>
      </c>
      <c r="F19" s="21">
        <f>F11*F$2</f>
        <v>19484697.672750533</v>
      </c>
    </row>
    <row r="20" spans="1:6">
      <c r="A20" s="11" t="s">
        <v>1</v>
      </c>
      <c r="B20" s="21">
        <f t="shared" ref="B20:B24" si="3">B12*$B$2</f>
        <v>3035.9306488008374</v>
      </c>
      <c r="C20" s="21">
        <f t="shared" ref="C20:F20" si="4">C12*C$2</f>
        <v>119.16874480465503</v>
      </c>
      <c r="D20" s="21">
        <f t="shared" si="4"/>
        <v>179479.95704504085</v>
      </c>
      <c r="E20" s="21">
        <f t="shared" si="4"/>
        <v>48.004307547397381</v>
      </c>
      <c r="F20" s="21">
        <f t="shared" si="4"/>
        <v>34876.215239662561</v>
      </c>
    </row>
    <row r="21" spans="1:6">
      <c r="A21" s="11" t="s">
        <v>2</v>
      </c>
      <c r="B21" s="21">
        <f t="shared" si="3"/>
        <v>31198.922721263065</v>
      </c>
      <c r="C21" s="21">
        <f t="shared" ref="C21:F21" si="5">C13*C$2</f>
        <v>9254.1978387364925</v>
      </c>
      <c r="D21" s="21">
        <f t="shared" si="5"/>
        <v>6242021.0333822193</v>
      </c>
      <c r="E21" s="21">
        <f t="shared" si="5"/>
        <v>2973.3577159660681</v>
      </c>
      <c r="F21" s="21">
        <f t="shared" si="5"/>
        <v>1513159.2710388044</v>
      </c>
    </row>
    <row r="22" spans="1:6">
      <c r="A22" s="11" t="s">
        <v>103</v>
      </c>
      <c r="B22" s="21">
        <f t="shared" si="3"/>
        <v>27881.208087594401</v>
      </c>
      <c r="C22" s="21">
        <f t="shared" ref="C22:F22" si="6">C14*C$2</f>
        <v>10768.944305901912</v>
      </c>
      <c r="D22" s="21">
        <f t="shared" si="6"/>
        <v>5840670.0426581427</v>
      </c>
      <c r="E22" s="21">
        <f t="shared" si="6"/>
        <v>16585.24581162808</v>
      </c>
      <c r="F22" s="21">
        <f t="shared" si="6"/>
        <v>14356680.632055465</v>
      </c>
    </row>
    <row r="23" spans="1:6">
      <c r="A23" s="11" t="s">
        <v>3</v>
      </c>
      <c r="B23" s="21">
        <f t="shared" si="3"/>
        <v>126280.57577004572</v>
      </c>
      <c r="C23" s="21">
        <f t="shared" ref="C23:F23" si="7">C15*C$2</f>
        <v>718.73649210307565</v>
      </c>
      <c r="D23" s="21">
        <f t="shared" si="7"/>
        <v>622354.30056433426</v>
      </c>
      <c r="E23" s="21">
        <f t="shared" si="7"/>
        <v>5613.1097390774958</v>
      </c>
      <c r="F23" s="21">
        <f t="shared" si="7"/>
        <v>4731029.9980358686</v>
      </c>
    </row>
    <row r="24" spans="1:6">
      <c r="A24" s="11" t="s">
        <v>104</v>
      </c>
      <c r="B24" s="21">
        <f t="shared" si="3"/>
        <v>114123.24751024757</v>
      </c>
      <c r="C24" s="21">
        <f t="shared" ref="C24:F24" si="8">C16*C$2</f>
        <v>1043.6575228595179</v>
      </c>
      <c r="D24" s="21">
        <f t="shared" si="8"/>
        <v>643276.78258308803</v>
      </c>
      <c r="E24" s="21">
        <f t="shared" si="8"/>
        <v>46201.964000390552</v>
      </c>
      <c r="F24" s="21">
        <f t="shared" si="8"/>
        <v>72977556.210879669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20"/>
  <dimension ref="A1:F26"/>
  <sheetViews>
    <sheetView workbookViewId="0">
      <selection activeCell="K31" sqref="K31"/>
    </sheetView>
  </sheetViews>
  <sheetFormatPr defaultColWidth="8.875" defaultRowHeight="15.75"/>
  <cols>
    <col min="1" max="1" width="18" bestFit="1" customWidth="1"/>
    <col min="2" max="2" width="16.5" bestFit="1" customWidth="1"/>
    <col min="3" max="3" width="20.5" bestFit="1" customWidth="1"/>
    <col min="4" max="4" width="19.625" bestFit="1" customWidth="1"/>
    <col min="5" max="5" width="20.125" bestFit="1" customWidth="1"/>
    <col min="6" max="6" width="19.5" bestFit="1" customWidth="1"/>
  </cols>
  <sheetData>
    <row r="1" spans="1:6">
      <c r="A1" s="11"/>
      <c r="B1" s="15" t="s">
        <v>129</v>
      </c>
      <c r="C1" s="15" t="s">
        <v>130</v>
      </c>
      <c r="D1" s="15" t="s">
        <v>141</v>
      </c>
      <c r="E1" s="15" t="s">
        <v>131</v>
      </c>
      <c r="F1" s="15" t="s">
        <v>142</v>
      </c>
    </row>
    <row r="2" spans="1:6">
      <c r="A2" s="11" t="s">
        <v>122</v>
      </c>
      <c r="B2" s="26">
        <v>1658000</v>
      </c>
      <c r="C2" s="26">
        <v>1975461</v>
      </c>
      <c r="D2" s="26">
        <f>1000*1130112</f>
        <v>1130112000</v>
      </c>
      <c r="E2" s="26">
        <v>464615</v>
      </c>
      <c r="F2" s="26">
        <f>1000*253111</f>
        <v>253111000</v>
      </c>
    </row>
    <row r="3" spans="1:6">
      <c r="A3" s="11" t="s">
        <v>102</v>
      </c>
      <c r="B3" s="26"/>
      <c r="C3" s="26">
        <v>170194</v>
      </c>
      <c r="D3" s="26">
        <v>86040097</v>
      </c>
      <c r="E3" s="26">
        <v>174893</v>
      </c>
      <c r="F3" s="26">
        <v>90336489</v>
      </c>
    </row>
    <row r="4" spans="1:6">
      <c r="A4" s="11" t="s">
        <v>1</v>
      </c>
      <c r="B4" s="26"/>
      <c r="C4" s="26">
        <v>144909</v>
      </c>
      <c r="D4" s="26">
        <v>66226851</v>
      </c>
      <c r="E4" s="26">
        <v>12739</v>
      </c>
      <c r="F4" s="26">
        <v>7468967</v>
      </c>
    </row>
    <row r="5" spans="1:6">
      <c r="A5" s="11" t="s">
        <v>2</v>
      </c>
      <c r="B5" s="26"/>
      <c r="C5" s="26">
        <v>546755</v>
      </c>
      <c r="D5" s="26">
        <v>306204965</v>
      </c>
      <c r="E5" s="26">
        <v>5190</v>
      </c>
      <c r="F5" s="26">
        <v>2989383</v>
      </c>
    </row>
    <row r="6" spans="1:6">
      <c r="A6" s="11" t="s">
        <v>103</v>
      </c>
      <c r="B6" s="26"/>
      <c r="C6" s="26">
        <v>992264</v>
      </c>
      <c r="D6" s="26">
        <v>550499833</v>
      </c>
      <c r="E6" s="26">
        <v>39336</v>
      </c>
      <c r="F6" s="26">
        <v>28610716</v>
      </c>
    </row>
    <row r="7" spans="1:6">
      <c r="A7" s="11" t="s">
        <v>3</v>
      </c>
      <c r="B7" s="26"/>
      <c r="C7" s="26">
        <v>1330</v>
      </c>
      <c r="D7" s="26">
        <v>675133</v>
      </c>
      <c r="E7" s="26">
        <v>132617</v>
      </c>
      <c r="F7" s="26">
        <v>69953566</v>
      </c>
    </row>
    <row r="8" spans="1:6">
      <c r="A8" s="11" t="s">
        <v>104</v>
      </c>
      <c r="B8" s="26"/>
      <c r="C8" s="26">
        <v>86323</v>
      </c>
      <c r="D8" s="26">
        <v>41914665</v>
      </c>
      <c r="E8" s="26">
        <v>85750</v>
      </c>
      <c r="F8" s="26">
        <v>45818805</v>
      </c>
    </row>
    <row r="9" spans="1:6">
      <c r="A9" s="11"/>
      <c r="B9" s="11"/>
      <c r="C9" s="11"/>
      <c r="D9" s="11"/>
      <c r="E9" s="11"/>
      <c r="F9" s="11"/>
    </row>
    <row r="10" spans="1:6">
      <c r="A10" s="11" t="s">
        <v>106</v>
      </c>
      <c r="B10" s="42" t="s">
        <v>59</v>
      </c>
      <c r="C10" s="42" t="s">
        <v>159</v>
      </c>
      <c r="D10" s="42" t="s">
        <v>160</v>
      </c>
      <c r="E10" s="42" t="s">
        <v>161</v>
      </c>
      <c r="F10" s="43" t="s">
        <v>162</v>
      </c>
    </row>
    <row r="11" spans="1:6">
      <c r="A11" s="11" t="s">
        <v>102</v>
      </c>
      <c r="B11" s="12">
        <f>(TPO!D3+TPO!L3)/(TPO!$D$9+TPO!$L$9)</f>
        <v>5.3945383438247528E-2</v>
      </c>
      <c r="C11" s="12">
        <f>C3/SUM(C$3:C$8)</f>
        <v>8.7648671962508529E-2</v>
      </c>
      <c r="D11" s="12">
        <f t="shared" ref="D11:F11" si="0">D3/SUM(D$3:D$8)</f>
        <v>8.1821266183541602E-2</v>
      </c>
      <c r="E11" s="12">
        <f t="shared" si="0"/>
        <v>0.38819821319571612</v>
      </c>
      <c r="F11" s="12">
        <f t="shared" si="0"/>
        <v>0.36845278232755752</v>
      </c>
    </row>
    <row r="12" spans="1:6">
      <c r="A12" s="11" t="s">
        <v>1</v>
      </c>
      <c r="B12" s="12">
        <f>(TPO!D4+TPO!L4)/(TPO!$D$9+TPO!$L$9)</f>
        <v>9.4941071670289184E-3</v>
      </c>
      <c r="C12" s="12">
        <f t="shared" ref="C12:F16" si="1">C4/SUM(C$3:C$8)</f>
        <v>7.4627080892482392E-2</v>
      </c>
      <c r="D12" s="12">
        <f t="shared" si="1"/>
        <v>6.297952923238509E-2</v>
      </c>
      <c r="E12" s="12">
        <f t="shared" si="1"/>
        <v>2.8275900338493979E-2</v>
      </c>
      <c r="F12" s="12">
        <f t="shared" si="1"/>
        <v>3.0463456159589179E-2</v>
      </c>
    </row>
    <row r="13" spans="1:6">
      <c r="A13" s="11" t="s">
        <v>2</v>
      </c>
      <c r="B13" s="12">
        <f>(TPO!D5+TPO!L5)/(TPO!$D$9+TPO!$L$9)</f>
        <v>9.7566759612418508E-2</v>
      </c>
      <c r="C13" s="12">
        <f t="shared" si="1"/>
        <v>0.28157484775527547</v>
      </c>
      <c r="D13" s="12">
        <f t="shared" si="1"/>
        <v>0.29119072178622768</v>
      </c>
      <c r="E13" s="12">
        <f t="shared" si="1"/>
        <v>1.1519893457632761E-2</v>
      </c>
      <c r="F13" s="12">
        <f t="shared" si="1"/>
        <v>1.219270857197805E-2</v>
      </c>
    </row>
    <row r="14" spans="1:6">
      <c r="A14" s="11" t="s">
        <v>103</v>
      </c>
      <c r="B14" s="12">
        <f>(TPO!D6+TPO!L6)/(TPO!$D$9+TPO!$L$9)</f>
        <v>8.7191444124196771E-2</v>
      </c>
      <c r="C14" s="12">
        <f t="shared" si="1"/>
        <v>0.51100874200151924</v>
      </c>
      <c r="D14" s="12">
        <f t="shared" si="1"/>
        <v>0.52350700359959146</v>
      </c>
      <c r="E14" s="12">
        <f t="shared" si="1"/>
        <v>8.7311469951722995E-2</v>
      </c>
      <c r="F14" s="12">
        <f t="shared" si="1"/>
        <v>0.11669368636391843</v>
      </c>
    </row>
    <row r="15" spans="1:6">
      <c r="A15" s="11" t="s">
        <v>3</v>
      </c>
      <c r="B15" s="12">
        <f>(TPO!D7+TPO!L7)/(TPO!$D$9+TPO!$L$9)</f>
        <v>0.39491064130483072</v>
      </c>
      <c r="C15" s="12">
        <f t="shared" si="1"/>
        <v>6.849403252179063E-4</v>
      </c>
      <c r="D15" s="12">
        <f t="shared" si="1"/>
        <v>6.4202899378754759E-4</v>
      </c>
      <c r="E15" s="12">
        <f t="shared" si="1"/>
        <v>0.294361023250652</v>
      </c>
      <c r="F15" s="12">
        <f t="shared" si="1"/>
        <v>0.28531755342444654</v>
      </c>
    </row>
    <row r="16" spans="1:6">
      <c r="A16" s="11" t="s">
        <v>104</v>
      </c>
      <c r="B16" s="12">
        <f>(TPO!D8+TPO!L8)/(TPO!$D$9+TPO!$L$9)</f>
        <v>0.35689166435327757</v>
      </c>
      <c r="C16" s="12">
        <f t="shared" si="1"/>
        <v>4.4455717062996482E-2</v>
      </c>
      <c r="D16" s="12">
        <f t="shared" si="1"/>
        <v>3.9859450204466587E-2</v>
      </c>
      <c r="E16" s="12">
        <f t="shared" si="1"/>
        <v>0.19033349980578215</v>
      </c>
      <c r="F16" s="12">
        <f t="shared" si="1"/>
        <v>0.18687981315251032</v>
      </c>
    </row>
    <row r="17" spans="1:6">
      <c r="A17" s="11"/>
      <c r="B17" s="11"/>
      <c r="C17" s="11"/>
      <c r="D17" s="11"/>
      <c r="E17" s="11"/>
      <c r="F17" s="11"/>
    </row>
    <row r="18" spans="1:6">
      <c r="A18" s="11" t="s">
        <v>107</v>
      </c>
      <c r="B18" s="42" t="s">
        <v>59</v>
      </c>
      <c r="C18" s="42" t="s">
        <v>159</v>
      </c>
      <c r="D18" s="42" t="s">
        <v>160</v>
      </c>
      <c r="E18" s="42" t="s">
        <v>161</v>
      </c>
      <c r="F18" s="43" t="s">
        <v>162</v>
      </c>
    </row>
    <row r="19" spans="1:6">
      <c r="A19" s="11" t="s">
        <v>102</v>
      </c>
      <c r="B19" s="26">
        <f>B11*$B$2</f>
        <v>89441.445740614407</v>
      </c>
      <c r="C19" s="27">
        <f>C$2*C11</f>
        <v>173146.53316372907</v>
      </c>
      <c r="D19" s="27">
        <f t="shared" ref="D19:F19" si="2">D$2*D11</f>
        <v>92467194.769214571</v>
      </c>
      <c r="E19" s="27">
        <f t="shared" si="2"/>
        <v>180362.71282392764</v>
      </c>
      <c r="F19" s="27">
        <f t="shared" si="2"/>
        <v>93259452.187710404</v>
      </c>
    </row>
    <row r="20" spans="1:6">
      <c r="A20" s="11" t="s">
        <v>1</v>
      </c>
      <c r="B20" s="26">
        <f t="shared" ref="B20:B24" si="3">B12*$B$2</f>
        <v>15741.229682933947</v>
      </c>
      <c r="C20" s="27">
        <f t="shared" ref="C20:F24" si="4">C$2*C12</f>
        <v>147422.88784694416</v>
      </c>
      <c r="D20" s="27">
        <f t="shared" si="4"/>
        <v>71173921.739869177</v>
      </c>
      <c r="E20" s="27">
        <f t="shared" si="4"/>
        <v>13137.407435769381</v>
      </c>
      <c r="F20" s="27">
        <f t="shared" si="4"/>
        <v>7710635.852009777</v>
      </c>
    </row>
    <row r="21" spans="1:6">
      <c r="A21" s="11" t="s">
        <v>2</v>
      </c>
      <c r="B21" s="26">
        <f t="shared" si="3"/>
        <v>161765.68743738989</v>
      </c>
      <c r="C21" s="27">
        <f t="shared" si="4"/>
        <v>556240.13032148429</v>
      </c>
      <c r="D21" s="27">
        <f t="shared" si="4"/>
        <v>329078128.97927731</v>
      </c>
      <c r="E21" s="27">
        <f t="shared" si="4"/>
        <v>5352.3152988180454</v>
      </c>
      <c r="F21" s="27">
        <f t="shared" si="4"/>
        <v>3086108.6593619362</v>
      </c>
    </row>
    <row r="22" spans="1:6">
      <c r="A22" s="11" t="s">
        <v>103</v>
      </c>
      <c r="B22" s="26">
        <f t="shared" si="3"/>
        <v>144563.41435791826</v>
      </c>
      <c r="C22" s="27">
        <f t="shared" si="4"/>
        <v>1009477.8404830632</v>
      </c>
      <c r="D22" s="27">
        <f t="shared" si="4"/>
        <v>591621546.85194147</v>
      </c>
      <c r="E22" s="27">
        <f t="shared" si="4"/>
        <v>40566.218611619777</v>
      </c>
      <c r="F22" s="27">
        <f t="shared" si="4"/>
        <v>29536455.649257757</v>
      </c>
    </row>
    <row r="23" spans="1:6">
      <c r="A23" s="11" t="s">
        <v>3</v>
      </c>
      <c r="B23" s="26">
        <f t="shared" si="3"/>
        <v>654761.84328340937</v>
      </c>
      <c r="C23" s="27">
        <f t="shared" si="4"/>
        <v>1353.0728997952904</v>
      </c>
      <c r="D23" s="27">
        <f t="shared" si="4"/>
        <v>725564.67022723297</v>
      </c>
      <c r="E23" s="27">
        <f t="shared" si="4"/>
        <v>136764.54681760169</v>
      </c>
      <c r="F23" s="27">
        <f t="shared" si="4"/>
        <v>72217011.264815092</v>
      </c>
    </row>
    <row r="24" spans="1:6">
      <c r="A24" s="11" t="s">
        <v>104</v>
      </c>
      <c r="B24" s="26">
        <f t="shared" si="3"/>
        <v>591726.37949773425</v>
      </c>
      <c r="C24" s="27">
        <f t="shared" si="4"/>
        <v>87820.5352849841</v>
      </c>
      <c r="D24" s="27">
        <f t="shared" si="4"/>
        <v>45045642.989470147</v>
      </c>
      <c r="E24" s="27">
        <f t="shared" si="4"/>
        <v>88431.79901226348</v>
      </c>
      <c r="F24" s="27">
        <f t="shared" si="4"/>
        <v>47301336.386845037</v>
      </c>
    </row>
    <row r="25" spans="1:6">
      <c r="A25" s="13"/>
      <c r="B25" s="13"/>
      <c r="C25" s="14"/>
      <c r="D25" s="13"/>
      <c r="E25" s="13"/>
      <c r="F25" s="13"/>
    </row>
    <row r="26" spans="1:6">
      <c r="A26" s="13"/>
      <c r="B26" s="13"/>
      <c r="C26" s="14"/>
      <c r="D26" s="13"/>
      <c r="E26" s="13"/>
      <c r="F26" s="1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21"/>
  <dimension ref="A1:J26"/>
  <sheetViews>
    <sheetView workbookViewId="0">
      <selection activeCell="B10" sqref="B10:F10"/>
    </sheetView>
  </sheetViews>
  <sheetFormatPr defaultColWidth="8.875" defaultRowHeight="15.75"/>
  <cols>
    <col min="1" max="1" width="18" bestFit="1" customWidth="1"/>
    <col min="2" max="2" width="16.5" bestFit="1" customWidth="1"/>
    <col min="3" max="3" width="20.5" bestFit="1" customWidth="1"/>
    <col min="4" max="4" width="19.625" bestFit="1" customWidth="1"/>
    <col min="5" max="5" width="20.125" bestFit="1" customWidth="1"/>
    <col min="6" max="6" width="19.5" bestFit="1" customWidth="1"/>
  </cols>
  <sheetData>
    <row r="1" spans="1:10">
      <c r="A1" s="11"/>
      <c r="B1" s="15" t="s">
        <v>129</v>
      </c>
      <c r="C1" s="15" t="s">
        <v>130</v>
      </c>
      <c r="D1" s="15" t="s">
        <v>141</v>
      </c>
      <c r="E1" s="15" t="s">
        <v>131</v>
      </c>
      <c r="F1" s="15" t="s">
        <v>142</v>
      </c>
    </row>
    <row r="2" spans="1:10">
      <c r="A2" s="11" t="s">
        <v>122</v>
      </c>
      <c r="B2" s="26">
        <v>56212000</v>
      </c>
      <c r="C2" s="26">
        <v>2996400</v>
      </c>
      <c r="D2" s="26">
        <f>1000*3825426</f>
        <v>3825426000</v>
      </c>
      <c r="E2" s="26">
        <v>9325747</v>
      </c>
      <c r="F2" s="26">
        <f>1000*7408553</f>
        <v>7408553000</v>
      </c>
    </row>
    <row r="3" spans="1:10">
      <c r="A3" s="11" t="s">
        <v>102</v>
      </c>
      <c r="B3" s="26"/>
      <c r="C3" s="26">
        <v>470415</v>
      </c>
      <c r="D3" s="26">
        <v>369711378</v>
      </c>
      <c r="E3" s="26">
        <v>164115</v>
      </c>
      <c r="F3" s="26">
        <v>133977485</v>
      </c>
    </row>
    <row r="4" spans="1:10">
      <c r="A4" s="11" t="s">
        <v>1</v>
      </c>
      <c r="B4" s="26"/>
      <c r="C4" s="26">
        <v>3222.165</v>
      </c>
      <c r="D4" s="26">
        <v>2758735</v>
      </c>
      <c r="E4" s="26">
        <v>47392</v>
      </c>
      <c r="F4" s="26">
        <v>54417525</v>
      </c>
    </row>
    <row r="5" spans="1:10">
      <c r="A5" s="11" t="s">
        <v>2</v>
      </c>
      <c r="B5" s="26"/>
      <c r="C5" s="26">
        <v>744100</v>
      </c>
      <c r="D5" s="26">
        <v>598969250</v>
      </c>
      <c r="E5" s="26">
        <v>61181</v>
      </c>
      <c r="F5" s="26">
        <v>89493438</v>
      </c>
      <c r="J5" s="21"/>
    </row>
    <row r="6" spans="1:10">
      <c r="A6" s="11" t="s">
        <v>103</v>
      </c>
      <c r="B6" s="26"/>
      <c r="C6" s="26">
        <v>1384673</v>
      </c>
      <c r="D6" s="26">
        <v>1148249219</v>
      </c>
      <c r="E6" s="26">
        <v>110926</v>
      </c>
      <c r="F6" s="26">
        <v>146134260</v>
      </c>
      <c r="J6" s="21"/>
    </row>
    <row r="7" spans="1:10">
      <c r="A7" s="11" t="s">
        <v>3</v>
      </c>
      <c r="B7" s="26"/>
      <c r="C7" s="26">
        <v>68698</v>
      </c>
      <c r="D7" s="26">
        <v>73172705</v>
      </c>
      <c r="E7" s="26">
        <v>209279</v>
      </c>
      <c r="F7" s="26">
        <v>205051142</v>
      </c>
      <c r="J7" s="21"/>
    </row>
    <row r="8" spans="1:10">
      <c r="A8" s="11" t="s">
        <v>104</v>
      </c>
      <c r="B8" s="26"/>
      <c r="C8" s="26">
        <v>230316</v>
      </c>
      <c r="D8" s="26">
        <v>210535179</v>
      </c>
      <c r="E8" s="26">
        <v>208326</v>
      </c>
      <c r="F8" s="26">
        <v>189574698</v>
      </c>
      <c r="J8" s="21"/>
    </row>
    <row r="9" spans="1:10">
      <c r="A9" s="11"/>
      <c r="B9" s="11"/>
      <c r="C9" s="11"/>
      <c r="D9" s="11"/>
      <c r="E9" s="11"/>
      <c r="F9" s="11"/>
      <c r="J9" s="21"/>
    </row>
    <row r="10" spans="1:10">
      <c r="A10" s="11" t="s">
        <v>106</v>
      </c>
      <c r="B10" s="42" t="s">
        <v>59</v>
      </c>
      <c r="C10" s="42" t="s">
        <v>159</v>
      </c>
      <c r="D10" s="42" t="s">
        <v>160</v>
      </c>
      <c r="E10" s="42" t="s">
        <v>161</v>
      </c>
      <c r="F10" s="43" t="s">
        <v>162</v>
      </c>
      <c r="J10" s="21"/>
    </row>
    <row r="11" spans="1:10">
      <c r="A11" s="11" t="s">
        <v>102</v>
      </c>
      <c r="B11" s="12">
        <f>(TPO!D3+TPO!L3)/(TPO!$D$9+TPO!$L$9)</f>
        <v>5.3945383438247528E-2</v>
      </c>
      <c r="C11" s="12">
        <f>C3/SUM(C$3:C$8)</f>
        <v>0.16213244711843089</v>
      </c>
      <c r="D11" s="12">
        <f t="shared" ref="D11:E11" si="0">D3/SUM(D$3:D$8)</f>
        <v>0.15382871000693232</v>
      </c>
      <c r="E11" s="12">
        <f t="shared" si="0"/>
        <v>0.20483163779191457</v>
      </c>
      <c r="F11" s="12">
        <f>F3/SUM(F$3:F$8)</f>
        <v>0.16365690176488287</v>
      </c>
      <c r="J11" s="21"/>
    </row>
    <row r="12" spans="1:10">
      <c r="A12" s="11" t="s">
        <v>1</v>
      </c>
      <c r="B12" s="12">
        <f>(TPO!D4+TPO!L4)/(TPO!$D$9+TPO!$L$9)</f>
        <v>9.4941071670289184E-3</v>
      </c>
      <c r="C12" s="12">
        <f t="shared" ref="C12:F16" si="1">C4/SUM(C$3:C$8)</f>
        <v>1.1105459997435431E-3</v>
      </c>
      <c r="D12" s="12">
        <f t="shared" si="1"/>
        <v>1.1478484881819744E-3</v>
      </c>
      <c r="E12" s="12">
        <f t="shared" si="1"/>
        <v>5.9149870385000858E-2</v>
      </c>
      <c r="F12" s="12">
        <f t="shared" si="1"/>
        <v>6.6472389321333036E-2</v>
      </c>
      <c r="J12" s="21"/>
    </row>
    <row r="13" spans="1:10">
      <c r="A13" s="11" t="s">
        <v>2</v>
      </c>
      <c r="B13" s="12">
        <f>(TPO!D5+TPO!L5)/(TPO!$D$9+TPO!$L$9)</f>
        <v>9.7566759612418508E-2</v>
      </c>
      <c r="C13" s="12">
        <f t="shared" si="1"/>
        <v>0.25646026147300666</v>
      </c>
      <c r="D13" s="12">
        <f t="shared" si="1"/>
        <v>0.24921782921519867</v>
      </c>
      <c r="E13" s="12">
        <f t="shared" si="1"/>
        <v>7.6359896607544248E-2</v>
      </c>
      <c r="F13" s="12">
        <f t="shared" si="1"/>
        <v>0.10931850819089219</v>
      </c>
      <c r="J13" s="21"/>
    </row>
    <row r="14" spans="1:10">
      <c r="A14" s="11" t="s">
        <v>103</v>
      </c>
      <c r="B14" s="12">
        <f>(TPO!D6+TPO!L6)/(TPO!$D$9+TPO!$L$9)</f>
        <v>8.7191444124196771E-2</v>
      </c>
      <c r="C14" s="12">
        <f t="shared" si="1"/>
        <v>0.4772390802776677</v>
      </c>
      <c r="D14" s="12">
        <f t="shared" si="1"/>
        <v>0.47776104993240842</v>
      </c>
      <c r="E14" s="12">
        <f t="shared" si="1"/>
        <v>0.13844654208150331</v>
      </c>
      <c r="F14" s="12">
        <f t="shared" si="1"/>
        <v>0.17850671128289841</v>
      </c>
      <c r="J14" s="21"/>
    </row>
    <row r="15" spans="1:10">
      <c r="A15" s="11" t="s">
        <v>3</v>
      </c>
      <c r="B15" s="12">
        <f>(TPO!D7+TPO!L7)/(TPO!$D$9+TPO!$L$9)</f>
        <v>0.39491064130483072</v>
      </c>
      <c r="C15" s="12">
        <f t="shared" si="1"/>
        <v>2.3677337780772224E-2</v>
      </c>
      <c r="D15" s="12">
        <f t="shared" si="1"/>
        <v>3.0445540731688835E-2</v>
      </c>
      <c r="E15" s="12">
        <f t="shared" si="1"/>
        <v>0.2612007453642512</v>
      </c>
      <c r="F15" s="12">
        <f t="shared" si="1"/>
        <v>0.25047517949057668</v>
      </c>
    </row>
    <row r="16" spans="1:10">
      <c r="A16" s="11" t="s">
        <v>104</v>
      </c>
      <c r="B16" s="12">
        <f>(TPO!D8+TPO!L8)/(TPO!$D$9+TPO!$L$9)</f>
        <v>0.35689166435327757</v>
      </c>
      <c r="C16" s="12">
        <f t="shared" si="1"/>
        <v>7.9380327350378976E-2</v>
      </c>
      <c r="D16" s="12">
        <f t="shared" si="1"/>
        <v>8.759902162558976E-2</v>
      </c>
      <c r="E16" s="12">
        <f t="shared" si="1"/>
        <v>0.26001130776978582</v>
      </c>
      <c r="F16" s="12">
        <f t="shared" si="1"/>
        <v>0.23157030994941677</v>
      </c>
    </row>
    <row r="17" spans="1:6">
      <c r="A17" s="11"/>
      <c r="B17" s="11"/>
      <c r="C17" s="11"/>
      <c r="D17" s="11"/>
      <c r="E17" s="11"/>
      <c r="F17" s="11"/>
    </row>
    <row r="18" spans="1:6">
      <c r="A18" s="11" t="s">
        <v>107</v>
      </c>
      <c r="B18" s="42" t="s">
        <v>59</v>
      </c>
      <c r="C18" s="42" t="s">
        <v>159</v>
      </c>
      <c r="D18" s="42" t="s">
        <v>160</v>
      </c>
      <c r="E18" s="42" t="s">
        <v>161</v>
      </c>
      <c r="F18" s="43" t="s">
        <v>162</v>
      </c>
    </row>
    <row r="19" spans="1:6">
      <c r="A19" s="11" t="s">
        <v>102</v>
      </c>
      <c r="B19" s="26">
        <f>B11*$B$2</f>
        <v>3032377.8938307702</v>
      </c>
      <c r="C19" s="27">
        <f>C11*C$2</f>
        <v>485813.66454566631</v>
      </c>
      <c r="D19" s="27">
        <f t="shared" ref="D19:F19" si="2">D11*D$2</f>
        <v>588460346.80697906</v>
      </c>
      <c r="E19" s="27">
        <f t="shared" si="2"/>
        <v>1910208.031643034</v>
      </c>
      <c r="F19" s="27">
        <f t="shared" si="2"/>
        <v>1212460830.5409284</v>
      </c>
    </row>
    <row r="20" spans="1:6">
      <c r="A20" s="11" t="s">
        <v>1</v>
      </c>
      <c r="B20" s="26">
        <f t="shared" ref="B20:B24" si="3">B12*$B$2</f>
        <v>533682.75207302952</v>
      </c>
      <c r="C20" s="27">
        <f t="shared" ref="C20:F20" si="4">C12*C$2</f>
        <v>3327.6400336315523</v>
      </c>
      <c r="D20" s="27">
        <f t="shared" si="4"/>
        <v>4391009.4507520171</v>
      </c>
      <c r="E20" s="27">
        <f t="shared" si="4"/>
        <v>551616.72629331064</v>
      </c>
      <c r="F20" s="27">
        <f t="shared" si="4"/>
        <v>492464219.32372981</v>
      </c>
    </row>
    <row r="21" spans="1:6">
      <c r="A21" s="11" t="s">
        <v>2</v>
      </c>
      <c r="B21" s="26">
        <f t="shared" si="3"/>
        <v>5484422.6913332688</v>
      </c>
      <c r="C21" s="27">
        <f t="shared" ref="C21:F21" si="5">C13*C$2</f>
        <v>768457.52747771714</v>
      </c>
      <c r="D21" s="27">
        <f t="shared" si="5"/>
        <v>953364363.54338062</v>
      </c>
      <c r="E21" s="27">
        <f t="shared" si="5"/>
        <v>712113.07670811599</v>
      </c>
      <c r="F21" s="27">
        <f t="shared" si="5"/>
        <v>809891961.81315887</v>
      </c>
    </row>
    <row r="22" spans="1:6">
      <c r="A22" s="11" t="s">
        <v>103</v>
      </c>
      <c r="B22" s="26">
        <f t="shared" si="3"/>
        <v>4901205.4571093488</v>
      </c>
      <c r="C22" s="27">
        <f t="shared" ref="C22:F22" si="6">C14*C$2</f>
        <v>1429999.1801440036</v>
      </c>
      <c r="D22" s="27">
        <f>D14*D$2</f>
        <v>1827639542.1987333</v>
      </c>
      <c r="E22" s="27">
        <f t="shared" si="6"/>
        <v>1291117.4244769532</v>
      </c>
      <c r="F22" s="27">
        <f t="shared" si="6"/>
        <v>1322476431.3950508</v>
      </c>
    </row>
    <row r="23" spans="1:6">
      <c r="A23" s="11" t="s">
        <v>3</v>
      </c>
      <c r="B23" s="26">
        <f t="shared" si="3"/>
        <v>22198716.969027143</v>
      </c>
      <c r="C23" s="27">
        <f t="shared" ref="C23:F23" si="7">C15*C$2</f>
        <v>70946.774926305894</v>
      </c>
      <c r="D23" s="27">
        <f t="shared" si="7"/>
        <v>116467163.09906149</v>
      </c>
      <c r="E23" s="27">
        <f t="shared" si="7"/>
        <v>2435892.0674784295</v>
      </c>
      <c r="F23" s="27">
        <f t="shared" si="7"/>
        <v>1855658642.4404504</v>
      </c>
    </row>
    <row r="24" spans="1:6">
      <c r="A24" s="11" t="s">
        <v>104</v>
      </c>
      <c r="B24" s="26">
        <f t="shared" si="3"/>
        <v>20061594.236626439</v>
      </c>
      <c r="C24" s="27">
        <f t="shared" ref="C24:F24" si="8">C16*C$2</f>
        <v>237855.21287267556</v>
      </c>
      <c r="D24" s="27">
        <f t="shared" si="8"/>
        <v>335103574.9010933</v>
      </c>
      <c r="E24" s="27">
        <f t="shared" si="8"/>
        <v>2424799.6734001567</v>
      </c>
      <c r="F24" s="27">
        <f t="shared" si="8"/>
        <v>1715600914.4866815</v>
      </c>
    </row>
    <row r="25" spans="1:6">
      <c r="A25" s="13"/>
      <c r="B25" s="13"/>
      <c r="C25" s="14"/>
      <c r="D25" s="13"/>
      <c r="E25" s="13"/>
      <c r="F25" s="13"/>
    </row>
    <row r="26" spans="1:6">
      <c r="A26" s="13"/>
      <c r="B26" s="13"/>
      <c r="C26" s="14"/>
      <c r="D26" s="13"/>
      <c r="E26" s="13"/>
      <c r="F26" s="1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22"/>
  <dimension ref="A1:F39"/>
  <sheetViews>
    <sheetView workbookViewId="0">
      <selection activeCell="B10" sqref="B10:F10"/>
    </sheetView>
  </sheetViews>
  <sheetFormatPr defaultColWidth="8.875" defaultRowHeight="15.75"/>
  <cols>
    <col min="1" max="1" width="18" bestFit="1" customWidth="1"/>
    <col min="2" max="2" width="16.5" bestFit="1" customWidth="1"/>
    <col min="3" max="3" width="20.5" bestFit="1" customWidth="1"/>
    <col min="4" max="4" width="19.625" bestFit="1" customWidth="1"/>
    <col min="5" max="5" width="20.125" bestFit="1" customWidth="1"/>
    <col min="6" max="6" width="19.5" bestFit="1" customWidth="1"/>
  </cols>
  <sheetData>
    <row r="1" spans="1:6">
      <c r="A1" s="11"/>
      <c r="B1" s="15" t="s">
        <v>129</v>
      </c>
      <c r="C1" s="15" t="s">
        <v>130</v>
      </c>
      <c r="D1" s="15" t="s">
        <v>141</v>
      </c>
      <c r="E1" s="15" t="s">
        <v>131</v>
      </c>
      <c r="F1" s="15" t="s">
        <v>142</v>
      </c>
    </row>
    <row r="2" spans="1:6">
      <c r="A2" s="11" t="s">
        <v>122</v>
      </c>
      <c r="B2" s="26">
        <v>14527000</v>
      </c>
      <c r="C2" s="26">
        <v>4538593</v>
      </c>
      <c r="D2" s="26">
        <f>1000*4179181</f>
        <v>4179181000</v>
      </c>
      <c r="E2" s="26">
        <v>1818431</v>
      </c>
      <c r="F2" s="26">
        <f>1000*1862117</f>
        <v>1862117000</v>
      </c>
    </row>
    <row r="3" spans="1:6">
      <c r="A3" s="11" t="s">
        <v>102</v>
      </c>
      <c r="B3" s="26"/>
      <c r="C3" s="26">
        <v>470415</v>
      </c>
      <c r="D3" s="26">
        <v>369711378</v>
      </c>
      <c r="E3" s="26">
        <v>164115</v>
      </c>
      <c r="F3" s="26">
        <v>133977485</v>
      </c>
    </row>
    <row r="4" spans="1:6">
      <c r="A4" s="11" t="s">
        <v>1</v>
      </c>
      <c r="B4" s="26"/>
      <c r="C4" s="26">
        <v>3222.165</v>
      </c>
      <c r="D4" s="26">
        <v>2758735</v>
      </c>
      <c r="E4" s="26">
        <v>47392</v>
      </c>
      <c r="F4" s="26">
        <v>54417525</v>
      </c>
    </row>
    <row r="5" spans="1:6">
      <c r="A5" s="11" t="s">
        <v>2</v>
      </c>
      <c r="B5" s="26"/>
      <c r="C5" s="26">
        <v>744100</v>
      </c>
      <c r="D5" s="26">
        <v>598969250</v>
      </c>
      <c r="E5" s="26">
        <v>61181</v>
      </c>
      <c r="F5" s="26">
        <v>89493438</v>
      </c>
    </row>
    <row r="6" spans="1:6">
      <c r="A6" s="11" t="s">
        <v>103</v>
      </c>
      <c r="B6" s="26"/>
      <c r="C6" s="26">
        <v>1384673</v>
      </c>
      <c r="D6" s="26">
        <v>1148249219</v>
      </c>
      <c r="E6" s="26">
        <v>110926</v>
      </c>
      <c r="F6" s="26">
        <v>146134260</v>
      </c>
    </row>
    <row r="7" spans="1:6">
      <c r="A7" s="11" t="s">
        <v>3</v>
      </c>
      <c r="B7" s="26"/>
      <c r="C7" s="26">
        <v>68698</v>
      </c>
      <c r="D7" s="26">
        <v>73172705</v>
      </c>
      <c r="E7" s="26">
        <v>209279</v>
      </c>
      <c r="F7" s="26">
        <v>205051142</v>
      </c>
    </row>
    <row r="8" spans="1:6">
      <c r="A8" s="11" t="s">
        <v>104</v>
      </c>
      <c r="B8" s="26"/>
      <c r="C8" s="26">
        <v>230316</v>
      </c>
      <c r="D8" s="26">
        <v>210535179</v>
      </c>
      <c r="E8" s="26">
        <v>208326</v>
      </c>
      <c r="F8" s="26">
        <v>189574698</v>
      </c>
    </row>
    <row r="9" spans="1:6">
      <c r="A9" s="11"/>
      <c r="B9" s="11"/>
      <c r="C9" s="11"/>
      <c r="D9" s="11"/>
      <c r="E9" s="11"/>
      <c r="F9" s="11"/>
    </row>
    <row r="10" spans="1:6">
      <c r="A10" s="11" t="s">
        <v>106</v>
      </c>
      <c r="B10" s="42" t="s">
        <v>59</v>
      </c>
      <c r="C10" s="42" t="s">
        <v>159</v>
      </c>
      <c r="D10" s="42" t="s">
        <v>160</v>
      </c>
      <c r="E10" s="42" t="s">
        <v>161</v>
      </c>
      <c r="F10" s="43" t="s">
        <v>162</v>
      </c>
    </row>
    <row r="11" spans="1:6">
      <c r="A11" s="11" t="s">
        <v>102</v>
      </c>
      <c r="B11" s="12">
        <f>(TPO!D3+TPO!L3)/(TPO!$D$9+TPO!$L$9)</f>
        <v>5.3945383438247528E-2</v>
      </c>
      <c r="C11" s="12">
        <f>C3/SUM(C$3:C$8)</f>
        <v>0.16213244711843089</v>
      </c>
      <c r="D11" s="12">
        <f t="shared" ref="D11:E11" si="0">D3/SUM(D$3:D$8)</f>
        <v>0.15382871000693232</v>
      </c>
      <c r="E11" s="12">
        <f t="shared" si="0"/>
        <v>0.20483163779191457</v>
      </c>
      <c r="F11" s="12">
        <f>F3/SUM(F$3:F$8)</f>
        <v>0.16365690176488287</v>
      </c>
    </row>
    <row r="12" spans="1:6">
      <c r="A12" s="11" t="s">
        <v>1</v>
      </c>
      <c r="B12" s="12">
        <f>(TPO!D4+TPO!L4)/(TPO!$D$9+TPO!$L$9)</f>
        <v>9.4941071670289184E-3</v>
      </c>
      <c r="C12" s="12">
        <f t="shared" ref="C12:F16" si="1">C4/SUM(C$3:C$8)</f>
        <v>1.1105459997435431E-3</v>
      </c>
      <c r="D12" s="12">
        <f t="shared" si="1"/>
        <v>1.1478484881819744E-3</v>
      </c>
      <c r="E12" s="12">
        <f t="shared" si="1"/>
        <v>5.9149870385000858E-2</v>
      </c>
      <c r="F12" s="12">
        <f t="shared" si="1"/>
        <v>6.6472389321333036E-2</v>
      </c>
    </row>
    <row r="13" spans="1:6">
      <c r="A13" s="11" t="s">
        <v>2</v>
      </c>
      <c r="B13" s="12">
        <f>(TPO!D5+TPO!L5)/(TPO!$D$9+TPO!$L$9)</f>
        <v>9.7566759612418508E-2</v>
      </c>
      <c r="C13" s="12">
        <f t="shared" si="1"/>
        <v>0.25646026147300666</v>
      </c>
      <c r="D13" s="12">
        <f t="shared" si="1"/>
        <v>0.24921782921519867</v>
      </c>
      <c r="E13" s="12">
        <f t="shared" si="1"/>
        <v>7.6359896607544248E-2</v>
      </c>
      <c r="F13" s="12">
        <f t="shared" si="1"/>
        <v>0.10931850819089219</v>
      </c>
    </row>
    <row r="14" spans="1:6">
      <c r="A14" s="11" t="s">
        <v>103</v>
      </c>
      <c r="B14" s="12">
        <f>(TPO!D6+TPO!L6)/(TPO!$D$9+TPO!$L$9)</f>
        <v>8.7191444124196771E-2</v>
      </c>
      <c r="C14" s="12">
        <f t="shared" si="1"/>
        <v>0.4772390802776677</v>
      </c>
      <c r="D14" s="12">
        <f t="shared" si="1"/>
        <v>0.47776104993240842</v>
      </c>
      <c r="E14" s="12">
        <f t="shared" si="1"/>
        <v>0.13844654208150331</v>
      </c>
      <c r="F14" s="12">
        <f t="shared" si="1"/>
        <v>0.17850671128289841</v>
      </c>
    </row>
    <row r="15" spans="1:6">
      <c r="A15" s="11" t="s">
        <v>3</v>
      </c>
      <c r="B15" s="12">
        <f>(TPO!D7+TPO!L7)/(TPO!$D$9+TPO!$L$9)</f>
        <v>0.39491064130483072</v>
      </c>
      <c r="C15" s="12">
        <f t="shared" si="1"/>
        <v>2.3677337780772224E-2</v>
      </c>
      <c r="D15" s="12">
        <f t="shared" si="1"/>
        <v>3.0445540731688835E-2</v>
      </c>
      <c r="E15" s="12">
        <f t="shared" si="1"/>
        <v>0.2612007453642512</v>
      </c>
      <c r="F15" s="12">
        <f t="shared" si="1"/>
        <v>0.25047517949057668</v>
      </c>
    </row>
    <row r="16" spans="1:6">
      <c r="A16" s="11" t="s">
        <v>104</v>
      </c>
      <c r="B16" s="12">
        <f>(TPO!D8+TPO!L8)/(TPO!$D$9+TPO!$L$9)</f>
        <v>0.35689166435327757</v>
      </c>
      <c r="C16" s="12">
        <f t="shared" si="1"/>
        <v>7.9380327350378976E-2</v>
      </c>
      <c r="D16" s="12">
        <f t="shared" si="1"/>
        <v>8.759902162558976E-2</v>
      </c>
      <c r="E16" s="12">
        <f t="shared" si="1"/>
        <v>0.26001130776978582</v>
      </c>
      <c r="F16" s="12">
        <f t="shared" si="1"/>
        <v>0.23157030994941677</v>
      </c>
    </row>
    <row r="17" spans="1:6">
      <c r="A17" s="11"/>
      <c r="B17" s="11"/>
      <c r="C17" s="11"/>
      <c r="D17" s="11"/>
      <c r="E17" s="11"/>
      <c r="F17" s="11"/>
    </row>
    <row r="18" spans="1:6">
      <c r="A18" s="11" t="s">
        <v>107</v>
      </c>
      <c r="B18" s="42" t="s">
        <v>59</v>
      </c>
      <c r="C18" s="42" t="s">
        <v>159</v>
      </c>
      <c r="D18" s="42" t="s">
        <v>160</v>
      </c>
      <c r="E18" s="42" t="s">
        <v>161</v>
      </c>
      <c r="F18" s="43" t="s">
        <v>162</v>
      </c>
    </row>
    <row r="19" spans="1:6">
      <c r="A19" s="11" t="s">
        <v>102</v>
      </c>
      <c r="B19" s="26">
        <f>B11*$B$2</f>
        <v>783664.5852074218</v>
      </c>
      <c r="C19" s="27">
        <f>C11*C$2</f>
        <v>735853.18956458056</v>
      </c>
      <c r="D19" s="27">
        <f t="shared" ref="D19:F19" si="2">D11*D$2</f>
        <v>642878022.11548138</v>
      </c>
      <c r="E19" s="27">
        <f t="shared" si="2"/>
        <v>372472.19994158903</v>
      </c>
      <c r="F19" s="27">
        <f t="shared" si="2"/>
        <v>304748298.94371837</v>
      </c>
    </row>
    <row r="20" spans="1:6">
      <c r="A20" s="11" t="s">
        <v>1</v>
      </c>
      <c r="B20" s="26">
        <f t="shared" ref="B20:B24" si="3">B12*$B$2</f>
        <v>137920.89481542908</v>
      </c>
      <c r="C20" s="27">
        <f t="shared" ref="C20:F24" si="4">C12*C$2</f>
        <v>5040.3163006140467</v>
      </c>
      <c r="D20" s="27">
        <f t="shared" si="4"/>
        <v>4797066.5926888315</v>
      </c>
      <c r="E20" s="27">
        <f t="shared" si="4"/>
        <v>107559.95795406749</v>
      </c>
      <c r="F20" s="27">
        <f t="shared" si="4"/>
        <v>123779366.1858727</v>
      </c>
    </row>
    <row r="21" spans="1:6">
      <c r="A21" s="11" t="s">
        <v>2</v>
      </c>
      <c r="B21" s="26">
        <f t="shared" si="3"/>
        <v>1417352.3168896036</v>
      </c>
      <c r="C21" s="27">
        <f t="shared" si="4"/>
        <v>1163968.7474995577</v>
      </c>
      <c r="D21" s="27">
        <f t="shared" si="4"/>
        <v>1041526416.7174032</v>
      </c>
      <c r="E21" s="27">
        <f t="shared" si="4"/>
        <v>138855.20314795329</v>
      </c>
      <c r="F21" s="27">
        <f t="shared" si="4"/>
        <v>203563852.51689959</v>
      </c>
    </row>
    <row r="22" spans="1:6">
      <c r="A22" s="11" t="s">
        <v>103</v>
      </c>
      <c r="B22" s="26">
        <f t="shared" si="3"/>
        <v>1266630.1087922065</v>
      </c>
      <c r="C22" s="27">
        <f t="shared" si="4"/>
        <v>2165993.9490746609</v>
      </c>
      <c r="D22" s="27">
        <f>D14*D$2</f>
        <v>1996649902.4175725</v>
      </c>
      <c r="E22" s="27">
        <f t="shared" si="4"/>
        <v>251755.48396381014</v>
      </c>
      <c r="F22" s="27">
        <f t="shared" si="4"/>
        <v>332400381.69397694</v>
      </c>
    </row>
    <row r="23" spans="1:6">
      <c r="A23" s="11" t="s">
        <v>3</v>
      </c>
      <c r="B23" s="26">
        <f t="shared" si="3"/>
        <v>5736866.8862352762</v>
      </c>
      <c r="C23" s="27">
        <f t="shared" si="4"/>
        <v>107461.79951044836</v>
      </c>
      <c r="D23" s="27">
        <f>D15*D$2</f>
        <v>127237425.36060007</v>
      </c>
      <c r="E23" s="27">
        <f t="shared" si="4"/>
        <v>474975.5325934607</v>
      </c>
      <c r="F23" s="27">
        <f t="shared" si="4"/>
        <v>466414089.80745417</v>
      </c>
    </row>
    <row r="24" spans="1:6">
      <c r="A24" s="11" t="s">
        <v>104</v>
      </c>
      <c r="B24" s="26">
        <f t="shared" si="3"/>
        <v>5184565.2080600634</v>
      </c>
      <c r="C24" s="27">
        <f t="shared" si="4"/>
        <v>360274.99805013859</v>
      </c>
      <c r="D24" s="27">
        <f t="shared" si="4"/>
        <v>366092166.79625386</v>
      </c>
      <c r="E24" s="27">
        <f t="shared" si="4"/>
        <v>472812.62239911937</v>
      </c>
      <c r="F24" s="27">
        <f t="shared" si="4"/>
        <v>431211010.85207808</v>
      </c>
    </row>
    <row r="25" spans="1:6">
      <c r="A25" s="13"/>
      <c r="B25" s="26"/>
      <c r="C25" s="14"/>
      <c r="D25" s="13"/>
      <c r="E25" s="13"/>
      <c r="F25" s="13"/>
    </row>
    <row r="26" spans="1:6">
      <c r="A26" s="13"/>
      <c r="B26" s="26"/>
      <c r="C26" s="14"/>
      <c r="D26" s="13"/>
      <c r="E26" s="13"/>
      <c r="F26" s="13"/>
    </row>
    <row r="27" spans="1:6">
      <c r="D27" s="21"/>
      <c r="F27" s="21"/>
    </row>
    <row r="28" spans="1:6">
      <c r="C28" s="21"/>
      <c r="D28" s="21"/>
      <c r="F28" s="21"/>
    </row>
    <row r="29" spans="1:6">
      <c r="D29" s="21"/>
      <c r="F29" s="21"/>
    </row>
    <row r="30" spans="1:6">
      <c r="D30" s="21"/>
      <c r="F30" s="21"/>
    </row>
    <row r="31" spans="1:6">
      <c r="D31" s="21"/>
      <c r="F31" s="21"/>
    </row>
    <row r="32" spans="1:6">
      <c r="D32" s="21"/>
      <c r="F32" s="21"/>
    </row>
    <row r="33" spans="4:6">
      <c r="D33" s="21"/>
      <c r="F33" s="21"/>
    </row>
    <row r="34" spans="4:6">
      <c r="D34" s="21"/>
      <c r="F34" s="21"/>
    </row>
    <row r="35" spans="4:6">
      <c r="D35" s="21"/>
      <c r="F35" s="21"/>
    </row>
    <row r="36" spans="4:6">
      <c r="D36" s="21"/>
      <c r="F36" s="21"/>
    </row>
    <row r="37" spans="4:6">
      <c r="D37" s="21"/>
      <c r="F37" s="21"/>
    </row>
    <row r="38" spans="4:6">
      <c r="D38" s="21"/>
      <c r="F38" s="21"/>
    </row>
    <row r="39" spans="4:6">
      <c r="F39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G49" sqref="G49"/>
    </sheetView>
  </sheetViews>
  <sheetFormatPr defaultColWidth="11" defaultRowHeight="15.75"/>
  <sheetData>
    <row r="1" spans="1:2">
      <c r="A1" s="49" t="s">
        <v>132</v>
      </c>
      <c r="B1" s="49" t="s">
        <v>173</v>
      </c>
    </row>
    <row r="2" spans="1:2">
      <c r="A2" s="11" t="s">
        <v>102</v>
      </c>
      <c r="B2" s="50">
        <v>18.72</v>
      </c>
    </row>
    <row r="3" spans="1:2">
      <c r="A3" s="11" t="s">
        <v>1</v>
      </c>
      <c r="B3" s="50">
        <v>8.36</v>
      </c>
    </row>
    <row r="4" spans="1:2">
      <c r="A4" s="11" t="s">
        <v>2</v>
      </c>
      <c r="B4" s="50">
        <v>18.36</v>
      </c>
    </row>
    <row r="5" spans="1:2">
      <c r="A5" s="11" t="s">
        <v>103</v>
      </c>
      <c r="B5" s="50">
        <v>23.3</v>
      </c>
    </row>
    <row r="6" spans="1:2">
      <c r="A6" s="11" t="s">
        <v>3</v>
      </c>
      <c r="B6" s="50">
        <v>16.11</v>
      </c>
    </row>
    <row r="7" spans="1:2">
      <c r="A7" s="11" t="s">
        <v>104</v>
      </c>
      <c r="B7" s="50">
        <v>14.48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23"/>
  <dimension ref="A1:F26"/>
  <sheetViews>
    <sheetView workbookViewId="0">
      <selection activeCell="Q24" sqref="Q24"/>
    </sheetView>
  </sheetViews>
  <sheetFormatPr defaultColWidth="8.875" defaultRowHeight="15.75"/>
  <cols>
    <col min="1" max="1" width="18" bestFit="1" customWidth="1"/>
    <col min="2" max="2" width="16.5" bestFit="1" customWidth="1"/>
    <col min="3" max="3" width="20.5" bestFit="1" customWidth="1"/>
    <col min="4" max="4" width="19.625" bestFit="1" customWidth="1"/>
    <col min="5" max="5" width="20.125" bestFit="1" customWidth="1"/>
    <col min="6" max="6" width="19.5" bestFit="1" customWidth="1"/>
  </cols>
  <sheetData>
    <row r="1" spans="1:6">
      <c r="A1" s="11"/>
      <c r="B1" s="15" t="s">
        <v>129</v>
      </c>
      <c r="C1" s="15" t="s">
        <v>130</v>
      </c>
      <c r="D1" s="15" t="s">
        <v>141</v>
      </c>
      <c r="E1" s="15" t="s">
        <v>131</v>
      </c>
      <c r="F1" s="15" t="s">
        <v>142</v>
      </c>
    </row>
    <row r="2" spans="1:6">
      <c r="A2" s="11" t="s">
        <v>122</v>
      </c>
      <c r="B2" s="26">
        <v>6517000</v>
      </c>
      <c r="C2" s="26">
        <v>207000</v>
      </c>
      <c r="D2" s="26">
        <f>1000*45782</f>
        <v>45782000</v>
      </c>
      <c r="E2" s="26">
        <v>4669000</v>
      </c>
      <c r="F2" s="26">
        <f>1000*682978</f>
        <v>682978000</v>
      </c>
    </row>
    <row r="3" spans="1:6">
      <c r="A3" s="11" t="s">
        <v>102</v>
      </c>
      <c r="B3" s="26"/>
      <c r="C3" s="26">
        <v>4983</v>
      </c>
      <c r="D3" s="26">
        <v>1167467</v>
      </c>
      <c r="E3" s="26">
        <v>11439</v>
      </c>
      <c r="F3" s="26">
        <v>2611509</v>
      </c>
    </row>
    <row r="4" spans="1:6">
      <c r="A4" s="11" t="s">
        <v>1</v>
      </c>
      <c r="B4" s="26"/>
      <c r="C4" s="26">
        <v>17801</v>
      </c>
      <c r="D4" s="26">
        <v>1648061</v>
      </c>
      <c r="E4" s="26">
        <v>1830</v>
      </c>
      <c r="F4" s="26">
        <v>775913</v>
      </c>
    </row>
    <row r="5" spans="1:6">
      <c r="A5" s="11" t="s">
        <v>2</v>
      </c>
      <c r="B5" s="26"/>
      <c r="C5" s="26">
        <v>2972</v>
      </c>
      <c r="D5" s="26">
        <v>403278</v>
      </c>
      <c r="E5" s="26">
        <v>3253</v>
      </c>
      <c r="F5" s="26">
        <v>942192</v>
      </c>
    </row>
    <row r="6" spans="1:6">
      <c r="A6" s="11" t="s">
        <v>103</v>
      </c>
      <c r="B6" s="26"/>
      <c r="C6" s="26">
        <v>201846</v>
      </c>
      <c r="D6" s="26">
        <v>39677935</v>
      </c>
      <c r="E6" s="26">
        <v>13408</v>
      </c>
      <c r="F6" s="26">
        <v>2694893</v>
      </c>
    </row>
    <row r="7" spans="1:6">
      <c r="A7" s="11" t="s">
        <v>3</v>
      </c>
      <c r="B7" s="26"/>
      <c r="C7" s="26">
        <v>1</v>
      </c>
      <c r="D7" s="26">
        <v>2040</v>
      </c>
      <c r="E7" s="26">
        <v>1470419</v>
      </c>
      <c r="F7" s="26">
        <v>209744517</v>
      </c>
    </row>
    <row r="8" spans="1:6">
      <c r="A8" s="11" t="s">
        <v>104</v>
      </c>
      <c r="B8" s="26"/>
      <c r="C8" s="26">
        <v>766</v>
      </c>
      <c r="D8" s="26">
        <v>464615</v>
      </c>
      <c r="E8" s="26">
        <v>3644653</v>
      </c>
      <c r="F8" s="26">
        <v>465717701</v>
      </c>
    </row>
    <row r="9" spans="1:6">
      <c r="A9" s="11"/>
      <c r="B9" s="11"/>
      <c r="C9" s="11"/>
      <c r="D9" s="11"/>
      <c r="E9" s="11"/>
      <c r="F9" s="11"/>
    </row>
    <row r="10" spans="1:6">
      <c r="A10" s="11" t="s">
        <v>106</v>
      </c>
      <c r="B10" s="42" t="s">
        <v>59</v>
      </c>
      <c r="C10" s="42" t="s">
        <v>159</v>
      </c>
      <c r="D10" s="42" t="s">
        <v>160</v>
      </c>
      <c r="E10" s="42" t="s">
        <v>161</v>
      </c>
      <c r="F10" s="43" t="s">
        <v>162</v>
      </c>
    </row>
    <row r="11" spans="1:6">
      <c r="A11" s="11" t="s">
        <v>102</v>
      </c>
      <c r="B11" s="12">
        <v>2.2233227508949463E-3</v>
      </c>
      <c r="C11" s="12">
        <f>C3/SUM(C$3:C$8)</f>
        <v>2.1819949292592251E-2</v>
      </c>
      <c r="D11" s="12">
        <f t="shared" ref="D11:F11" si="0">D3/SUM(D$3:D$8)</f>
        <v>2.6922868310406314E-2</v>
      </c>
      <c r="E11" s="44">
        <f t="shared" si="0"/>
        <v>2.2233227508949463E-3</v>
      </c>
      <c r="F11" s="12">
        <f t="shared" si="0"/>
        <v>3.8264612399603816E-3</v>
      </c>
    </row>
    <row r="12" spans="1:6">
      <c r="A12" s="11" t="s">
        <v>1</v>
      </c>
      <c r="B12" s="12">
        <v>3.5568499293100374E-4</v>
      </c>
      <c r="C12" s="12">
        <f t="shared" ref="C12:F16" si="1">C4/SUM(C$3:C$8)</f>
        <v>7.7948408058887156E-2</v>
      </c>
      <c r="D12" s="12">
        <f t="shared" si="1"/>
        <v>3.8005810246042535E-2</v>
      </c>
      <c r="E12" s="44">
        <f t="shared" si="1"/>
        <v>3.5568499293100374E-4</v>
      </c>
      <c r="F12" s="12">
        <f t="shared" si="1"/>
        <v>1.1368909776230446E-3</v>
      </c>
    </row>
    <row r="13" spans="1:6">
      <c r="A13" s="11" t="s">
        <v>2</v>
      </c>
      <c r="B13" s="12">
        <v>6.3226408852707933E-4</v>
      </c>
      <c r="C13" s="12">
        <f t="shared" si="1"/>
        <v>1.3014025546374508E-2</v>
      </c>
      <c r="D13" s="12">
        <f t="shared" si="1"/>
        <v>9.2999634991687459E-3</v>
      </c>
      <c r="E13" s="44">
        <f t="shared" si="1"/>
        <v>6.3226408852707933E-4</v>
      </c>
      <c r="F13" s="12">
        <f t="shared" si="1"/>
        <v>1.3805279509282763E-3</v>
      </c>
    </row>
    <row r="14" spans="1:6">
      <c r="A14" s="11" t="s">
        <v>103</v>
      </c>
      <c r="B14" s="12">
        <v>2.6060242542179772E-3</v>
      </c>
      <c r="C14" s="12">
        <f t="shared" si="1"/>
        <v>0.88385901764249963</v>
      </c>
      <c r="D14" s="12">
        <f t="shared" si="1"/>
        <v>0.91500986223495961</v>
      </c>
      <c r="E14" s="44">
        <f t="shared" si="1"/>
        <v>2.6060242542179772E-3</v>
      </c>
      <c r="F14" s="12">
        <f t="shared" si="1"/>
        <v>3.948637975339374E-3</v>
      </c>
    </row>
    <row r="15" spans="1:6">
      <c r="A15" s="11" t="s">
        <v>3</v>
      </c>
      <c r="B15" s="12">
        <v>0.2857956129074391</v>
      </c>
      <c r="C15" s="12">
        <f t="shared" si="1"/>
        <v>4.3788780438676004E-6</v>
      </c>
      <c r="D15" s="12">
        <f t="shared" si="1"/>
        <v>4.7044285922624693E-5</v>
      </c>
      <c r="E15" s="44">
        <f t="shared" si="1"/>
        <v>0.2857956129074391</v>
      </c>
      <c r="F15" s="12">
        <f t="shared" si="1"/>
        <v>0.30732395124608469</v>
      </c>
    </row>
    <row r="16" spans="1:6">
      <c r="A16" s="11" t="s">
        <v>104</v>
      </c>
      <c r="B16" s="12">
        <v>0.70838709100598984</v>
      </c>
      <c r="C16" s="12">
        <f t="shared" si="1"/>
        <v>3.3542205816025818E-3</v>
      </c>
      <c r="D16" s="12">
        <f t="shared" si="1"/>
        <v>1.0714451423500134E-2</v>
      </c>
      <c r="E16" s="44">
        <f t="shared" si="1"/>
        <v>0.70838709100598984</v>
      </c>
      <c r="F16" s="12">
        <f t="shared" si="1"/>
        <v>0.68238353061006429</v>
      </c>
    </row>
    <row r="17" spans="1:6">
      <c r="A17" s="11"/>
      <c r="B17" s="11"/>
      <c r="C17" s="11"/>
      <c r="D17" s="11"/>
      <c r="E17" s="11"/>
      <c r="F17" s="11"/>
    </row>
    <row r="18" spans="1:6">
      <c r="A18" s="11" t="s">
        <v>107</v>
      </c>
      <c r="B18" s="42" t="s">
        <v>59</v>
      </c>
      <c r="C18" s="42" t="s">
        <v>159</v>
      </c>
      <c r="D18" s="42" t="s">
        <v>160</v>
      </c>
      <c r="E18" s="42" t="s">
        <v>161</v>
      </c>
      <c r="F18" s="43" t="s">
        <v>162</v>
      </c>
    </row>
    <row r="19" spans="1:6">
      <c r="A19" s="11" t="s">
        <v>102</v>
      </c>
      <c r="B19" s="26">
        <f>B11*$B$2</f>
        <v>14489.394367582365</v>
      </c>
      <c r="C19" s="27">
        <f>C$2*C11</f>
        <v>4516.7295035665957</v>
      </c>
      <c r="D19" s="27">
        <f t="shared" ref="D19:E19" si="2">D$2*D11</f>
        <v>1232582.7569870218</v>
      </c>
      <c r="E19" s="27">
        <f t="shared" si="2"/>
        <v>10380.693923928504</v>
      </c>
      <c r="F19" s="27">
        <f>F$2*F11</f>
        <v>2613388.8447456616</v>
      </c>
    </row>
    <row r="20" spans="1:6">
      <c r="A20" s="11" t="s">
        <v>1</v>
      </c>
      <c r="B20" s="26">
        <f t="shared" ref="B20:B24" si="3">B12*$B$2</f>
        <v>2317.9990989313515</v>
      </c>
      <c r="C20" s="27">
        <f t="shared" ref="C20:E24" si="4">C$2*C12</f>
        <v>16135.32046818964</v>
      </c>
      <c r="D20" s="27">
        <f t="shared" si="4"/>
        <v>1739982.0046843193</v>
      </c>
      <c r="E20" s="27">
        <f t="shared" si="4"/>
        <v>1660.6932319948564</v>
      </c>
      <c r="F20" s="27">
        <f t="shared" ref="F20" si="5">F$2*F12</f>
        <v>776471.5261150318</v>
      </c>
    </row>
    <row r="21" spans="1:6">
      <c r="A21" s="11" t="s">
        <v>2</v>
      </c>
      <c r="B21" s="26">
        <f t="shared" si="3"/>
        <v>4120.465064930976</v>
      </c>
      <c r="C21" s="27">
        <f t="shared" si="4"/>
        <v>2693.9032880995233</v>
      </c>
      <c r="D21" s="27">
        <f t="shared" si="4"/>
        <v>425770.92891894351</v>
      </c>
      <c r="E21" s="27">
        <f t="shared" si="4"/>
        <v>2952.0410293329332</v>
      </c>
      <c r="F21" s="27">
        <f t="shared" ref="F21" si="6">F$2*F13</f>
        <v>942870.21886909229</v>
      </c>
    </row>
    <row r="22" spans="1:6">
      <c r="A22" s="11" t="s">
        <v>103</v>
      </c>
      <c r="B22" s="26">
        <f t="shared" si="3"/>
        <v>16983.460064738556</v>
      </c>
      <c r="C22" s="27">
        <f t="shared" si="4"/>
        <v>182958.81665199742</v>
      </c>
      <c r="D22" s="27">
        <f t="shared" si="4"/>
        <v>41890981.512840919</v>
      </c>
      <c r="E22" s="27">
        <f t="shared" si="4"/>
        <v>12167.527242943735</v>
      </c>
      <c r="F22" s="27">
        <f t="shared" ref="F22" si="7">F$2*F14</f>
        <v>2696832.8671213351</v>
      </c>
    </row>
    <row r="23" spans="1:6">
      <c r="A23" s="11" t="s">
        <v>3</v>
      </c>
      <c r="B23" s="26">
        <f t="shared" si="3"/>
        <v>1862530.0093177806</v>
      </c>
      <c r="C23" s="27">
        <f t="shared" si="4"/>
        <v>0.90642775508059326</v>
      </c>
      <c r="D23" s="27">
        <f t="shared" si="4"/>
        <v>2153.7814981096035</v>
      </c>
      <c r="E23" s="27">
        <f t="shared" si="4"/>
        <v>1334379.7166648332</v>
      </c>
      <c r="F23" s="27">
        <f t="shared" ref="F23" si="8">F$2*F15</f>
        <v>209895497.57414842</v>
      </c>
    </row>
    <row r="24" spans="1:6">
      <c r="A24" s="11" t="s">
        <v>104</v>
      </c>
      <c r="B24" s="26">
        <f t="shared" si="3"/>
        <v>4616558.6720860358</v>
      </c>
      <c r="C24" s="27">
        <f t="shared" si="4"/>
        <v>694.32366039173439</v>
      </c>
      <c r="D24" s="27">
        <f t="shared" si="4"/>
        <v>490529.01507068315</v>
      </c>
      <c r="E24" s="27">
        <f t="shared" si="4"/>
        <v>3307459.3279069667</v>
      </c>
      <c r="F24" s="27">
        <f t="shared" ref="F24" si="9">F$2*F16</f>
        <v>466052938.96900052</v>
      </c>
    </row>
    <row r="25" spans="1:6">
      <c r="A25" s="13"/>
      <c r="B25" s="13"/>
      <c r="C25" s="14"/>
      <c r="D25" s="13"/>
      <c r="E25" s="13"/>
      <c r="F25" s="13"/>
    </row>
    <row r="26" spans="1:6">
      <c r="A26" s="13"/>
      <c r="B26" s="13"/>
      <c r="C26" s="14"/>
      <c r="D26" s="13"/>
      <c r="E26" s="13"/>
      <c r="F26" s="1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4"/>
  <dimension ref="A1:F27"/>
  <sheetViews>
    <sheetView tabSelected="1" workbookViewId="0">
      <selection activeCell="J27" sqref="J27"/>
    </sheetView>
  </sheetViews>
  <sheetFormatPr defaultColWidth="8.875" defaultRowHeight="15.75"/>
  <cols>
    <col min="1" max="1" width="18" bestFit="1" customWidth="1"/>
    <col min="2" max="2" width="16.5" bestFit="1" customWidth="1"/>
    <col min="3" max="3" width="20.5" bestFit="1" customWidth="1"/>
    <col min="4" max="4" width="19.625" bestFit="1" customWidth="1"/>
    <col min="5" max="5" width="20.125" bestFit="1" customWidth="1"/>
    <col min="6" max="6" width="19.5" bestFit="1" customWidth="1"/>
  </cols>
  <sheetData>
    <row r="1" spans="1:6">
      <c r="A1" s="11"/>
      <c r="B1" s="15" t="s">
        <v>129</v>
      </c>
      <c r="C1" s="15" t="s">
        <v>130</v>
      </c>
      <c r="D1" s="15" t="s">
        <v>141</v>
      </c>
      <c r="E1" s="15" t="s">
        <v>131</v>
      </c>
      <c r="F1" s="15" t="s">
        <v>142</v>
      </c>
    </row>
    <row r="2" spans="1:6">
      <c r="A2" s="11" t="s">
        <v>122</v>
      </c>
      <c r="B2" s="26">
        <v>47209647</v>
      </c>
      <c r="C2" s="26">
        <v>712000</v>
      </c>
      <c r="D2" s="26">
        <f>1000*99767</f>
        <v>99767000</v>
      </c>
      <c r="E2" s="26">
        <v>19586000</v>
      </c>
      <c r="F2" s="26">
        <f>1000*3055473</f>
        <v>3055473000</v>
      </c>
    </row>
    <row r="3" spans="1:6">
      <c r="A3" s="11" t="s">
        <v>102</v>
      </c>
      <c r="B3" s="26"/>
      <c r="C3" s="26">
        <v>177201</v>
      </c>
      <c r="D3" s="26">
        <v>23914247</v>
      </c>
      <c r="E3" s="26">
        <v>10104912</v>
      </c>
      <c r="F3" s="26">
        <v>1537945496</v>
      </c>
    </row>
    <row r="4" spans="1:6">
      <c r="A4" s="11" t="s">
        <v>1</v>
      </c>
      <c r="B4" s="26"/>
      <c r="C4" s="26">
        <v>75095</v>
      </c>
      <c r="D4" s="26">
        <v>11371953</v>
      </c>
      <c r="E4" s="26">
        <v>55478</v>
      </c>
      <c r="F4" s="26">
        <v>8354400</v>
      </c>
    </row>
    <row r="5" spans="1:6">
      <c r="A5" s="11" t="s">
        <v>2</v>
      </c>
      <c r="B5" s="26"/>
      <c r="C5" s="26">
        <v>34768</v>
      </c>
      <c r="D5" s="26">
        <v>6354482</v>
      </c>
      <c r="E5" s="26">
        <v>201945</v>
      </c>
      <c r="F5" s="26">
        <v>30386138</v>
      </c>
    </row>
    <row r="6" spans="1:6">
      <c r="A6" s="11" t="s">
        <v>103</v>
      </c>
      <c r="B6" s="26"/>
      <c r="C6" s="26">
        <v>414387</v>
      </c>
      <c r="D6" s="26">
        <v>55863184</v>
      </c>
      <c r="E6" s="26">
        <v>5117725</v>
      </c>
      <c r="F6" s="26">
        <v>795301553</v>
      </c>
    </row>
    <row r="7" spans="1:6">
      <c r="A7" s="11" t="s">
        <v>3</v>
      </c>
      <c r="B7" s="26"/>
      <c r="C7" s="26">
        <v>10320</v>
      </c>
      <c r="D7" s="26">
        <v>2225248</v>
      </c>
      <c r="E7" s="26">
        <v>1233244</v>
      </c>
      <c r="F7" s="26">
        <v>234454868</v>
      </c>
    </row>
    <row r="8" spans="1:6">
      <c r="A8" s="11" t="s">
        <v>104</v>
      </c>
      <c r="B8" s="26"/>
      <c r="C8" s="26">
        <v>354</v>
      </c>
      <c r="D8" s="26">
        <v>57968</v>
      </c>
      <c r="E8" s="26">
        <v>2502696</v>
      </c>
      <c r="F8" s="26">
        <v>403804772</v>
      </c>
    </row>
    <row r="9" spans="1:6">
      <c r="A9" s="11"/>
      <c r="B9" s="11"/>
      <c r="C9" s="11"/>
      <c r="D9" s="11"/>
      <c r="E9" s="11"/>
      <c r="F9" s="11"/>
    </row>
    <row r="10" spans="1:6">
      <c r="A10" s="11" t="s">
        <v>106</v>
      </c>
      <c r="B10" s="42" t="s">
        <v>59</v>
      </c>
      <c r="C10" s="42" t="s">
        <v>159</v>
      </c>
      <c r="D10" s="42" t="s">
        <v>160</v>
      </c>
      <c r="E10" s="42" t="s">
        <v>161</v>
      </c>
      <c r="F10" s="43" t="s">
        <v>162</v>
      </c>
    </row>
    <row r="11" spans="1:6">
      <c r="A11" s="11" t="s">
        <v>102</v>
      </c>
      <c r="B11" s="12">
        <f>(TPO!D3+TPO!L3)/(TPO!$D$9+TPO!$L$9)</f>
        <v>5.3945383438247528E-2</v>
      </c>
      <c r="C11" s="12">
        <f>C3/SUM(C$3:C$8)</f>
        <v>0.24883412322274881</v>
      </c>
      <c r="D11" s="12">
        <f t="shared" ref="D11:F11" si="0">D3/SUM(D$3:D$8)</f>
        <v>0.23965273380776883</v>
      </c>
      <c r="E11" s="12">
        <v>5.3945383438247528E-2</v>
      </c>
      <c r="F11" s="12">
        <f t="shared" si="0"/>
        <v>0.51090338434850424</v>
      </c>
    </row>
    <row r="12" spans="1:6">
      <c r="A12" s="11" t="s">
        <v>1</v>
      </c>
      <c r="B12" s="12">
        <f>(TPO!D4+TPO!L4)/(TPO!$D$9+TPO!$L$9)</f>
        <v>9.4941071670289184E-3</v>
      </c>
      <c r="C12" s="12">
        <f t="shared" ref="C12:F16" si="1">C4/SUM(C$3:C$8)</f>
        <v>0.10545199227663683</v>
      </c>
      <c r="D12" s="12">
        <f t="shared" si="1"/>
        <v>0.11396217598586558</v>
      </c>
      <c r="E12" s="12">
        <v>9.4941071670289184E-3</v>
      </c>
      <c r="F12" s="12">
        <f t="shared" si="1"/>
        <v>2.7753202212317824E-3</v>
      </c>
    </row>
    <row r="13" spans="1:6">
      <c r="A13" s="11" t="s">
        <v>2</v>
      </c>
      <c r="B13" s="12">
        <f>(TPO!D5+TPO!L5)/(TPO!$D$9+TPO!$L$9)</f>
        <v>9.7566759612418508E-2</v>
      </c>
      <c r="C13" s="12">
        <f t="shared" si="1"/>
        <v>4.8822889239950852E-2</v>
      </c>
      <c r="D13" s="12">
        <f t="shared" si="1"/>
        <v>6.3680407049080762E-2</v>
      </c>
      <c r="E13" s="12">
        <v>9.7566759612418508E-2</v>
      </c>
      <c r="F13" s="12">
        <f t="shared" si="1"/>
        <v>1.0094233366434391E-2</v>
      </c>
    </row>
    <row r="14" spans="1:6">
      <c r="A14" s="11" t="s">
        <v>103</v>
      </c>
      <c r="B14" s="12">
        <f>(TPO!D6+TPO!L6)/(TPO!$D$9+TPO!$L$9)</f>
        <v>8.7191444124196771E-2</v>
      </c>
      <c r="C14" s="12">
        <f t="shared" si="1"/>
        <v>0.58190205371248027</v>
      </c>
      <c r="D14" s="12">
        <f t="shared" si="1"/>
        <v>0.55982380565051493</v>
      </c>
      <c r="E14" s="12">
        <v>8.7191444124196771E-2</v>
      </c>
      <c r="F14" s="12">
        <f t="shared" si="1"/>
        <v>0.26419808508306286</v>
      </c>
    </row>
    <row r="15" spans="1:6">
      <c r="A15" s="11" t="s">
        <v>3</v>
      </c>
      <c r="B15" s="12">
        <f>(TPO!D7+TPO!L7)/(TPO!$D$9+TPO!$L$9)</f>
        <v>0.39491064130483072</v>
      </c>
      <c r="C15" s="12">
        <f t="shared" si="1"/>
        <v>1.4491837809373354E-2</v>
      </c>
      <c r="D15" s="12">
        <f t="shared" si="1"/>
        <v>2.2299960630174556E-2</v>
      </c>
      <c r="E15" s="12">
        <v>0.39491064130483072</v>
      </c>
      <c r="F15" s="12">
        <f t="shared" si="1"/>
        <v>7.7885585574862151E-2</v>
      </c>
    </row>
    <row r="16" spans="1:6">
      <c r="A16" s="11" t="s">
        <v>104</v>
      </c>
      <c r="B16" s="12">
        <f>(TPO!D8+TPO!L8)/(TPO!$D$9+TPO!$L$9)</f>
        <v>0.35689166435327757</v>
      </c>
      <c r="C16" s="12">
        <f t="shared" si="1"/>
        <v>4.9710373880989991E-4</v>
      </c>
      <c r="D16" s="12">
        <f t="shared" si="1"/>
        <v>5.8091687659530915E-4</v>
      </c>
      <c r="E16" s="12">
        <v>0.35689166435327757</v>
      </c>
      <c r="F16" s="12">
        <f t="shared" si="1"/>
        <v>0.13414339140590462</v>
      </c>
    </row>
    <row r="17" spans="1:6">
      <c r="A17" s="11"/>
      <c r="B17" s="11"/>
      <c r="C17" s="11"/>
      <c r="D17" s="11"/>
      <c r="E17" s="11"/>
      <c r="F17" s="11"/>
    </row>
    <row r="18" spans="1:6">
      <c r="A18" s="11" t="s">
        <v>107</v>
      </c>
      <c r="B18" s="42" t="s">
        <v>59</v>
      </c>
      <c r="C18" s="42" t="s">
        <v>159</v>
      </c>
      <c r="D18" s="42" t="s">
        <v>160</v>
      </c>
      <c r="E18" s="42" t="s">
        <v>161</v>
      </c>
      <c r="F18" s="43" t="s">
        <v>162</v>
      </c>
    </row>
    <row r="19" spans="1:6">
      <c r="A19" s="11" t="s">
        <v>102</v>
      </c>
      <c r="B19" s="26">
        <f>B11*$B$2</f>
        <v>2546742.5093993121</v>
      </c>
      <c r="C19" s="27">
        <f>C$2*C11</f>
        <v>177169.89573459714</v>
      </c>
      <c r="D19" s="27">
        <f t="shared" ref="D19:F19" si="2">D$2*D11</f>
        <v>23909434.293799672</v>
      </c>
      <c r="E19" s="27">
        <f t="shared" si="2"/>
        <v>1056574.2800215161</v>
      </c>
      <c r="F19" s="27">
        <f t="shared" si="2"/>
        <v>1561051496.4854772</v>
      </c>
    </row>
    <row r="20" spans="1:6">
      <c r="A20" s="11" t="s">
        <v>1</v>
      </c>
      <c r="B20" s="26">
        <f t="shared" ref="B20:B24" si="3">B12*$B$2</f>
        <v>448213.44793560525</v>
      </c>
      <c r="C20" s="27">
        <f t="shared" ref="C20:F24" si="4">C$2*C12</f>
        <v>75081.818500965426</v>
      </c>
      <c r="D20" s="27">
        <f t="shared" si="4"/>
        <v>11369664.411581852</v>
      </c>
      <c r="E20" s="27">
        <f t="shared" si="4"/>
        <v>185951.58297342839</v>
      </c>
      <c r="F20" s="27">
        <f t="shared" si="4"/>
        <v>8479916.0023277383</v>
      </c>
    </row>
    <row r="21" spans="1:6">
      <c r="A21" s="11" t="s">
        <v>2</v>
      </c>
      <c r="B21" s="26">
        <f t="shared" si="3"/>
        <v>4606092.2802361343</v>
      </c>
      <c r="C21" s="27">
        <f t="shared" si="4"/>
        <v>34761.897138845008</v>
      </c>
      <c r="D21" s="27">
        <f t="shared" si="4"/>
        <v>6353203.1700656405</v>
      </c>
      <c r="E21" s="27">
        <f t="shared" si="4"/>
        <v>1910942.553768829</v>
      </c>
      <c r="F21" s="27">
        <f t="shared" si="4"/>
        <v>30842657.506839387</v>
      </c>
    </row>
    <row r="22" spans="1:6">
      <c r="A22" s="11" t="s">
        <v>103</v>
      </c>
      <c r="B22" s="26">
        <f t="shared" si="3"/>
        <v>4116277.2985235536</v>
      </c>
      <c r="C22" s="27">
        <f t="shared" si="4"/>
        <v>414314.26224328595</v>
      </c>
      <c r="D22" s="27">
        <f t="shared" si="4"/>
        <v>55851941.618334919</v>
      </c>
      <c r="E22" s="27">
        <f t="shared" si="4"/>
        <v>1707731.6246165179</v>
      </c>
      <c r="F22" s="27">
        <f t="shared" si="4"/>
        <v>807250115.62300134</v>
      </c>
    </row>
    <row r="23" spans="1:6">
      <c r="A23" s="11" t="s">
        <v>3</v>
      </c>
      <c r="B23" s="26">
        <f t="shared" si="3"/>
        <v>18643591.972544678</v>
      </c>
      <c r="C23" s="27">
        <f t="shared" si="4"/>
        <v>10318.188520273829</v>
      </c>
      <c r="D23" s="27">
        <f t="shared" si="4"/>
        <v>2224800.1721906248</v>
      </c>
      <c r="E23" s="27">
        <f t="shared" si="4"/>
        <v>7734719.8205964146</v>
      </c>
      <c r="F23" s="27">
        <f t="shared" si="4"/>
        <v>237977303.81318077</v>
      </c>
    </row>
    <row r="24" spans="1:6">
      <c r="A24" s="11" t="s">
        <v>104</v>
      </c>
      <c r="B24" s="26">
        <f t="shared" si="3"/>
        <v>16848729.491360717</v>
      </c>
      <c r="C24" s="27">
        <f t="shared" si="4"/>
        <v>353.93786203264875</v>
      </c>
      <c r="D24" s="27">
        <f t="shared" si="4"/>
        <v>57956.334027284211</v>
      </c>
      <c r="E24" s="27">
        <f t="shared" si="4"/>
        <v>6990080.1380232945</v>
      </c>
      <c r="F24" s="27">
        <f t="shared" si="4"/>
        <v>409871510.56917357</v>
      </c>
    </row>
    <row r="25" spans="1:6">
      <c r="A25" s="13"/>
      <c r="B25" s="13"/>
      <c r="C25" s="14"/>
      <c r="D25" s="13"/>
      <c r="E25" s="13"/>
      <c r="F25" s="13"/>
    </row>
    <row r="26" spans="1:6">
      <c r="A26" s="13"/>
      <c r="B26" s="13"/>
      <c r="C26" s="14"/>
      <c r="D26" s="13"/>
      <c r="E26" s="13"/>
      <c r="F26" s="13"/>
    </row>
    <row r="27" spans="1:6">
      <c r="A27" s="13"/>
      <c r="B27" s="13"/>
      <c r="C27" s="13"/>
      <c r="D27" s="13"/>
      <c r="E27" s="13"/>
      <c r="F27" s="1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25"/>
  <dimension ref="A1:F36"/>
  <sheetViews>
    <sheetView workbookViewId="0">
      <selection activeCell="R29" sqref="R29"/>
    </sheetView>
  </sheetViews>
  <sheetFormatPr defaultColWidth="8.875" defaultRowHeight="15.75"/>
  <cols>
    <col min="1" max="1" width="18" bestFit="1" customWidth="1"/>
    <col min="2" max="2" width="13.5" bestFit="1" customWidth="1"/>
    <col min="3" max="3" width="17.5" bestFit="1" customWidth="1"/>
    <col min="4" max="4" width="19.625" bestFit="1" customWidth="1"/>
    <col min="5" max="5" width="17.125" bestFit="1" customWidth="1"/>
    <col min="6" max="6" width="19.5" bestFit="1" customWidth="1"/>
  </cols>
  <sheetData>
    <row r="1" spans="1:6">
      <c r="A1" s="11"/>
      <c r="B1" s="15" t="s">
        <v>128</v>
      </c>
      <c r="C1" s="15" t="s">
        <v>126</v>
      </c>
      <c r="D1" s="15" t="s">
        <v>141</v>
      </c>
      <c r="E1" s="15" t="s">
        <v>127</v>
      </c>
      <c r="F1" s="15" t="s">
        <v>142</v>
      </c>
    </row>
    <row r="2" spans="1:6">
      <c r="A2" s="11" t="s">
        <v>122</v>
      </c>
      <c r="B2" s="26">
        <v>64064000</v>
      </c>
      <c r="C2" s="26">
        <v>298400</v>
      </c>
      <c r="D2" s="26">
        <f>1000*30021</f>
        <v>30021000</v>
      </c>
      <c r="E2" s="26">
        <v>7316800</v>
      </c>
      <c r="F2" s="26">
        <f>1000*302295</f>
        <v>302295000</v>
      </c>
    </row>
    <row r="3" spans="1:6">
      <c r="A3" s="11" t="s">
        <v>102</v>
      </c>
      <c r="B3" s="26"/>
      <c r="C3" s="26"/>
      <c r="D3" s="26"/>
    </row>
    <row r="4" spans="1:6">
      <c r="A4" s="11" t="s">
        <v>1</v>
      </c>
      <c r="B4" s="26"/>
      <c r="C4" s="26"/>
      <c r="D4" s="26"/>
      <c r="E4" s="26"/>
      <c r="F4" s="26"/>
    </row>
    <row r="5" spans="1:6">
      <c r="A5" s="11" t="s">
        <v>2</v>
      </c>
      <c r="B5" s="26"/>
      <c r="C5" s="26"/>
      <c r="D5" s="26"/>
      <c r="E5" s="26"/>
      <c r="F5" s="26"/>
    </row>
    <row r="6" spans="1:6">
      <c r="A6" s="11" t="s">
        <v>103</v>
      </c>
      <c r="B6" s="26"/>
      <c r="C6" s="26"/>
      <c r="D6" s="26"/>
      <c r="E6" s="26"/>
      <c r="F6" s="26"/>
    </row>
    <row r="7" spans="1:6">
      <c r="A7" s="11" t="s">
        <v>3</v>
      </c>
      <c r="B7" s="26"/>
      <c r="C7" s="26"/>
      <c r="D7" s="26"/>
      <c r="E7" s="26"/>
      <c r="F7" s="26"/>
    </row>
    <row r="8" spans="1:6">
      <c r="A8" s="11" t="s">
        <v>104</v>
      </c>
      <c r="B8" s="26"/>
      <c r="C8" s="26"/>
      <c r="D8" s="26"/>
      <c r="E8" s="26"/>
      <c r="F8" s="26"/>
    </row>
    <row r="9" spans="1:6">
      <c r="A9" s="11"/>
      <c r="B9" s="11"/>
      <c r="C9" s="11"/>
      <c r="D9" s="11"/>
      <c r="E9" s="11"/>
      <c r="F9" s="11"/>
    </row>
    <row r="10" spans="1:6">
      <c r="A10" s="11" t="s">
        <v>106</v>
      </c>
      <c r="B10" s="42" t="s">
        <v>59</v>
      </c>
      <c r="C10" s="42" t="s">
        <v>159</v>
      </c>
      <c r="D10" s="42" t="s">
        <v>160</v>
      </c>
      <c r="E10" s="42" t="s">
        <v>161</v>
      </c>
      <c r="F10" s="43" t="s">
        <v>162</v>
      </c>
    </row>
    <row r="11" spans="1:6">
      <c r="A11" s="11" t="s">
        <v>102</v>
      </c>
      <c r="B11" s="12">
        <f>(TPO!I3+TPO!Q3)/(TPO!$I$9+TPO!$Q$9)</f>
        <v>0.17667106800266963</v>
      </c>
      <c r="C11" s="12">
        <v>2.1819949292592251E-2</v>
      </c>
      <c r="D11" s="12">
        <v>2.6922868310406314E-2</v>
      </c>
      <c r="E11" s="12">
        <v>2.2233227508949463E-3</v>
      </c>
      <c r="F11" s="12">
        <v>3.8264612399603816E-3</v>
      </c>
    </row>
    <row r="12" spans="1:6">
      <c r="A12" s="11" t="s">
        <v>1</v>
      </c>
      <c r="B12" s="12">
        <f>(TPO!I4+TPO!Q4)/(TPO!$I$9+TPO!$Q$9)</f>
        <v>4.0499681965121222E-2</v>
      </c>
      <c r="C12" s="12">
        <v>7.7948408058887156E-2</v>
      </c>
      <c r="D12" s="12">
        <v>3.8005810246042535E-2</v>
      </c>
      <c r="E12" s="12">
        <v>3.5568499293100374E-4</v>
      </c>
      <c r="F12" s="12">
        <v>1.1368909776230446E-3</v>
      </c>
    </row>
    <row r="13" spans="1:6">
      <c r="A13" s="11" t="s">
        <v>2</v>
      </c>
      <c r="B13" s="12">
        <f>(TPO!I5+TPO!Q5)/(TPO!$I$9+TPO!$Q$9)</f>
        <v>0.12019158471457367</v>
      </c>
      <c r="C13" s="12">
        <v>1.3014025546374508E-2</v>
      </c>
      <c r="D13" s="12">
        <v>9.2999634991687459E-3</v>
      </c>
      <c r="E13" s="12">
        <v>6.3226408852707933E-4</v>
      </c>
      <c r="F13" s="12">
        <v>1.3805279509282763E-3</v>
      </c>
    </row>
    <row r="14" spans="1:6">
      <c r="A14" s="11" t="s">
        <v>103</v>
      </c>
      <c r="B14" s="12">
        <f>(TPO!I6+TPO!Q6)/(TPO!$I$9+TPO!$Q$9)</f>
        <v>0.1092198360319319</v>
      </c>
      <c r="C14" s="12">
        <v>0.88385901764249963</v>
      </c>
      <c r="D14" s="12">
        <v>0.91500986223495961</v>
      </c>
      <c r="E14" s="12">
        <v>2.6060242542179772E-3</v>
      </c>
      <c r="F14" s="12">
        <v>3.948637975339374E-3</v>
      </c>
    </row>
    <row r="15" spans="1:6">
      <c r="A15" s="11" t="s">
        <v>3</v>
      </c>
      <c r="B15" s="12">
        <f>(TPO!I7+TPO!Q7)/(TPO!$I$9+TPO!$Q$9)</f>
        <v>0.29469565104264661</v>
      </c>
      <c r="C15" s="12">
        <v>4.3788780438676004E-6</v>
      </c>
      <c r="D15" s="12">
        <v>4.7044285922624693E-5</v>
      </c>
      <c r="E15" s="12">
        <v>0.2857956129074391</v>
      </c>
      <c r="F15" s="12">
        <v>0.30732395124608469</v>
      </c>
    </row>
    <row r="16" spans="1:6">
      <c r="A16" s="11" t="s">
        <v>104</v>
      </c>
      <c r="B16" s="12">
        <f>(TPO!I8+TPO!Q8)/(TPO!$I$9+TPO!$Q$9)</f>
        <v>0.25872217824305699</v>
      </c>
      <c r="C16" s="12">
        <v>3.3542205816025818E-3</v>
      </c>
      <c r="D16" s="12">
        <v>1.0714451423500134E-2</v>
      </c>
      <c r="E16" s="12">
        <v>0.70838709100598984</v>
      </c>
      <c r="F16" s="12">
        <v>0.68238353061006429</v>
      </c>
    </row>
    <row r="17" spans="1:6">
      <c r="A17" s="11"/>
      <c r="B17" s="11"/>
      <c r="C17" s="11"/>
      <c r="D17" s="11"/>
      <c r="E17" s="11"/>
      <c r="F17" s="11"/>
    </row>
    <row r="18" spans="1:6">
      <c r="A18" s="11" t="s">
        <v>107</v>
      </c>
      <c r="B18" s="42" t="s">
        <v>59</v>
      </c>
      <c r="C18" s="42" t="s">
        <v>159</v>
      </c>
      <c r="D18" s="42" t="s">
        <v>160</v>
      </c>
      <c r="E18" s="42" t="s">
        <v>161</v>
      </c>
      <c r="F18" s="43" t="s">
        <v>162</v>
      </c>
    </row>
    <row r="19" spans="1:6">
      <c r="A19" s="11" t="s">
        <v>102</v>
      </c>
      <c r="B19" s="26">
        <f>B11*$B$2</f>
        <v>11318255.300523028</v>
      </c>
      <c r="C19" s="27"/>
      <c r="D19" s="26"/>
      <c r="E19" s="26"/>
      <c r="F19" s="26"/>
    </row>
    <row r="20" spans="1:6">
      <c r="A20" s="11" t="s">
        <v>1</v>
      </c>
      <c r="B20" s="26">
        <f t="shared" ref="B20:B24" si="0">B12*$B$2</f>
        <v>2594571.6254135258</v>
      </c>
      <c r="C20" s="27"/>
      <c r="D20" s="26"/>
      <c r="E20" s="26"/>
      <c r="F20" s="26"/>
    </row>
    <row r="21" spans="1:6">
      <c r="A21" s="11" t="s">
        <v>2</v>
      </c>
      <c r="B21" s="26">
        <f t="shared" si="0"/>
        <v>7699953.6831544479</v>
      </c>
      <c r="C21" s="27"/>
      <c r="D21" s="26"/>
      <c r="E21" s="26"/>
      <c r="F21" s="26"/>
    </row>
    <row r="22" spans="1:6">
      <c r="A22" s="11" t="s">
        <v>103</v>
      </c>
      <c r="B22" s="26">
        <f t="shared" si="0"/>
        <v>6997059.5755496854</v>
      </c>
      <c r="C22" s="27"/>
      <c r="D22" s="26"/>
      <c r="E22" s="26"/>
      <c r="F22" s="26"/>
    </row>
    <row r="23" spans="1:6">
      <c r="A23" s="11" t="s">
        <v>3</v>
      </c>
      <c r="B23" s="26">
        <f t="shared" si="0"/>
        <v>18879382.188396111</v>
      </c>
      <c r="C23" s="27"/>
      <c r="D23" s="26"/>
      <c r="E23" s="26"/>
      <c r="F23" s="26"/>
    </row>
    <row r="24" spans="1:6">
      <c r="A24" s="11" t="s">
        <v>104</v>
      </c>
      <c r="B24" s="26">
        <f t="shared" si="0"/>
        <v>16574777.626963204</v>
      </c>
      <c r="C24" s="27"/>
      <c r="D24" s="26"/>
      <c r="E24" s="26"/>
      <c r="F24" s="26"/>
    </row>
    <row r="36" ht="1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"/>
  <sheetViews>
    <sheetView workbookViewId="0">
      <selection activeCell="J34" sqref="J34"/>
    </sheetView>
  </sheetViews>
  <sheetFormatPr defaultColWidth="11" defaultRowHeight="15.75"/>
  <sheetData>
    <row r="1" spans="1:20">
      <c r="B1">
        <v>2010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  <c r="K1">
        <v>2055</v>
      </c>
      <c r="L1">
        <v>2060</v>
      </c>
      <c r="M1">
        <v>2065</v>
      </c>
      <c r="N1">
        <v>2070</v>
      </c>
      <c r="O1">
        <v>2075</v>
      </c>
      <c r="P1">
        <v>2080</v>
      </c>
      <c r="Q1">
        <v>2085</v>
      </c>
      <c r="R1">
        <v>2090</v>
      </c>
      <c r="S1">
        <v>2095</v>
      </c>
      <c r="T1">
        <v>2100</v>
      </c>
    </row>
    <row r="2" spans="1:20">
      <c r="A2" t="s">
        <v>102</v>
      </c>
      <c r="B2">
        <v>40437.966308902251</v>
      </c>
      <c r="C2">
        <v>42294.463966754396</v>
      </c>
      <c r="D2">
        <v>44236.193001656568</v>
      </c>
      <c r="E2">
        <v>55692.519009287047</v>
      </c>
      <c r="F2">
        <v>57873.076417769058</v>
      </c>
      <c r="G2">
        <v>59817.694548792279</v>
      </c>
      <c r="H2">
        <v>61850.169344309965</v>
      </c>
      <c r="I2">
        <v>63727.78846334845</v>
      </c>
      <c r="J2">
        <v>65726.729013078773</v>
      </c>
      <c r="K2">
        <v>67477.950224051456</v>
      </c>
      <c r="L2">
        <v>68998.67601426148</v>
      </c>
      <c r="M2">
        <v>70635.366495377355</v>
      </c>
      <c r="N2">
        <v>72065.929335810928</v>
      </c>
      <c r="O2">
        <v>73525.465056856119</v>
      </c>
      <c r="P2">
        <v>75014.560440014044</v>
      </c>
      <c r="Q2">
        <v>76533.814150744991</v>
      </c>
      <c r="R2">
        <v>78083.836979151631</v>
      </c>
      <c r="S2">
        <v>79665.252085536849</v>
      </c>
      <c r="T2">
        <v>81278.695250934717</v>
      </c>
    </row>
    <row r="3" spans="1:20">
      <c r="A3" t="s">
        <v>1</v>
      </c>
      <c r="B3">
        <v>43636.921871154278</v>
      </c>
      <c r="C3">
        <v>45656.685675124376</v>
      </c>
      <c r="D3">
        <v>47769.935583267295</v>
      </c>
      <c r="E3">
        <v>32650.347906896812</v>
      </c>
      <c r="F3">
        <v>34441.185280881866</v>
      </c>
      <c r="G3">
        <v>36110.349838046175</v>
      </c>
      <c r="H3">
        <v>37851.766846123748</v>
      </c>
      <c r="I3">
        <v>39507.390556982027</v>
      </c>
      <c r="J3">
        <v>41243.534664036903</v>
      </c>
      <c r="K3">
        <v>42827.253033993482</v>
      </c>
      <c r="L3">
        <v>44247.517642475585</v>
      </c>
      <c r="M3">
        <v>45733.756340960499</v>
      </c>
      <c r="N3">
        <v>47078.6885733046</v>
      </c>
      <c r="O3">
        <v>48463.172394110246</v>
      </c>
      <c r="P3">
        <v>49888.370931237863</v>
      </c>
      <c r="Q3">
        <v>51355.481517657528</v>
      </c>
      <c r="R3">
        <v>52865.736697348264</v>
      </c>
      <c r="S3">
        <v>54420.405260778738</v>
      </c>
      <c r="T3">
        <v>56020.793310839195</v>
      </c>
    </row>
    <row r="4" spans="1:20">
      <c r="A4" t="s">
        <v>2</v>
      </c>
      <c r="B4">
        <v>47088.939533787125</v>
      </c>
      <c r="C4">
        <v>49286.189050076624</v>
      </c>
      <c r="D4">
        <v>51585.965942956776</v>
      </c>
      <c r="E4">
        <v>66201.338341682698</v>
      </c>
      <c r="F4">
        <v>67391.879820383459</v>
      </c>
      <c r="G4">
        <v>68475.499487755864</v>
      </c>
      <c r="H4">
        <v>69805.606442766017</v>
      </c>
      <c r="I4">
        <v>71078.311074763886</v>
      </c>
      <c r="J4">
        <v>72588.281867365469</v>
      </c>
      <c r="K4">
        <v>73914.137796260315</v>
      </c>
      <c r="L4">
        <v>75066.235384451851</v>
      </c>
      <c r="M4">
        <v>76417.283610626982</v>
      </c>
      <c r="N4">
        <v>77603.918607403044</v>
      </c>
      <c r="O4">
        <v>78808.980098148037</v>
      </c>
      <c r="P4">
        <v>80032.754216071349</v>
      </c>
      <c r="Q4">
        <v>81275.531537561474</v>
      </c>
      <c r="R4">
        <v>82537.607151181364</v>
      </c>
      <c r="S4">
        <v>83819.280727735008</v>
      </c>
      <c r="T4">
        <v>85120.85659142214</v>
      </c>
    </row>
    <row r="5" spans="1:20">
      <c r="A5" t="s">
        <v>103</v>
      </c>
      <c r="B5">
        <v>50814.0384641208</v>
      </c>
      <c r="C5">
        <v>53204.221794911879</v>
      </c>
      <c r="D5">
        <v>55706.834220643439</v>
      </c>
      <c r="E5">
        <v>66853.839911651798</v>
      </c>
      <c r="F5">
        <v>67952.922902080478</v>
      </c>
      <c r="G5">
        <v>68893.910692289486</v>
      </c>
      <c r="H5">
        <v>70050.325602354089</v>
      </c>
      <c r="I5">
        <v>71115.591869476964</v>
      </c>
      <c r="J5">
        <v>72396.975091591958</v>
      </c>
      <c r="K5">
        <v>73480.167302777627</v>
      </c>
      <c r="L5">
        <v>74375.744632730013</v>
      </c>
      <c r="M5">
        <v>75459.973758558641</v>
      </c>
      <c r="N5">
        <v>76371.041941955904</v>
      </c>
      <c r="O5">
        <v>77293.109933509157</v>
      </c>
      <c r="P5">
        <v>78226.31053972138</v>
      </c>
      <c r="Q5">
        <v>79170.778170538848</v>
      </c>
      <c r="R5">
        <v>80126.648858710148</v>
      </c>
      <c r="S5">
        <v>81094.060279379191</v>
      </c>
      <c r="T5">
        <v>82073.151769914737</v>
      </c>
    </row>
    <row r="6" spans="1:20">
      <c r="A6" t="s">
        <v>3</v>
      </c>
      <c r="B6">
        <v>54833.821500279526</v>
      </c>
      <c r="C6">
        <v>57433.720710807829</v>
      </c>
      <c r="D6">
        <v>60156.891940684101</v>
      </c>
      <c r="E6">
        <v>57407.418616672476</v>
      </c>
      <c r="F6">
        <v>60111.788239201021</v>
      </c>
      <c r="G6">
        <v>62657.077194662896</v>
      </c>
      <c r="H6">
        <v>65363.211963829606</v>
      </c>
      <c r="I6">
        <v>67957.39703941351</v>
      </c>
      <c r="J6">
        <v>70719.57293056295</v>
      </c>
      <c r="K6">
        <v>73239.871002919856</v>
      </c>
      <c r="L6">
        <v>75522.38774042252</v>
      </c>
      <c r="M6">
        <v>77940.91751374364</v>
      </c>
      <c r="N6">
        <v>80130.420310934976</v>
      </c>
      <c r="O6">
        <v>82381.430242656294</v>
      </c>
      <c r="P6">
        <v>84695.675156710757</v>
      </c>
      <c r="Q6">
        <v>87074.931439303618</v>
      </c>
      <c r="R6">
        <v>89521.025378574734</v>
      </c>
      <c r="S6">
        <v>92035.834566435049</v>
      </c>
      <c r="T6">
        <v>94621.289339783296</v>
      </c>
    </row>
    <row r="7" spans="1:20">
      <c r="A7" t="s">
        <v>104</v>
      </c>
      <c r="B7">
        <v>59171.600431789084</v>
      </c>
      <c r="C7">
        <v>61999.445972584937</v>
      </c>
      <c r="D7">
        <v>64962.435912792753</v>
      </c>
      <c r="E7">
        <v>68123.746063652696</v>
      </c>
      <c r="F7">
        <v>71500.037198143924</v>
      </c>
      <c r="G7">
        <v>74658.704905839404</v>
      </c>
      <c r="H7">
        <v>77983.129827981669</v>
      </c>
      <c r="I7">
        <v>81147.172572033363</v>
      </c>
      <c r="J7">
        <v>84489.587790262667</v>
      </c>
      <c r="K7">
        <v>87525.882186329371</v>
      </c>
      <c r="L7">
        <v>90261.841945490814</v>
      </c>
      <c r="M7">
        <v>93147.432852546859</v>
      </c>
      <c r="N7">
        <v>95748.405860981613</v>
      </c>
      <c r="O7">
        <v>98422.00632015153</v>
      </c>
      <c r="P7">
        <v>101170.26221980632</v>
      </c>
      <c r="Q7">
        <v>103995.25817762876</v>
      </c>
      <c r="R7">
        <v>106899.13702046713</v>
      </c>
      <c r="S7">
        <v>109884.10140972027</v>
      </c>
      <c r="T7">
        <v>112952.41551210918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7"/>
  <sheetViews>
    <sheetView workbookViewId="0">
      <selection activeCell="L13" sqref="L13"/>
    </sheetView>
  </sheetViews>
  <sheetFormatPr defaultColWidth="11" defaultRowHeight="15.75"/>
  <sheetData>
    <row r="1" spans="1:20">
      <c r="B1">
        <v>2010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  <c r="K1">
        <v>2055</v>
      </c>
      <c r="L1">
        <v>2060</v>
      </c>
      <c r="M1">
        <v>2065</v>
      </c>
      <c r="N1">
        <v>2070</v>
      </c>
      <c r="O1">
        <v>2075</v>
      </c>
      <c r="P1">
        <v>2080</v>
      </c>
      <c r="Q1">
        <v>2085</v>
      </c>
      <c r="R1">
        <v>2090</v>
      </c>
      <c r="S1">
        <v>2095</v>
      </c>
      <c r="T1">
        <v>2100</v>
      </c>
    </row>
    <row r="2" spans="1:20">
      <c r="A2" t="s">
        <v>102</v>
      </c>
      <c r="B2">
        <v>40437.966308902251</v>
      </c>
      <c r="C2">
        <v>42294.463966754396</v>
      </c>
      <c r="D2">
        <v>44236.193001656568</v>
      </c>
      <c r="E2">
        <v>55093.839321409861</v>
      </c>
      <c r="F2">
        <v>56957.593992678769</v>
      </c>
      <c r="G2">
        <v>58627.423476168944</v>
      </c>
      <c r="H2">
        <v>60403.136259470833</v>
      </c>
      <c r="I2">
        <v>62295.39933697693</v>
      </c>
      <c r="J2">
        <v>64340.021684162595</v>
      </c>
      <c r="K2">
        <v>65774.394150512962</v>
      </c>
      <c r="L2">
        <v>66906.731946281609</v>
      </c>
      <c r="M2">
        <v>68200.035562796736</v>
      </c>
      <c r="N2">
        <v>68878.813289248617</v>
      </c>
      <c r="O2">
        <v>69564.346718950881</v>
      </c>
      <c r="P2">
        <v>70256.70308971146</v>
      </c>
      <c r="Q2">
        <v>70955.950308539221</v>
      </c>
      <c r="R2">
        <v>71662.156958304317</v>
      </c>
      <c r="S2">
        <v>72375.392304464913</v>
      </c>
      <c r="T2">
        <v>73095.726301860763</v>
      </c>
    </row>
    <row r="3" spans="1:20">
      <c r="A3" t="s">
        <v>1</v>
      </c>
      <c r="B3">
        <v>43636.921871154278</v>
      </c>
      <c r="C3">
        <v>45656.685675124376</v>
      </c>
      <c r="D3">
        <v>47769.935583267295</v>
      </c>
      <c r="E3">
        <v>32305.650440586352</v>
      </c>
      <c r="F3">
        <v>33905.507291205402</v>
      </c>
      <c r="G3">
        <v>35402.36375872694</v>
      </c>
      <c r="H3">
        <v>36975.663524027463</v>
      </c>
      <c r="I3">
        <v>38621.198811775939</v>
      </c>
      <c r="J3">
        <v>40365.992495339837</v>
      </c>
      <c r="K3">
        <v>41731.322229610763</v>
      </c>
      <c r="L3">
        <v>42882.776888526219</v>
      </c>
      <c r="M3">
        <v>44125.146729054846</v>
      </c>
      <c r="N3">
        <v>44957.298604827229</v>
      </c>
      <c r="O3">
        <v>45805.143952365361</v>
      </c>
      <c r="P3">
        <v>46668.978733335876</v>
      </c>
      <c r="Q3">
        <v>47549.104490917904</v>
      </c>
      <c r="R3">
        <v>48445.828455064184</v>
      </c>
      <c r="S3">
        <v>49359.463649747478</v>
      </c>
      <c r="T3">
        <v>50290.329002229359</v>
      </c>
    </row>
    <row r="4" spans="1:20">
      <c r="A4" t="s">
        <v>2</v>
      </c>
      <c r="B4">
        <v>47088.939533787125</v>
      </c>
      <c r="C4">
        <v>49286.189050076624</v>
      </c>
      <c r="D4">
        <v>51585.965942956776</v>
      </c>
      <c r="E4">
        <v>65489.516386552656</v>
      </c>
      <c r="F4">
        <v>66325.279962441389</v>
      </c>
      <c r="G4">
        <v>67110.29596678348</v>
      </c>
      <c r="H4">
        <v>68162.280105002792</v>
      </c>
      <c r="I4">
        <v>69463.596427580895</v>
      </c>
      <c r="J4">
        <v>71029.0402477139</v>
      </c>
      <c r="K4">
        <v>72007.466538941691</v>
      </c>
      <c r="L4">
        <v>72740.561669869261</v>
      </c>
      <c r="M4">
        <v>73721.459181444588</v>
      </c>
      <c r="N4">
        <v>74100.94567088905</v>
      </c>
      <c r="O4">
        <v>74482.38559420839</v>
      </c>
      <c r="P4">
        <v>74865.789006843363</v>
      </c>
      <c r="Q4">
        <v>75251.166015995768</v>
      </c>
      <c r="R4">
        <v>75638.526780895001</v>
      </c>
      <c r="S4">
        <v>76027.881513065819</v>
      </c>
      <c r="T4">
        <v>76419.240476597493</v>
      </c>
    </row>
    <row r="5" spans="1:20">
      <c r="A5" t="s">
        <v>103</v>
      </c>
      <c r="B5">
        <v>50814.0384641208</v>
      </c>
      <c r="C5">
        <v>53204.221794911879</v>
      </c>
      <c r="D5">
        <v>55706.834220643439</v>
      </c>
      <c r="E5">
        <v>66134.544419006124</v>
      </c>
      <c r="F5">
        <v>66876.896656046913</v>
      </c>
      <c r="G5">
        <v>67520.448126973497</v>
      </c>
      <c r="H5">
        <v>68402.534774556087</v>
      </c>
      <c r="I5">
        <v>69513.4431314908</v>
      </c>
      <c r="J5">
        <v>70866.365161774404</v>
      </c>
      <c r="K5">
        <v>71620.56799457343</v>
      </c>
      <c r="L5">
        <v>72124.601984200504</v>
      </c>
      <c r="M5">
        <v>72864.448001848126</v>
      </c>
      <c r="N5">
        <v>73008.720731100359</v>
      </c>
      <c r="O5">
        <v>73153.279122578504</v>
      </c>
      <c r="P5">
        <v>73298.123741898147</v>
      </c>
      <c r="Q5">
        <v>73443.255155794861</v>
      </c>
      <c r="R5">
        <v>73588.673932126301</v>
      </c>
      <c r="S5">
        <v>73734.380639874507</v>
      </c>
      <c r="T5">
        <v>73880.375849148128</v>
      </c>
    </row>
    <row r="6" spans="1:20">
      <c r="A6" t="s">
        <v>3</v>
      </c>
      <c r="B6">
        <v>54833.821500279526</v>
      </c>
      <c r="C6">
        <v>57433.720710807829</v>
      </c>
      <c r="D6">
        <v>60156.891940684101</v>
      </c>
      <c r="E6">
        <v>56788.608977692733</v>
      </c>
      <c r="F6">
        <v>59157.287453770092</v>
      </c>
      <c r="G6">
        <v>61402.704651596599</v>
      </c>
      <c r="H6">
        <v>63817.151976657151</v>
      </c>
      <c r="I6">
        <v>66399.42196486218</v>
      </c>
      <c r="J6">
        <v>69180.891885526449</v>
      </c>
      <c r="K6">
        <v>71323.657599875398</v>
      </c>
      <c r="L6">
        <v>73144.293226570517</v>
      </c>
      <c r="M6">
        <v>75144.32351221102</v>
      </c>
      <c r="N6">
        <v>76451.634661286153</v>
      </c>
      <c r="O6">
        <v>77781.689543495289</v>
      </c>
      <c r="P6">
        <v>79134.883839237256</v>
      </c>
      <c r="Q6">
        <v>80511.62011269627</v>
      </c>
      <c r="R6">
        <v>81912.307931601536</v>
      </c>
      <c r="S6">
        <v>83337.363989070174</v>
      </c>
      <c r="T6">
        <v>84787.212227570068</v>
      </c>
    </row>
    <row r="7" spans="1:20">
      <c r="A7" t="s">
        <v>104</v>
      </c>
      <c r="B7">
        <v>59171.600431789084</v>
      </c>
      <c r="C7">
        <v>61999.445972584937</v>
      </c>
      <c r="D7">
        <v>64962.435912792753</v>
      </c>
      <c r="E7">
        <v>67390.276325443119</v>
      </c>
      <c r="F7">
        <v>70366.400529325474</v>
      </c>
      <c r="G7">
        <v>73167.006806778256</v>
      </c>
      <c r="H7">
        <v>76142.59320674144</v>
      </c>
      <c r="I7">
        <v>79295.08932794939</v>
      </c>
      <c r="J7">
        <v>82662.689271091091</v>
      </c>
      <c r="K7">
        <v>85251.10545416917</v>
      </c>
      <c r="L7">
        <v>87440.910132594261</v>
      </c>
      <c r="M7">
        <v>89830.878664479009</v>
      </c>
      <c r="N7">
        <v>91385.872674183251</v>
      </c>
      <c r="O7">
        <v>92967.78400236601</v>
      </c>
      <c r="P7">
        <v>94577.078594252525</v>
      </c>
      <c r="Q7">
        <v>96214.230460691353</v>
      </c>
      <c r="R7">
        <v>97879.721817772312</v>
      </c>
      <c r="S7">
        <v>99574.043228861206</v>
      </c>
      <c r="T7">
        <v>101297.69374909303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7"/>
  <sheetViews>
    <sheetView workbookViewId="0">
      <selection activeCell="L13" sqref="L13"/>
    </sheetView>
  </sheetViews>
  <sheetFormatPr defaultColWidth="11" defaultRowHeight="15.75"/>
  <sheetData>
    <row r="1" spans="1:20">
      <c r="B1">
        <v>2010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  <c r="K1">
        <v>2055</v>
      </c>
      <c r="L1">
        <v>2060</v>
      </c>
      <c r="M1">
        <v>2065</v>
      </c>
      <c r="N1">
        <v>2070</v>
      </c>
      <c r="O1">
        <v>2075</v>
      </c>
      <c r="P1">
        <v>2080</v>
      </c>
      <c r="Q1">
        <v>2085</v>
      </c>
      <c r="R1">
        <v>2090</v>
      </c>
      <c r="S1">
        <v>2095</v>
      </c>
      <c r="T1">
        <v>2100</v>
      </c>
    </row>
    <row r="2" spans="1:20">
      <c r="A2" t="s">
        <v>102</v>
      </c>
      <c r="B2">
        <v>40465.981183822354</v>
      </c>
      <c r="C2">
        <v>41400.159940949881</v>
      </c>
      <c r="D2">
        <v>42355.904712906122</v>
      </c>
      <c r="E2">
        <v>52171.567414066805</v>
      </c>
      <c r="F2">
        <v>53119.235401413382</v>
      </c>
      <c r="G2">
        <v>52991.28465282188</v>
      </c>
      <c r="H2">
        <v>52991.183278023098</v>
      </c>
      <c r="I2">
        <v>52646.716321264401</v>
      </c>
      <c r="J2">
        <v>52493.595968645372</v>
      </c>
      <c r="K2">
        <v>52586.205486352883</v>
      </c>
      <c r="L2">
        <v>51746.221582900333</v>
      </c>
      <c r="M2">
        <v>51142.737896390485</v>
      </c>
      <c r="N2">
        <v>50787.318410507141</v>
      </c>
      <c r="O2">
        <v>50434.368933390266</v>
      </c>
      <c r="P2">
        <v>50083.872299567665</v>
      </c>
      <c r="Q2">
        <v>49735.811462859587</v>
      </c>
      <c r="R2">
        <v>49390.16949554973</v>
      </c>
      <c r="S2">
        <v>49046.929587561965</v>
      </c>
      <c r="T2">
        <v>48706.075045642763</v>
      </c>
    </row>
    <row r="3" spans="1:20">
      <c r="A3" t="s">
        <v>1</v>
      </c>
      <c r="B3">
        <v>43667.650369667324</v>
      </c>
      <c r="C3">
        <v>44689.485872210353</v>
      </c>
      <c r="D3">
        <v>45735.232617639544</v>
      </c>
      <c r="E3">
        <v>30609.938370426131</v>
      </c>
      <c r="F3">
        <v>31631.052458954662</v>
      </c>
      <c r="G3">
        <v>32003.415118385987</v>
      </c>
      <c r="H3">
        <v>32431.682924396162</v>
      </c>
      <c r="I3">
        <v>32620.724056694344</v>
      </c>
      <c r="J3">
        <v>32894.554401698631</v>
      </c>
      <c r="K3">
        <v>33292.853244381076</v>
      </c>
      <c r="L3">
        <v>33063.668443971008</v>
      </c>
      <c r="M3">
        <v>32951.325198936102</v>
      </c>
      <c r="N3">
        <v>32968.763409866173</v>
      </c>
      <c r="O3">
        <v>32986.210849293078</v>
      </c>
      <c r="P3">
        <v>33003.667522100644</v>
      </c>
      <c r="Q3">
        <v>33021.133433175281</v>
      </c>
      <c r="R3">
        <v>33038.608587405994</v>
      </c>
      <c r="S3">
        <v>33056.092989684345</v>
      </c>
      <c r="T3">
        <v>33073.586644904521</v>
      </c>
    </row>
    <row r="4" spans="1:20">
      <c r="A4" t="s">
        <v>2</v>
      </c>
      <c r="B4">
        <v>47122.635681198713</v>
      </c>
      <c r="C4">
        <v>48240.15536101957</v>
      </c>
      <c r="D4">
        <v>49384.177171222844</v>
      </c>
      <c r="E4">
        <v>62009.468560410045</v>
      </c>
      <c r="F4">
        <v>61838.397239830891</v>
      </c>
      <c r="G4">
        <v>60622.643000186283</v>
      </c>
      <c r="H4">
        <v>59736.8666761079</v>
      </c>
      <c r="I4">
        <v>58607.891149183015</v>
      </c>
      <c r="J4">
        <v>57807.86002105532</v>
      </c>
      <c r="K4">
        <v>57366.276184559327</v>
      </c>
      <c r="L4">
        <v>55985.201273640167</v>
      </c>
      <c r="M4">
        <v>54932.395424175753</v>
      </c>
      <c r="N4">
        <v>54205.161651095594</v>
      </c>
      <c r="O4">
        <v>53487.555511338629</v>
      </c>
      <c r="P4">
        <v>52779.449547508295</v>
      </c>
      <c r="Q4">
        <v>52080.717989578887</v>
      </c>
      <c r="R4">
        <v>51391.236732556979</v>
      </c>
      <c r="S4">
        <v>50710.883314438521</v>
      </c>
      <c r="T4">
        <v>50039.536894457786</v>
      </c>
    </row>
    <row r="5" spans="1:20">
      <c r="A5" t="s">
        <v>103</v>
      </c>
      <c r="B5">
        <v>50850.979495004576</v>
      </c>
      <c r="C5">
        <v>52072.932678386278</v>
      </c>
      <c r="D5">
        <v>53324.249496396165</v>
      </c>
      <c r="E5">
        <v>62657.430711006316</v>
      </c>
      <c r="F5">
        <v>62425.678312862146</v>
      </c>
      <c r="G5">
        <v>61106.998089293244</v>
      </c>
      <c r="H5">
        <v>60103.115551412004</v>
      </c>
      <c r="I5">
        <v>58843.645632846252</v>
      </c>
      <c r="J5">
        <v>57913.223643896214</v>
      </c>
      <c r="K5">
        <v>57337.342745827344</v>
      </c>
      <c r="L5">
        <v>55826.545589939175</v>
      </c>
      <c r="M5">
        <v>54644.088800406826</v>
      </c>
      <c r="N5">
        <v>53790.735292347432</v>
      </c>
      <c r="O5">
        <v>52950.708243301335</v>
      </c>
      <c r="P5">
        <v>52123.799539622589</v>
      </c>
      <c r="Q5">
        <v>51309.804317687624</v>
      </c>
      <c r="R5">
        <v>50508.520913140965</v>
      </c>
      <c r="S5">
        <v>49719.7508109337</v>
      </c>
      <c r="T5">
        <v>48943.29859614202</v>
      </c>
    </row>
    <row r="6" spans="1:20">
      <c r="A6" t="s">
        <v>3</v>
      </c>
      <c r="B6">
        <v>54874.309940882566</v>
      </c>
      <c r="C6">
        <v>56210.231858391962</v>
      </c>
      <c r="D6">
        <v>57578.676961552446</v>
      </c>
      <c r="E6">
        <v>53745.273445312741</v>
      </c>
      <c r="F6">
        <v>55105.480614454085</v>
      </c>
      <c r="G6">
        <v>55385.180513476502</v>
      </c>
      <c r="H6">
        <v>55813.760947334289</v>
      </c>
      <c r="I6">
        <v>55873.893233532188</v>
      </c>
      <c r="J6">
        <v>56118.609277417258</v>
      </c>
      <c r="K6">
        <v>56607.53202483608</v>
      </c>
      <c r="L6">
        <v>56054.41223799876</v>
      </c>
      <c r="M6">
        <v>55726.743828444531</v>
      </c>
      <c r="N6">
        <v>55641.488245382439</v>
      </c>
      <c r="O6">
        <v>55556.363093670603</v>
      </c>
      <c r="P6">
        <v>55471.368173763891</v>
      </c>
      <c r="Q6">
        <v>55386.503286422449</v>
      </c>
      <c r="R6">
        <v>55301.768232711227</v>
      </c>
      <c r="S6">
        <v>55217.162813999537</v>
      </c>
      <c r="T6">
        <v>55132.686831960564</v>
      </c>
    </row>
    <row r="7" spans="1:20">
      <c r="A7" t="s">
        <v>104</v>
      </c>
      <c r="B7">
        <v>59215.966366662236</v>
      </c>
      <c r="C7">
        <v>60676.247775182674</v>
      </c>
      <c r="D7">
        <v>62172.540109858863</v>
      </c>
      <c r="E7">
        <v>63795.437626701983</v>
      </c>
      <c r="F7">
        <v>65579.426824253896</v>
      </c>
      <c r="G7">
        <v>66048.974101175772</v>
      </c>
      <c r="H7">
        <v>66665.946507254164</v>
      </c>
      <c r="I7">
        <v>66817.05014056887</v>
      </c>
      <c r="J7">
        <v>67166.64925600776</v>
      </c>
      <c r="K7">
        <v>67788.052763655243</v>
      </c>
      <c r="L7">
        <v>67150.242306221713</v>
      </c>
      <c r="M7">
        <v>66767.755842528364</v>
      </c>
      <c r="N7">
        <v>66665.847791962486</v>
      </c>
      <c r="O7">
        <v>66564.095284302617</v>
      </c>
      <c r="P7">
        <v>66462.498082142585</v>
      </c>
      <c r="Q7">
        <v>66361.055948438661</v>
      </c>
      <c r="R7">
        <v>66259.768646508863</v>
      </c>
      <c r="S7">
        <v>66158.635940032444</v>
      </c>
      <c r="T7">
        <v>66057.657593049415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7"/>
  <sheetViews>
    <sheetView workbookViewId="0">
      <selection activeCell="L13" sqref="L13"/>
    </sheetView>
  </sheetViews>
  <sheetFormatPr defaultColWidth="11" defaultRowHeight="15.75"/>
  <sheetData>
    <row r="1" spans="1:20">
      <c r="B1">
        <v>2010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  <c r="K1">
        <v>2055</v>
      </c>
      <c r="L1">
        <v>2060</v>
      </c>
      <c r="M1">
        <v>2065</v>
      </c>
      <c r="N1">
        <v>2070</v>
      </c>
      <c r="O1">
        <v>2075</v>
      </c>
      <c r="P1">
        <v>2080</v>
      </c>
      <c r="Q1">
        <v>2085</v>
      </c>
      <c r="R1">
        <v>2090</v>
      </c>
      <c r="S1">
        <v>2095</v>
      </c>
      <c r="T1">
        <v>2100</v>
      </c>
    </row>
    <row r="2" spans="1:20">
      <c r="A2" t="s">
        <v>102</v>
      </c>
      <c r="B2">
        <v>40438.126708064068</v>
      </c>
      <c r="C2">
        <v>42301.608375109718</v>
      </c>
      <c r="D2">
        <v>44250.963553272362</v>
      </c>
      <c r="E2">
        <v>55093.839321409861</v>
      </c>
      <c r="F2">
        <v>56041.83881982739</v>
      </c>
      <c r="G2">
        <v>57058.407619766869</v>
      </c>
      <c r="H2">
        <v>58258.303807497759</v>
      </c>
      <c r="I2">
        <v>59296.230397983956</v>
      </c>
      <c r="J2">
        <v>60183.816390503562</v>
      </c>
      <c r="K2">
        <v>61220.613245928173</v>
      </c>
      <c r="L2">
        <v>62068.787858674405</v>
      </c>
      <c r="M2">
        <v>62698.544937108913</v>
      </c>
      <c r="N2">
        <v>63171.836758913683</v>
      </c>
      <c r="O2">
        <v>63648.701313527679</v>
      </c>
      <c r="P2">
        <v>64129.165570400059</v>
      </c>
      <c r="Q2">
        <v>64613.256702563966</v>
      </c>
      <c r="R2">
        <v>65101.002088173322</v>
      </c>
      <c r="S2">
        <v>65592.42931205123</v>
      </c>
      <c r="T2">
        <v>66087.566167250043</v>
      </c>
    </row>
    <row r="3" spans="1:20">
      <c r="A3" t="s">
        <v>1</v>
      </c>
      <c r="B3">
        <v>43637.056014274865</v>
      </c>
      <c r="C3">
        <v>45662.662638246722</v>
      </c>
      <c r="D3">
        <v>47782.296737255776</v>
      </c>
      <c r="E3">
        <v>32340.197927386576</v>
      </c>
      <c r="F3">
        <v>33404.293905740386</v>
      </c>
      <c r="G3">
        <v>34517.169061980094</v>
      </c>
      <c r="H3">
        <v>35742.566167569734</v>
      </c>
      <c r="I3">
        <v>36860.363532654774</v>
      </c>
      <c r="J3">
        <v>37870.360985675135</v>
      </c>
      <c r="K3">
        <v>38957.654859616778</v>
      </c>
      <c r="L3">
        <v>39905.466945127482</v>
      </c>
      <c r="M3">
        <v>40690.042835387401</v>
      </c>
      <c r="N3">
        <v>41349.932653679993</v>
      </c>
      <c r="O3">
        <v>42020.524219671592</v>
      </c>
      <c r="P3">
        <v>42701.991088705283</v>
      </c>
      <c r="Q3">
        <v>43394.509630753877</v>
      </c>
      <c r="R3">
        <v>44098.259076066097</v>
      </c>
      <c r="S3">
        <v>44813.421561553012</v>
      </c>
      <c r="T3">
        <v>45540.182177926799</v>
      </c>
    </row>
    <row r="4" spans="1:20">
      <c r="A4" t="s">
        <v>2</v>
      </c>
      <c r="B4">
        <v>47089.042263009425</v>
      </c>
      <c r="C4">
        <v>49290.767876362632</v>
      </c>
      <c r="D4">
        <v>51595.438791712419</v>
      </c>
      <c r="E4">
        <v>65489.516386552656</v>
      </c>
      <c r="F4">
        <v>65258.371091407658</v>
      </c>
      <c r="G4">
        <v>65313.883099870676</v>
      </c>
      <c r="H4">
        <v>65738.578013814753</v>
      </c>
      <c r="I4">
        <v>66104.435796558842</v>
      </c>
      <c r="J4">
        <v>66406.25995073501</v>
      </c>
      <c r="K4">
        <v>66961.9836621289</v>
      </c>
      <c r="L4">
        <v>67386.898499691946</v>
      </c>
      <c r="M4">
        <v>67642.479922963772</v>
      </c>
      <c r="N4">
        <v>67787.28470380044</v>
      </c>
      <c r="O4">
        <v>67932.39947363481</v>
      </c>
      <c r="P4">
        <v>68077.824896071907</v>
      </c>
      <c r="Q4">
        <v>68223.561636137325</v>
      </c>
      <c r="R4">
        <v>68369.610360280334</v>
      </c>
      <c r="S4">
        <v>68515.971736376901</v>
      </c>
      <c r="T4">
        <v>68662.646433732734</v>
      </c>
    </row>
    <row r="5" spans="1:20">
      <c r="A5" t="s">
        <v>103</v>
      </c>
      <c r="B5">
        <v>50814.103969848838</v>
      </c>
      <c r="C5">
        <v>53207.142498222587</v>
      </c>
      <c r="D5">
        <v>55712.878741421337</v>
      </c>
      <c r="E5">
        <v>66134.544419006124</v>
      </c>
      <c r="F5">
        <v>65800.567506136824</v>
      </c>
      <c r="G5">
        <v>65716.730532185844</v>
      </c>
      <c r="H5">
        <v>65976.449301387242</v>
      </c>
      <c r="I5">
        <v>66160.731961019424</v>
      </c>
      <c r="J5">
        <v>66266.507530706251</v>
      </c>
      <c r="K5">
        <v>66618.415033884725</v>
      </c>
      <c r="L5">
        <v>66837.003725227129</v>
      </c>
      <c r="M5">
        <v>66888.17996457321</v>
      </c>
      <c r="N5">
        <v>66826.952653545552</v>
      </c>
      <c r="O5">
        <v>66765.781388049669</v>
      </c>
      <c r="P5">
        <v>66704.666116783264</v>
      </c>
      <c r="Q5">
        <v>66643.606788490986</v>
      </c>
      <c r="R5">
        <v>66582.60335196447</v>
      </c>
      <c r="S5">
        <v>66521.655756042106</v>
      </c>
      <c r="T5">
        <v>66460.763949609231</v>
      </c>
    </row>
    <row r="6" spans="1:20">
      <c r="A6" t="s">
        <v>3</v>
      </c>
      <c r="B6">
        <v>54833.843250342674</v>
      </c>
      <c r="C6">
        <v>57434.690811213331</v>
      </c>
      <c r="D6">
        <v>60158.900289358389</v>
      </c>
      <c r="E6">
        <v>56788.608977692733</v>
      </c>
      <c r="F6">
        <v>58202.560596443393</v>
      </c>
      <c r="G6">
        <v>59750.091406735635</v>
      </c>
      <c r="H6">
        <v>61533.917891542893</v>
      </c>
      <c r="I6">
        <v>63167.893448994408</v>
      </c>
      <c r="J6">
        <v>64649.241819397343</v>
      </c>
      <c r="K6">
        <v>66292.889705940353</v>
      </c>
      <c r="L6">
        <v>67725.148713214556</v>
      </c>
      <c r="M6">
        <v>68904.418356746435</v>
      </c>
      <c r="N6">
        <v>69892.941708395971</v>
      </c>
      <c r="O6">
        <v>70895.646711092864</v>
      </c>
      <c r="P6">
        <v>71912.736819035825</v>
      </c>
      <c r="Q6">
        <v>72944.418405238248</v>
      </c>
      <c r="R6">
        <v>73990.900803402372</v>
      </c>
      <c r="S6">
        <v>75052.396350394192</v>
      </c>
      <c r="T6">
        <v>76129.120429327755</v>
      </c>
    </row>
    <row r="7" spans="1:20">
      <c r="A7" t="s">
        <v>104</v>
      </c>
      <c r="B7">
        <v>59171.571093475308</v>
      </c>
      <c r="C7">
        <v>61998.136973619185</v>
      </c>
      <c r="D7">
        <v>64959.725036327247</v>
      </c>
      <c r="E7">
        <v>67390.276325443119</v>
      </c>
      <c r="F7">
        <v>69232.468042914959</v>
      </c>
      <c r="G7">
        <v>71202.94494293051</v>
      </c>
      <c r="H7">
        <v>73426.567428099734</v>
      </c>
      <c r="I7">
        <v>75447.58454442615</v>
      </c>
      <c r="J7">
        <v>77263.751402362497</v>
      </c>
      <c r="K7">
        <v>79255.363482003493</v>
      </c>
      <c r="L7">
        <v>80980.469093064079</v>
      </c>
      <c r="M7">
        <v>82392.356002243381</v>
      </c>
      <c r="N7">
        <v>83565.849346711446</v>
      </c>
      <c r="O7">
        <v>84756.05645804244</v>
      </c>
      <c r="P7">
        <v>85963.215386161493</v>
      </c>
      <c r="Q7">
        <v>87187.567571478154</v>
      </c>
      <c r="R7">
        <v>88429.357893176231</v>
      </c>
      <c r="S7">
        <v>89688.8347181914</v>
      </c>
      <c r="T7">
        <v>90966.249950886384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7"/>
  <sheetViews>
    <sheetView workbookViewId="0">
      <selection activeCell="L13" sqref="L13"/>
    </sheetView>
  </sheetViews>
  <sheetFormatPr defaultColWidth="11" defaultRowHeight="15.75"/>
  <sheetData>
    <row r="1" spans="1:20">
      <c r="B1">
        <v>2010</v>
      </c>
      <c r="C1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  <c r="K1">
        <v>2055</v>
      </c>
      <c r="L1">
        <v>2060</v>
      </c>
      <c r="M1">
        <v>2065</v>
      </c>
      <c r="N1">
        <v>2070</v>
      </c>
      <c r="O1">
        <v>2075</v>
      </c>
      <c r="P1">
        <v>2080</v>
      </c>
      <c r="Q1">
        <v>2085</v>
      </c>
      <c r="R1">
        <v>2090</v>
      </c>
      <c r="S1">
        <v>2095</v>
      </c>
      <c r="T1">
        <v>2100</v>
      </c>
    </row>
    <row r="2" spans="1:20">
      <c r="A2" t="s">
        <v>102</v>
      </c>
      <c r="B2">
        <v>40608.21024031745</v>
      </c>
      <c r="C2">
        <v>43224.446182119842</v>
      </c>
      <c r="D2">
        <v>46009.236474450656</v>
      </c>
      <c r="E2">
        <v>58649.993715835139</v>
      </c>
      <c r="F2">
        <v>62206.034035928002</v>
      </c>
      <c r="G2">
        <v>65785.709365668008</v>
      </c>
      <c r="H2">
        <v>69347.572649695619</v>
      </c>
      <c r="I2">
        <v>73136.696193204218</v>
      </c>
      <c r="J2">
        <v>77173.581791072545</v>
      </c>
      <c r="K2">
        <v>81358.048123861663</v>
      </c>
      <c r="L2">
        <v>85684.897882871563</v>
      </c>
      <c r="M2">
        <v>90028.493076666127</v>
      </c>
      <c r="N2">
        <v>94323.197041883177</v>
      </c>
      <c r="O2">
        <v>98822.774836690427</v>
      </c>
      <c r="P2">
        <v>103536.99972750877</v>
      </c>
      <c r="Q2">
        <v>108476.11120300293</v>
      </c>
      <c r="R2">
        <v>113650.83721466834</v>
      </c>
      <c r="S2">
        <v>119072.41747837909</v>
      </c>
      <c r="T2">
        <v>124752.62788750917</v>
      </c>
    </row>
    <row r="3" spans="1:20">
      <c r="A3" t="s">
        <v>1</v>
      </c>
      <c r="B3">
        <v>43820.249421157387</v>
      </c>
      <c r="C3">
        <v>46658.932847603377</v>
      </c>
      <c r="D3">
        <v>49681.506683210027</v>
      </c>
      <c r="E3">
        <v>34437.420896725773</v>
      </c>
      <c r="F3">
        <v>37104.081487599877</v>
      </c>
      <c r="G3">
        <v>39846.998226387674</v>
      </c>
      <c r="H3">
        <v>42635.436986032124</v>
      </c>
      <c r="I3">
        <v>45613.624531471658</v>
      </c>
      <c r="J3">
        <v>48793.336901002484</v>
      </c>
      <c r="K3">
        <v>52109.016137077211</v>
      </c>
      <c r="L3">
        <v>55554.918563829262</v>
      </c>
      <c r="M3">
        <v>59046.135469355984</v>
      </c>
      <c r="N3">
        <v>62534.801356835109</v>
      </c>
      <c r="O3">
        <v>66229.590635417058</v>
      </c>
      <c r="P3">
        <v>70142.681843755316</v>
      </c>
      <c r="Q3">
        <v>74286.973073985093</v>
      </c>
      <c r="R3">
        <v>78676.124485626468</v>
      </c>
      <c r="S3">
        <v>83324.603331367587</v>
      </c>
      <c r="T3">
        <v>88247.731643138919</v>
      </c>
    </row>
    <row r="4" spans="1:20">
      <c r="A4" t="s">
        <v>2</v>
      </c>
      <c r="B4">
        <v>47286.355344613825</v>
      </c>
      <c r="C4">
        <v>50366.31366667962</v>
      </c>
      <c r="D4">
        <v>53646.882570731061</v>
      </c>
      <c r="E4">
        <v>69722.384830497394</v>
      </c>
      <c r="F4">
        <v>72457.813655820093</v>
      </c>
      <c r="G4">
        <v>75357.396986313077</v>
      </c>
      <c r="H4">
        <v>78357.079784776972</v>
      </c>
      <c r="I4">
        <v>81718.258759199598</v>
      </c>
      <c r="J4">
        <v>85440.908305611956</v>
      </c>
      <c r="K4">
        <v>89402.018669429599</v>
      </c>
      <c r="L4">
        <v>93589.199174240726</v>
      </c>
      <c r="M4">
        <v>97870.306558312092</v>
      </c>
      <c r="N4">
        <v>102177.5059250175</v>
      </c>
      <c r="O4">
        <v>106674.26193088081</v>
      </c>
      <c r="P4">
        <v>111368.91682254297</v>
      </c>
      <c r="Q4">
        <v>116270.17998271222</v>
      </c>
      <c r="R4">
        <v>121387.14408754905</v>
      </c>
      <c r="S4">
        <v>126729.30197512607</v>
      </c>
      <c r="T4">
        <v>132306.56425625584</v>
      </c>
    </row>
    <row r="5" spans="1:20">
      <c r="A5" t="s">
        <v>103</v>
      </c>
      <c r="B5">
        <v>51026.624250511508</v>
      </c>
      <c r="C5">
        <v>54368.272001760095</v>
      </c>
      <c r="D5">
        <v>57928.758640696076</v>
      </c>
      <c r="E5">
        <v>70390.340120831897</v>
      </c>
      <c r="F5">
        <v>73019.151956535527</v>
      </c>
      <c r="G5">
        <v>75754.795753540544</v>
      </c>
      <c r="H5">
        <v>78529.235476501621</v>
      </c>
      <c r="I5">
        <v>81608.913622583757</v>
      </c>
      <c r="J5">
        <v>84988.533183816311</v>
      </c>
      <c r="K5">
        <v>88548.455051551369</v>
      </c>
      <c r="L5">
        <v>92277.463221873375</v>
      </c>
      <c r="M5">
        <v>96056.855583459212</v>
      </c>
      <c r="N5">
        <v>99827.010238664516</v>
      </c>
      <c r="O5">
        <v>103745.14044478523</v>
      </c>
      <c r="P5">
        <v>107817.05412368967</v>
      </c>
      <c r="Q5">
        <v>112048.78715352816</v>
      </c>
      <c r="R5">
        <v>116446.61231583469</v>
      </c>
      <c r="S5">
        <v>121017.04859379494</v>
      </c>
      <c r="T5">
        <v>125766.87083546397</v>
      </c>
    </row>
    <row r="6" spans="1:20">
      <c r="A6" t="s">
        <v>3</v>
      </c>
      <c r="B6">
        <v>55062.741956479811</v>
      </c>
      <c r="C6">
        <v>58688.214111108864</v>
      </c>
      <c r="D6">
        <v>62552.396650963172</v>
      </c>
      <c r="E6">
        <v>60478.309852281789</v>
      </c>
      <c r="F6">
        <v>64666.811161599166</v>
      </c>
      <c r="G6">
        <v>69010.963017983304</v>
      </c>
      <c r="H6">
        <v>73458.152261796713</v>
      </c>
      <c r="I6">
        <v>78256.329872381772</v>
      </c>
      <c r="J6">
        <v>83420.270333943568</v>
      </c>
      <c r="K6">
        <v>88834.689963926299</v>
      </c>
      <c r="L6">
        <v>94488.102909063629</v>
      </c>
      <c r="M6">
        <v>100238.6896257881</v>
      </c>
      <c r="N6">
        <v>106007.72890446427</v>
      </c>
      <c r="O6">
        <v>112108.79381439276</v>
      </c>
      <c r="P6">
        <v>118560.99343326976</v>
      </c>
      <c r="Q6">
        <v>125384.53662391653</v>
      </c>
      <c r="R6">
        <v>132600.79533023437</v>
      </c>
      <c r="S6">
        <v>140232.37151603296</v>
      </c>
      <c r="T6">
        <v>148303.16795639036</v>
      </c>
    </row>
    <row r="7" spans="1:20">
      <c r="A7" t="s">
        <v>104</v>
      </c>
      <c r="B7">
        <v>59418.109590808446</v>
      </c>
      <c r="C7">
        <v>63351.406045052674</v>
      </c>
      <c r="D7">
        <v>67545.074650203605</v>
      </c>
      <c r="E7">
        <v>71756.734764918627</v>
      </c>
      <c r="F7">
        <v>76895.142290761971</v>
      </c>
      <c r="G7">
        <v>82195.052098947985</v>
      </c>
      <c r="H7">
        <v>87588.313107240727</v>
      </c>
      <c r="I7">
        <v>93370.717884921381</v>
      </c>
      <c r="J7">
        <v>99559.610031339485</v>
      </c>
      <c r="K7">
        <v>106021.02238939339</v>
      </c>
      <c r="L7">
        <v>112743.91635441047</v>
      </c>
      <c r="M7">
        <v>119565.68551384668</v>
      </c>
      <c r="N7">
        <v>126396.74971704812</v>
      </c>
      <c r="O7">
        <v>133618.08842039332</v>
      </c>
      <c r="P7">
        <v>141251.99890889254</v>
      </c>
      <c r="Q7">
        <v>149322.05236302875</v>
      </c>
      <c r="R7">
        <v>157853.16663935286</v>
      </c>
      <c r="S7">
        <v>166871.68320920269</v>
      </c>
      <c r="T7">
        <v>176405.44849310885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Data Sources</vt:lpstr>
      <vt:lpstr>USRegions</vt:lpstr>
      <vt:lpstr>Population</vt:lpstr>
      <vt:lpstr>GDP</vt:lpstr>
      <vt:lpstr>POP.SSP1</vt:lpstr>
      <vt:lpstr>POP.SSP2</vt:lpstr>
      <vt:lpstr>POP.SSP3</vt:lpstr>
      <vt:lpstr>POP.SSP4</vt:lpstr>
      <vt:lpstr>POP.SSP5</vt:lpstr>
      <vt:lpstr>GDP.SSP1</vt:lpstr>
      <vt:lpstr>GDP.SSP2</vt:lpstr>
      <vt:lpstr>GDP.SSP3</vt:lpstr>
      <vt:lpstr>GDP.SSP4</vt:lpstr>
      <vt:lpstr>GDP.SSP5</vt:lpstr>
      <vt:lpstr>Area</vt:lpstr>
      <vt:lpstr>Stock</vt:lpstr>
      <vt:lpstr>Growth</vt:lpstr>
      <vt:lpstr>TPO</vt:lpstr>
      <vt:lpstr>Wood products</vt:lpstr>
      <vt:lpstr>Net Volume of Timber</vt:lpstr>
      <vt:lpstr>industrial.roundwood.c</vt:lpstr>
      <vt:lpstr>industrial.roundwood.nc</vt:lpstr>
      <vt:lpstr>fuelwood</vt:lpstr>
      <vt:lpstr>fuelwood.c</vt:lpstr>
      <vt:lpstr>fuelwood.nc</vt:lpstr>
      <vt:lpstr>other.industrial.roundwood</vt:lpstr>
      <vt:lpstr>other.industrial.roundwood.c</vt:lpstr>
      <vt:lpstr>other.industrial.roundwood.nc</vt:lpstr>
      <vt:lpstr>sawnwood.c</vt:lpstr>
      <vt:lpstr>sawnwood.nc</vt:lpstr>
      <vt:lpstr>plywood.veneer</vt:lpstr>
      <vt:lpstr>particleboard</vt:lpstr>
      <vt:lpstr>fiberboard</vt:lpstr>
      <vt:lpstr>mechanical.pulp</vt:lpstr>
      <vt:lpstr>chemical.pulp</vt:lpstr>
      <vt:lpstr>other.pulp</vt:lpstr>
      <vt:lpstr>newsprint</vt:lpstr>
      <vt:lpstr>other.paper.and.paperboard</vt:lpstr>
      <vt:lpstr>printing.and.writing.paper</vt:lpstr>
      <vt:lpstr>wood.pellets</vt:lpstr>
      <vt:lpstr>recovered.paper</vt:lpstr>
      <vt:lpstr>chips.particles.residues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Johnston</dc:creator>
  <cp:lastModifiedBy>Craig Johnston</cp:lastModifiedBy>
  <dcterms:created xsi:type="dcterms:W3CDTF">2017-10-18T18:55:45Z</dcterms:created>
  <dcterms:modified xsi:type="dcterms:W3CDTF">2021-02-04T01:49:54Z</dcterms:modified>
</cp:coreProperties>
</file>