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_cjonasl\Ynomrah.Web\"/>
    </mc:Choice>
  </mc:AlternateContent>
  <xr:revisionPtr revIDLastSave="0" documentId="13_ncr:1_{0C85C6D4-0587-404D-B64D-2912D96427ED}" xr6:coauthVersionLast="36" xr6:coauthVersionMax="36" xr10:uidLastSave="{00000000-0000-0000-0000-000000000000}"/>
  <bookViews>
    <workbookView xWindow="0" yWindow="0" windowWidth="28800" windowHeight="14385" tabRatio="862" activeTab="1" xr2:uid="{00000000-000D-0000-FFFF-FFFF00000000}"/>
  </bookViews>
  <sheets>
    <sheet name="Kudvenkat courses" sheetId="18" r:id="rId1"/>
    <sheet name="MVC" sheetId="1" r:id="rId2"/>
    <sheet name="JavaScript" sheetId="2" r:id="rId3"/>
    <sheet name="jQuery" sheetId="3" r:id="rId4"/>
    <sheet name="C#" sheetId="4" r:id="rId5"/>
    <sheet name="ASP.NET" sheetId="5" r:id="rId6"/>
    <sheet name="ASP.NET Web API" sheetId="15" r:id="rId7"/>
    <sheet name="ADO.NET" sheetId="6" r:id="rId8"/>
    <sheet name="Exam 70-533" sheetId="7" r:id="rId9"/>
    <sheet name="WCF" sheetId="8" r:id="rId10"/>
    <sheet name="Entity framwork" sheetId="9" r:id="rId11"/>
    <sheet name="Linq" sheetId="17" r:id="rId12"/>
    <sheet name="ASP.NET webservices" sheetId="14" r:id="rId13"/>
    <sheet name="Angular" sheetId="11" r:id="rId14"/>
    <sheet name="SQL server" sheetId="12" r:id="rId15"/>
    <sheet name="Bootstrap" sheetId="13" r:id="rId16"/>
    <sheet name="Dot Net Basics" sheetId="10" r:id="rId17"/>
    <sheet name="JavaScript with ASP.NET" sheetId="1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9" l="1"/>
  <c r="I5" i="9" s="1"/>
  <c r="I6" i="9" s="1"/>
  <c r="I7" i="9" s="1"/>
  <c r="I8" i="9" s="1"/>
  <c r="I9" i="9" s="1"/>
  <c r="I10" i="9" s="1"/>
  <c r="I11" i="9" s="1"/>
  <c r="I12" i="9" s="1"/>
  <c r="I13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6" i="9" s="1"/>
  <c r="I27" i="9" s="1"/>
  <c r="I28" i="9" s="1"/>
  <c r="I29" i="9" s="1"/>
  <c r="I30" i="9" s="1"/>
  <c r="G1" i="9"/>
  <c r="H4" i="15" l="1"/>
  <c r="H5" i="15" s="1"/>
  <c r="H6" i="15" s="1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G1" i="15"/>
  <c r="E46" i="15" l="1"/>
  <c r="F46" i="15"/>
  <c r="F2" i="15" s="1"/>
  <c r="E42" i="15"/>
  <c r="E43" i="15"/>
  <c r="E44" i="15"/>
  <c r="E45" i="15"/>
  <c r="E41" i="15"/>
  <c r="E40" i="15"/>
  <c r="E39" i="15"/>
  <c r="E38" i="15"/>
  <c r="E37" i="15"/>
  <c r="E35" i="15"/>
  <c r="E34" i="15"/>
  <c r="E33" i="15"/>
  <c r="E36" i="15" l="1"/>
  <c r="F36" i="15" s="1"/>
  <c r="S155" i="12" l="1"/>
  <c r="T155" i="12"/>
  <c r="U155" i="12" s="1"/>
  <c r="V155" i="12" s="1"/>
  <c r="G1" i="12"/>
  <c r="E155" i="12"/>
  <c r="E154" i="12" l="1"/>
  <c r="E153" i="12" l="1"/>
  <c r="E152" i="12"/>
  <c r="E151" i="12"/>
  <c r="E150" i="12"/>
  <c r="E149" i="12"/>
  <c r="E148" i="12"/>
  <c r="E147" i="12"/>
  <c r="E145" i="12"/>
  <c r="E144" i="12"/>
  <c r="E143" i="12"/>
  <c r="E142" i="12"/>
  <c r="E141" i="12"/>
  <c r="E140" i="12"/>
  <c r="E139" i="12"/>
  <c r="E138" i="12"/>
  <c r="E137" i="12"/>
  <c r="E136" i="12"/>
  <c r="E134" i="12"/>
  <c r="E133" i="12"/>
  <c r="E132" i="12"/>
  <c r="E131" i="12"/>
  <c r="E130" i="12"/>
  <c r="E129" i="12"/>
  <c r="E128" i="12"/>
  <c r="E127" i="12"/>
  <c r="E126" i="12"/>
  <c r="E125" i="12"/>
  <c r="E123" i="12"/>
  <c r="E122" i="12"/>
  <c r="E121" i="12"/>
  <c r="E120" i="12"/>
  <c r="E119" i="12"/>
  <c r="E118" i="12"/>
  <c r="E117" i="12"/>
  <c r="E116" i="12"/>
  <c r="E115" i="12"/>
  <c r="E114" i="12"/>
  <c r="E112" i="12"/>
  <c r="E111" i="12"/>
  <c r="E110" i="12"/>
  <c r="E109" i="12"/>
  <c r="E108" i="12"/>
  <c r="E107" i="12"/>
  <c r="E106" i="12"/>
  <c r="E105" i="12"/>
  <c r="E104" i="12"/>
  <c r="E103" i="12"/>
  <c r="E101" i="12"/>
  <c r="E100" i="12"/>
  <c r="E99" i="12"/>
  <c r="E98" i="12"/>
  <c r="E97" i="12"/>
  <c r="E96" i="12"/>
  <c r="E95" i="12"/>
  <c r="E94" i="12"/>
  <c r="E93" i="12"/>
  <c r="E92" i="12"/>
  <c r="E90" i="12"/>
  <c r="E89" i="12"/>
  <c r="E88" i="12"/>
  <c r="E87" i="12"/>
  <c r="E86" i="12"/>
  <c r="E85" i="12"/>
  <c r="E84" i="12"/>
  <c r="E83" i="12"/>
  <c r="E82" i="12"/>
  <c r="E81" i="12"/>
  <c r="E79" i="12"/>
  <c r="E78" i="12"/>
  <c r="E77" i="12"/>
  <c r="E76" i="12"/>
  <c r="E75" i="12"/>
  <c r="E74" i="12"/>
  <c r="E73" i="12"/>
  <c r="E72" i="12"/>
  <c r="E71" i="12"/>
  <c r="E70" i="12"/>
  <c r="E68" i="12"/>
  <c r="E67" i="12"/>
  <c r="E66" i="12"/>
  <c r="E65" i="12"/>
  <c r="E64" i="12"/>
  <c r="E63" i="12"/>
  <c r="E62" i="12"/>
  <c r="E61" i="12"/>
  <c r="E60" i="12"/>
  <c r="E59" i="12"/>
  <c r="E57" i="12"/>
  <c r="E56" i="12"/>
  <c r="E55" i="12"/>
  <c r="E54" i="12"/>
  <c r="E53" i="12"/>
  <c r="E52" i="12"/>
  <c r="E51" i="12"/>
  <c r="E50" i="12"/>
  <c r="E49" i="12"/>
  <c r="E48" i="12"/>
  <c r="E46" i="12"/>
  <c r="E45" i="12"/>
  <c r="E44" i="12"/>
  <c r="E43" i="12"/>
  <c r="E42" i="12"/>
  <c r="E41" i="12"/>
  <c r="E39" i="12"/>
  <c r="E40" i="12"/>
  <c r="E38" i="12"/>
  <c r="E37" i="12"/>
  <c r="E35" i="12"/>
  <c r="E34" i="12"/>
  <c r="E33" i="12"/>
  <c r="E32" i="12"/>
  <c r="E31" i="12"/>
  <c r="E30" i="12"/>
  <c r="E29" i="12"/>
  <c r="E28" i="12"/>
  <c r="E27" i="12"/>
  <c r="E26" i="12"/>
  <c r="E24" i="12"/>
  <c r="E23" i="12"/>
  <c r="E22" i="12"/>
  <c r="E21" i="12"/>
  <c r="E20" i="12"/>
  <c r="E19" i="12"/>
  <c r="E18" i="12"/>
  <c r="E17" i="12"/>
  <c r="E16" i="12"/>
  <c r="E15" i="12"/>
  <c r="E156" i="12" l="1"/>
  <c r="T58" i="3"/>
  <c r="T113" i="3"/>
  <c r="T124" i="3"/>
  <c r="E192" i="5" l="1"/>
  <c r="E191" i="5"/>
  <c r="G1" i="5"/>
  <c r="E189" i="5"/>
  <c r="E188" i="5"/>
  <c r="E187" i="5"/>
  <c r="E186" i="5"/>
  <c r="E185" i="5"/>
  <c r="E184" i="5"/>
  <c r="E183" i="5"/>
  <c r="E182" i="5"/>
  <c r="E181" i="5"/>
  <c r="E180" i="5"/>
  <c r="E178" i="5"/>
  <c r="E177" i="5"/>
  <c r="E176" i="5"/>
  <c r="E175" i="5"/>
  <c r="E174" i="5"/>
  <c r="E173" i="5"/>
  <c r="E172" i="5"/>
  <c r="E171" i="5"/>
  <c r="E170" i="5"/>
  <c r="E169" i="5"/>
  <c r="E166" i="5"/>
  <c r="E165" i="5"/>
  <c r="E164" i="5"/>
  <c r="E163" i="5"/>
  <c r="E162" i="5"/>
  <c r="E161" i="5"/>
  <c r="E160" i="5"/>
  <c r="E159" i="5"/>
  <c r="E158" i="5"/>
  <c r="I59" i="17"/>
  <c r="I60" i="17" s="1"/>
  <c r="I57" i="17"/>
  <c r="I48" i="17"/>
  <c r="I41" i="17"/>
  <c r="I42" i="17" s="1"/>
  <c r="I43" i="17" s="1"/>
  <c r="I44" i="17" s="1"/>
  <c r="I45" i="17" s="1"/>
  <c r="I46" i="17" s="1"/>
  <c r="I37" i="17"/>
  <c r="I32" i="17"/>
  <c r="I33" i="17"/>
  <c r="I34" i="17" s="1"/>
  <c r="I35" i="17" s="1"/>
  <c r="I26" i="17"/>
  <c r="I20" i="17"/>
  <c r="I21" i="17"/>
  <c r="I22" i="17" s="1"/>
  <c r="I23" i="17" s="1"/>
  <c r="I24" i="17" s="1"/>
  <c r="I15" i="17"/>
  <c r="I6" i="17"/>
  <c r="I7" i="17"/>
  <c r="I8" i="17" s="1"/>
  <c r="I9" i="17" s="1"/>
  <c r="I10" i="17" s="1"/>
  <c r="I11" i="17" s="1"/>
  <c r="I12" i="17" s="1"/>
  <c r="I13" i="17" s="1"/>
  <c r="I5" i="17"/>
  <c r="I4" i="17"/>
  <c r="E60" i="17"/>
  <c r="E59" i="17"/>
  <c r="E57" i="17"/>
  <c r="E56" i="17"/>
  <c r="E55" i="17"/>
  <c r="E54" i="17"/>
  <c r="E53" i="17"/>
  <c r="E52" i="17"/>
  <c r="E51" i="17"/>
  <c r="E50" i="17"/>
  <c r="E49" i="17"/>
  <c r="E48" i="17"/>
  <c r="E46" i="17"/>
  <c r="E45" i="17"/>
  <c r="E44" i="17"/>
  <c r="E43" i="17"/>
  <c r="E42" i="17"/>
  <c r="E41" i="17"/>
  <c r="E40" i="17"/>
  <c r="E39" i="17"/>
  <c r="E38" i="17"/>
  <c r="E37" i="17"/>
  <c r="E35" i="17"/>
  <c r="E34" i="17"/>
  <c r="E33" i="17"/>
  <c r="E32" i="17"/>
  <c r="E31" i="17"/>
  <c r="E30" i="17"/>
  <c r="E29" i="17"/>
  <c r="E28" i="17"/>
  <c r="E27" i="17"/>
  <c r="E26" i="17"/>
  <c r="E24" i="17"/>
  <c r="E23" i="17"/>
  <c r="E22" i="17"/>
  <c r="E21" i="17"/>
  <c r="E20" i="17"/>
  <c r="E19" i="17"/>
  <c r="E18" i="17"/>
  <c r="E17" i="17"/>
  <c r="E16" i="17"/>
  <c r="E15" i="17"/>
  <c r="E156" i="5"/>
  <c r="E155" i="5"/>
  <c r="E154" i="5"/>
  <c r="E153" i="5"/>
  <c r="E152" i="5"/>
  <c r="E151" i="5"/>
  <c r="E150" i="5"/>
  <c r="E149" i="5"/>
  <c r="E148" i="5"/>
  <c r="E147" i="5"/>
  <c r="E145" i="5"/>
  <c r="E144" i="5"/>
  <c r="E143" i="5"/>
  <c r="E142" i="5"/>
  <c r="E141" i="5"/>
  <c r="E140" i="5"/>
  <c r="E139" i="5"/>
  <c r="E138" i="5"/>
  <c r="E137" i="5"/>
  <c r="E136" i="5"/>
  <c r="E134" i="5"/>
  <c r="E133" i="5"/>
  <c r="E132" i="5"/>
  <c r="E131" i="5"/>
  <c r="E130" i="5"/>
  <c r="E129" i="5"/>
  <c r="E128" i="5"/>
  <c r="E127" i="5"/>
  <c r="E126" i="5"/>
  <c r="E125" i="5"/>
  <c r="I4" i="5" l="1"/>
  <c r="I5" i="5" s="1"/>
  <c r="I6" i="5" s="1"/>
  <c r="I7" i="5" s="1"/>
  <c r="I8" i="5" s="1"/>
  <c r="I9" i="5" s="1"/>
  <c r="I10" i="5" s="1"/>
  <c r="I11" i="5" s="1"/>
  <c r="I12" i="5" s="1"/>
  <c r="I13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49" i="17"/>
  <c r="I50" i="17" s="1"/>
  <c r="I51" i="17" s="1"/>
  <c r="I52" i="17" s="1"/>
  <c r="I53" i="17" s="1"/>
  <c r="I54" i="17" s="1"/>
  <c r="I55" i="17" s="1"/>
  <c r="I56" i="17" s="1"/>
  <c r="I38" i="17"/>
  <c r="I39" i="17" s="1"/>
  <c r="I40" i="17" s="1"/>
  <c r="I27" i="17"/>
  <c r="I28" i="17" s="1"/>
  <c r="I29" i="17" s="1"/>
  <c r="I30" i="17" s="1"/>
  <c r="I31" i="17" s="1"/>
  <c r="I16" i="17"/>
  <c r="I17" i="17" s="1"/>
  <c r="I18" i="17" s="1"/>
  <c r="I19" i="17" s="1"/>
  <c r="I81" i="5" l="1"/>
  <c r="I82" i="5" s="1"/>
  <c r="I83" i="5" s="1"/>
  <c r="I84" i="5" s="1"/>
  <c r="I85" i="5" s="1"/>
  <c r="I86" i="5" s="1"/>
  <c r="I87" i="5" s="1"/>
  <c r="I88" i="5" s="1"/>
  <c r="I89" i="5" s="1"/>
  <c r="I90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1" i="5" s="1"/>
  <c r="I192" i="5" s="1"/>
  <c r="E13" i="17"/>
  <c r="E12" i="17"/>
  <c r="E11" i="17"/>
  <c r="E10" i="17"/>
  <c r="E9" i="17"/>
  <c r="E8" i="17"/>
  <c r="E7" i="17"/>
  <c r="E6" i="17"/>
  <c r="E5" i="17"/>
  <c r="E4" i="17"/>
  <c r="G1" i="17" s="1"/>
  <c r="E47" i="17"/>
  <c r="F47" i="17" s="1"/>
  <c r="E36" i="17"/>
  <c r="F36" i="17" s="1"/>
  <c r="E25" i="17" l="1"/>
  <c r="F25" i="17" s="1"/>
  <c r="E14" i="17"/>
  <c r="F14" i="17" s="1"/>
  <c r="E58" i="17"/>
  <c r="F58" i="17" s="1"/>
  <c r="H14" i="8"/>
  <c r="F2" i="17" l="1"/>
  <c r="H11" i="8"/>
  <c r="H12" i="8" s="1"/>
  <c r="H13" i="8" s="1"/>
  <c r="H6" i="8"/>
  <c r="H7" i="8" s="1"/>
  <c r="H8" i="8" s="1"/>
  <c r="H9" i="8" s="1"/>
  <c r="H10" i="8" s="1"/>
  <c r="H5" i="8"/>
  <c r="H4" i="8"/>
  <c r="G1" i="8"/>
  <c r="H15" i="8" l="1"/>
  <c r="H16" i="8" s="1"/>
  <c r="H17" i="8" s="1"/>
  <c r="H18" i="8" s="1"/>
  <c r="H19" i="8" s="1"/>
  <c r="H20" i="8" s="1"/>
  <c r="H21" i="8" s="1"/>
  <c r="H22" i="8" s="1"/>
  <c r="H23" i="8" s="1"/>
  <c r="H24" i="8" s="1"/>
  <c r="E123" i="5"/>
  <c r="E122" i="5"/>
  <c r="E121" i="5"/>
  <c r="E120" i="5"/>
  <c r="E119" i="5"/>
  <c r="E118" i="5"/>
  <c r="E117" i="5"/>
  <c r="E116" i="5"/>
  <c r="E115" i="5"/>
  <c r="E114" i="5"/>
  <c r="E112" i="5"/>
  <c r="E111" i="5"/>
  <c r="E110" i="5"/>
  <c r="E109" i="5"/>
  <c r="E108" i="5"/>
  <c r="E107" i="5"/>
  <c r="E106" i="5"/>
  <c r="E105" i="5"/>
  <c r="E104" i="5"/>
  <c r="E103" i="5"/>
  <c r="E101" i="5"/>
  <c r="E100" i="5"/>
  <c r="E99" i="5"/>
  <c r="E98" i="5"/>
  <c r="E97" i="5"/>
  <c r="E96" i="5"/>
  <c r="E95" i="5"/>
  <c r="E94" i="5"/>
  <c r="E93" i="5"/>
  <c r="E92" i="5"/>
  <c r="E90" i="5"/>
  <c r="E89" i="5"/>
  <c r="E88" i="5"/>
  <c r="E87" i="5"/>
  <c r="E86" i="5"/>
  <c r="E85" i="5"/>
  <c r="E84" i="5"/>
  <c r="E83" i="5"/>
  <c r="E82" i="5"/>
  <c r="E81" i="5"/>
  <c r="E79" i="5"/>
  <c r="E78" i="5"/>
  <c r="E77" i="5"/>
  <c r="E76" i="5"/>
  <c r="E75" i="5"/>
  <c r="E74" i="5"/>
  <c r="E73" i="5"/>
  <c r="E72" i="5"/>
  <c r="E71" i="5"/>
  <c r="E70" i="5"/>
  <c r="E68" i="5"/>
  <c r="E67" i="5"/>
  <c r="E66" i="5"/>
  <c r="E65" i="5"/>
  <c r="E64" i="5"/>
  <c r="E63" i="5"/>
  <c r="E62" i="5"/>
  <c r="E61" i="5"/>
  <c r="E60" i="5"/>
  <c r="E59" i="5"/>
  <c r="H25" i="8" l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E32" i="15"/>
  <c r="E31" i="15"/>
  <c r="E30" i="15"/>
  <c r="E29" i="15"/>
  <c r="E28" i="15"/>
  <c r="E27" i="15"/>
  <c r="H36" i="8" l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E57" i="5"/>
  <c r="E56" i="5"/>
  <c r="E55" i="5"/>
  <c r="E54" i="5"/>
  <c r="E53" i="5"/>
  <c r="E52" i="5"/>
  <c r="E51" i="5"/>
  <c r="E50" i="5"/>
  <c r="E49" i="5"/>
  <c r="E48" i="5"/>
  <c r="E46" i="5"/>
  <c r="E45" i="5"/>
  <c r="E44" i="5"/>
  <c r="E43" i="5"/>
  <c r="E42" i="5"/>
  <c r="E41" i="5"/>
  <c r="E40" i="5"/>
  <c r="E39" i="5"/>
  <c r="E38" i="5"/>
  <c r="E37" i="5"/>
  <c r="E35" i="5"/>
  <c r="E33" i="5"/>
  <c r="E34" i="5"/>
  <c r="E32" i="5"/>
  <c r="E31" i="5"/>
  <c r="H47" i="8" l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E17" i="16"/>
  <c r="E16" i="16"/>
  <c r="E15" i="16"/>
  <c r="E13" i="16"/>
  <c r="E12" i="16"/>
  <c r="E11" i="16"/>
  <c r="E10" i="16"/>
  <c r="E9" i="16"/>
  <c r="E8" i="16"/>
  <c r="E7" i="16"/>
  <c r="E6" i="16"/>
  <c r="E5" i="16"/>
  <c r="E4" i="16"/>
  <c r="H58" i="8" l="1"/>
  <c r="H59" i="8" s="1"/>
  <c r="H60" i="8" s="1"/>
  <c r="H61" i="8" s="1"/>
  <c r="E18" i="16"/>
  <c r="F18" i="16" s="1"/>
  <c r="E14" i="16"/>
  <c r="F14" i="16" s="1"/>
  <c r="E26" i="15"/>
  <c r="E24" i="15"/>
  <c r="E23" i="15"/>
  <c r="E22" i="15"/>
  <c r="E21" i="15"/>
  <c r="E20" i="15"/>
  <c r="E19" i="15"/>
  <c r="E18" i="15"/>
  <c r="E17" i="15"/>
  <c r="E16" i="15"/>
  <c r="E15" i="15"/>
  <c r="E13" i="15"/>
  <c r="E12" i="15"/>
  <c r="E11" i="15"/>
  <c r="E10" i="15"/>
  <c r="E9" i="15"/>
  <c r="E8" i="15"/>
  <c r="E7" i="15"/>
  <c r="E6" i="15"/>
  <c r="E5" i="15"/>
  <c r="E4" i="15"/>
  <c r="E14" i="15" s="1"/>
  <c r="F14" i="15" s="1"/>
  <c r="Y47" i="3"/>
  <c r="F2" i="16" l="1"/>
  <c r="E25" i="15"/>
  <c r="F25" i="15" s="1"/>
  <c r="E85" i="2" l="1"/>
  <c r="E60" i="13" l="1"/>
  <c r="E59" i="13"/>
  <c r="E57" i="13"/>
  <c r="E56" i="13"/>
  <c r="E55" i="13"/>
  <c r="E54" i="13"/>
  <c r="E53" i="13"/>
  <c r="E52" i="13"/>
  <c r="E51" i="13"/>
  <c r="E50" i="13"/>
  <c r="E49" i="13"/>
  <c r="E48" i="13"/>
  <c r="E46" i="13"/>
  <c r="E45" i="13"/>
  <c r="E44" i="13"/>
  <c r="E43" i="13"/>
  <c r="E42" i="13"/>
  <c r="E41" i="13"/>
  <c r="E40" i="13"/>
  <c r="E39" i="13"/>
  <c r="E38" i="13"/>
  <c r="E37" i="13"/>
  <c r="E35" i="13"/>
  <c r="E34" i="13"/>
  <c r="E33" i="13"/>
  <c r="E32" i="13"/>
  <c r="E31" i="13"/>
  <c r="E30" i="13"/>
  <c r="E29" i="13"/>
  <c r="E28" i="13"/>
  <c r="E27" i="13"/>
  <c r="E26" i="13"/>
  <c r="E24" i="13"/>
  <c r="E23" i="13"/>
  <c r="E22" i="13"/>
  <c r="E21" i="13"/>
  <c r="E20" i="13"/>
  <c r="E19" i="13"/>
  <c r="E18" i="13"/>
  <c r="E17" i="13"/>
  <c r="E16" i="13"/>
  <c r="E15" i="13"/>
  <c r="E13" i="13"/>
  <c r="E12" i="13"/>
  <c r="E11" i="13"/>
  <c r="E10" i="13"/>
  <c r="E9" i="13"/>
  <c r="E10" i="14" l="1"/>
  <c r="E9" i="14"/>
  <c r="E8" i="14"/>
  <c r="E7" i="14"/>
  <c r="E6" i="14"/>
  <c r="E5" i="14"/>
  <c r="E4" i="14"/>
  <c r="F2" i="14" l="1"/>
  <c r="E61" i="11"/>
  <c r="E60" i="11"/>
  <c r="E59" i="11"/>
  <c r="E57" i="11"/>
  <c r="A57" i="11" s="1"/>
  <c r="E56" i="11"/>
  <c r="E55" i="11"/>
  <c r="E54" i="11"/>
  <c r="A54" i="11" s="1"/>
  <c r="E53" i="11"/>
  <c r="A53" i="11" s="1"/>
  <c r="E52" i="11"/>
  <c r="A52" i="11" s="1"/>
  <c r="E51" i="11"/>
  <c r="A51" i="11" s="1"/>
  <c r="E50" i="11"/>
  <c r="A50" i="11" s="1"/>
  <c r="E49" i="11"/>
  <c r="A49" i="11" s="1"/>
  <c r="E48" i="11"/>
  <c r="A48" i="11" s="1"/>
  <c r="E46" i="11"/>
  <c r="A46" i="11" s="1"/>
  <c r="E45" i="11"/>
  <c r="A45" i="11" s="1"/>
  <c r="E44" i="11"/>
  <c r="A44" i="11" s="1"/>
  <c r="E43" i="11"/>
  <c r="A43" i="11" s="1"/>
  <c r="E42" i="11"/>
  <c r="A42" i="11" s="1"/>
  <c r="E41" i="11"/>
  <c r="A41" i="11" s="1"/>
  <c r="E40" i="11"/>
  <c r="A40" i="11" s="1"/>
  <c r="E39" i="11"/>
  <c r="A39" i="11" s="1"/>
  <c r="E38" i="11"/>
  <c r="A38" i="11" s="1"/>
  <c r="E37" i="11"/>
  <c r="A37" i="11" s="1"/>
  <c r="E35" i="11"/>
  <c r="A35" i="11" s="1"/>
  <c r="E34" i="11"/>
  <c r="A34" i="11" s="1"/>
  <c r="E33" i="11"/>
  <c r="A33" i="11" s="1"/>
  <c r="E32" i="11"/>
  <c r="A32" i="11" s="1"/>
  <c r="E31" i="11"/>
  <c r="A31" i="11" s="1"/>
  <c r="E30" i="11"/>
  <c r="A30" i="11" s="1"/>
  <c r="E29" i="11"/>
  <c r="A29" i="11" s="1"/>
  <c r="E28" i="11"/>
  <c r="A28" i="11" s="1"/>
  <c r="E27" i="11"/>
  <c r="A27" i="11" s="1"/>
  <c r="E26" i="11"/>
  <c r="A26" i="11" s="1"/>
  <c r="E114" i="4"/>
  <c r="E116" i="4" s="1"/>
  <c r="F116" i="4" s="1"/>
  <c r="E115" i="4"/>
  <c r="A59" i="11" l="1"/>
  <c r="A55" i="11"/>
  <c r="A60" i="11"/>
  <c r="A56" i="11"/>
  <c r="A61" i="11"/>
  <c r="E8" i="13" l="1"/>
  <c r="E6" i="13"/>
  <c r="I6" i="13" s="1"/>
  <c r="J6" i="13" s="1"/>
  <c r="E7" i="13"/>
  <c r="I7" i="13" s="1"/>
  <c r="J7" i="13" s="1"/>
  <c r="E5" i="13"/>
  <c r="I5" i="13" s="1"/>
  <c r="J5" i="13" s="1"/>
  <c r="E4" i="13"/>
  <c r="I4" i="13" s="1"/>
  <c r="J4" i="13" s="1"/>
  <c r="E61" i="13"/>
  <c r="F61" i="13" s="1"/>
  <c r="E58" i="13"/>
  <c r="F58" i="13" s="1"/>
  <c r="E47" i="13"/>
  <c r="F47" i="13" s="1"/>
  <c r="E36" i="13"/>
  <c r="F36" i="13" s="1"/>
  <c r="E25" i="13"/>
  <c r="F25" i="13" s="1"/>
  <c r="E13" i="12"/>
  <c r="E12" i="12"/>
  <c r="E11" i="12"/>
  <c r="E10" i="12"/>
  <c r="E9" i="12"/>
  <c r="E8" i="12"/>
  <c r="E7" i="12"/>
  <c r="E6" i="12"/>
  <c r="E5" i="12"/>
  <c r="E4" i="12"/>
  <c r="F156" i="12"/>
  <c r="E146" i="12"/>
  <c r="F146" i="12" s="1"/>
  <c r="E135" i="12"/>
  <c r="F135" i="12" s="1"/>
  <c r="E124" i="12"/>
  <c r="F124" i="12" s="1"/>
  <c r="E113" i="12"/>
  <c r="F113" i="12" s="1"/>
  <c r="E102" i="12"/>
  <c r="F102" i="12" s="1"/>
  <c r="E91" i="12"/>
  <c r="F91" i="12" s="1"/>
  <c r="E80" i="12"/>
  <c r="F80" i="12" s="1"/>
  <c r="E69" i="12"/>
  <c r="F69" i="12" s="1"/>
  <c r="E58" i="12"/>
  <c r="F58" i="12" s="1"/>
  <c r="E47" i="12"/>
  <c r="F47" i="12" s="1"/>
  <c r="E24" i="11"/>
  <c r="A24" i="11" s="1"/>
  <c r="E23" i="11"/>
  <c r="A23" i="11" s="1"/>
  <c r="E22" i="11"/>
  <c r="A22" i="11" s="1"/>
  <c r="E21" i="11"/>
  <c r="A21" i="11" s="1"/>
  <c r="E20" i="11"/>
  <c r="A20" i="11" s="1"/>
  <c r="E19" i="11"/>
  <c r="A19" i="11" s="1"/>
  <c r="E18" i="11"/>
  <c r="A18" i="11" s="1"/>
  <c r="E17" i="11"/>
  <c r="A17" i="11" s="1"/>
  <c r="E16" i="11"/>
  <c r="A16" i="11" s="1"/>
  <c r="E15" i="11"/>
  <c r="A15" i="11" s="1"/>
  <c r="E13" i="11"/>
  <c r="A13" i="11" s="1"/>
  <c r="E12" i="11"/>
  <c r="A12" i="11" s="1"/>
  <c r="E11" i="11"/>
  <c r="A11" i="11" s="1"/>
  <c r="E10" i="11"/>
  <c r="A10" i="11" s="1"/>
  <c r="E9" i="11"/>
  <c r="A9" i="11" s="1"/>
  <c r="E8" i="11"/>
  <c r="E7" i="11"/>
  <c r="E6" i="11"/>
  <c r="E5" i="11"/>
  <c r="E4" i="11"/>
  <c r="E62" i="11"/>
  <c r="F62" i="11" s="1"/>
  <c r="E58" i="11"/>
  <c r="E47" i="11"/>
  <c r="F47" i="11" s="1"/>
  <c r="E36" i="11"/>
  <c r="F36" i="11" s="1"/>
  <c r="E26" i="6"/>
  <c r="E24" i="6"/>
  <c r="E23" i="6"/>
  <c r="E22" i="6"/>
  <c r="E21" i="6"/>
  <c r="E20" i="6"/>
  <c r="E19" i="6"/>
  <c r="E18" i="6"/>
  <c r="E17" i="6"/>
  <c r="E16" i="6"/>
  <c r="E15" i="6"/>
  <c r="E112" i="4"/>
  <c r="E111" i="4"/>
  <c r="E110" i="4"/>
  <c r="E109" i="4"/>
  <c r="E108" i="4"/>
  <c r="E107" i="4"/>
  <c r="E106" i="4"/>
  <c r="E105" i="4"/>
  <c r="E104" i="4"/>
  <c r="E103" i="4"/>
  <c r="E101" i="4"/>
  <c r="E100" i="4"/>
  <c r="E99" i="4"/>
  <c r="E98" i="4"/>
  <c r="E97" i="4"/>
  <c r="E96" i="4"/>
  <c r="E95" i="4"/>
  <c r="E94" i="4"/>
  <c r="E93" i="4"/>
  <c r="E92" i="4"/>
  <c r="E90" i="4"/>
  <c r="E89" i="4"/>
  <c r="E88" i="4"/>
  <c r="E87" i="4"/>
  <c r="E86" i="4"/>
  <c r="E85" i="4"/>
  <c r="E84" i="4"/>
  <c r="E83" i="4"/>
  <c r="E82" i="4"/>
  <c r="E81" i="4"/>
  <c r="E79" i="4"/>
  <c r="E78" i="4"/>
  <c r="E77" i="4"/>
  <c r="E75" i="4"/>
  <c r="E76" i="4"/>
  <c r="E74" i="4"/>
  <c r="E73" i="4"/>
  <c r="E72" i="4"/>
  <c r="E71" i="4"/>
  <c r="E70" i="4"/>
  <c r="E68" i="4"/>
  <c r="E67" i="4"/>
  <c r="E66" i="4"/>
  <c r="E65" i="4"/>
  <c r="E64" i="4"/>
  <c r="E63" i="4"/>
  <c r="E62" i="4"/>
  <c r="E61" i="4"/>
  <c r="E60" i="4"/>
  <c r="E59" i="4"/>
  <c r="E57" i="4"/>
  <c r="E56" i="4"/>
  <c r="E55" i="4"/>
  <c r="E54" i="4"/>
  <c r="E53" i="4"/>
  <c r="E52" i="4"/>
  <c r="E51" i="4"/>
  <c r="E50" i="4"/>
  <c r="E49" i="4"/>
  <c r="E48" i="4"/>
  <c r="E46" i="4"/>
  <c r="E45" i="4"/>
  <c r="E44" i="4"/>
  <c r="E43" i="4"/>
  <c r="E42" i="4"/>
  <c r="E27" i="6" l="1"/>
  <c r="F27" i="6" s="1"/>
  <c r="T4" i="12"/>
  <c r="A5" i="11"/>
  <c r="I5" i="11"/>
  <c r="J5" i="11" s="1"/>
  <c r="A6" i="11"/>
  <c r="I6" i="11"/>
  <c r="J6" i="11" s="1"/>
  <c r="A7" i="11"/>
  <c r="I8" i="13"/>
  <c r="F58" i="11"/>
  <c r="A4" i="11"/>
  <c r="I4" i="11"/>
  <c r="J4" i="11" s="1"/>
  <c r="A8" i="11"/>
  <c r="E14" i="13"/>
  <c r="F14" i="13" s="1"/>
  <c r="F2" i="13" s="1"/>
  <c r="E36" i="12"/>
  <c r="F36" i="12" s="1"/>
  <c r="E14" i="12"/>
  <c r="F14" i="12" s="1"/>
  <c r="E25" i="12"/>
  <c r="F25" i="12" s="1"/>
  <c r="E25" i="11"/>
  <c r="F25" i="11" s="1"/>
  <c r="E14" i="11"/>
  <c r="F14" i="11" s="1"/>
  <c r="E127" i="3"/>
  <c r="E126" i="3"/>
  <c r="E125" i="3"/>
  <c r="E123" i="3"/>
  <c r="E122" i="3"/>
  <c r="E121" i="3"/>
  <c r="E120" i="3"/>
  <c r="E119" i="3"/>
  <c r="E118" i="3"/>
  <c r="E117" i="3"/>
  <c r="E116" i="3"/>
  <c r="E115" i="3"/>
  <c r="E114" i="3"/>
  <c r="E112" i="3"/>
  <c r="E111" i="3"/>
  <c r="E110" i="3"/>
  <c r="E109" i="3"/>
  <c r="E108" i="3"/>
  <c r="E107" i="3"/>
  <c r="E106" i="3"/>
  <c r="E105" i="3"/>
  <c r="E104" i="3"/>
  <c r="E103" i="3"/>
  <c r="E101" i="3"/>
  <c r="E99" i="3"/>
  <c r="E100" i="3"/>
  <c r="E98" i="3"/>
  <c r="E97" i="3"/>
  <c r="E96" i="3"/>
  <c r="E95" i="3"/>
  <c r="E94" i="3"/>
  <c r="E93" i="3"/>
  <c r="E92" i="3"/>
  <c r="E90" i="3"/>
  <c r="E89" i="3"/>
  <c r="E88" i="3"/>
  <c r="E87" i="3"/>
  <c r="E86" i="3"/>
  <c r="E85" i="3"/>
  <c r="E84" i="3"/>
  <c r="E83" i="3"/>
  <c r="E82" i="3"/>
  <c r="E81" i="3"/>
  <c r="T5" i="12" l="1"/>
  <c r="U4" i="12"/>
  <c r="V4" i="12" s="1"/>
  <c r="S4" i="12"/>
  <c r="S5" i="12" s="1"/>
  <c r="S6" i="12" s="1"/>
  <c r="S7" i="12" s="1"/>
  <c r="S8" i="12" s="1"/>
  <c r="S9" i="12" s="1"/>
  <c r="S10" i="12" s="1"/>
  <c r="S11" i="12" s="1"/>
  <c r="S12" i="12" s="1"/>
  <c r="S13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1" i="12" s="1"/>
  <c r="S82" i="12" s="1"/>
  <c r="S83" i="12" s="1"/>
  <c r="S84" i="12" s="1"/>
  <c r="S85" i="12" s="1"/>
  <c r="S86" i="12" s="1"/>
  <c r="S87" i="12" s="1"/>
  <c r="S88" i="12" s="1"/>
  <c r="S89" i="12" s="1"/>
  <c r="S90" i="12" s="1"/>
  <c r="S92" i="12" s="1"/>
  <c r="S93" i="12" s="1"/>
  <c r="S94" i="12" s="1"/>
  <c r="S95" i="12" s="1"/>
  <c r="S96" i="12" s="1"/>
  <c r="S97" i="12" s="1"/>
  <c r="S98" i="12" s="1"/>
  <c r="S99" i="12" s="1"/>
  <c r="S100" i="12" s="1"/>
  <c r="S101" i="12" s="1"/>
  <c r="S103" i="12" s="1"/>
  <c r="S104" i="12" s="1"/>
  <c r="S105" i="12" s="1"/>
  <c r="S106" i="12" s="1"/>
  <c r="S107" i="12" s="1"/>
  <c r="S108" i="12" s="1"/>
  <c r="S109" i="12" s="1"/>
  <c r="S110" i="12" s="1"/>
  <c r="S111" i="12" s="1"/>
  <c r="S112" i="12" s="1"/>
  <c r="S114" i="12" s="1"/>
  <c r="S115" i="12" s="1"/>
  <c r="S116" i="12" s="1"/>
  <c r="S117" i="12" s="1"/>
  <c r="S118" i="12" s="1"/>
  <c r="S119" i="12" s="1"/>
  <c r="S120" i="12" s="1"/>
  <c r="S121" i="12" s="1"/>
  <c r="S122" i="12" s="1"/>
  <c r="S123" i="12" s="1"/>
  <c r="S125" i="12" s="1"/>
  <c r="S126" i="12" s="1"/>
  <c r="S127" i="12" s="1"/>
  <c r="S128" i="12" s="1"/>
  <c r="S129" i="12" s="1"/>
  <c r="S130" i="12" s="1"/>
  <c r="S131" i="12" s="1"/>
  <c r="S132" i="12" s="1"/>
  <c r="S133" i="12" s="1"/>
  <c r="S134" i="12" s="1"/>
  <c r="S136" i="12" s="1"/>
  <c r="S137" i="12" s="1"/>
  <c r="S138" i="12" s="1"/>
  <c r="S139" i="12" s="1"/>
  <c r="S140" i="12" s="1"/>
  <c r="S141" i="12" s="1"/>
  <c r="S142" i="12" s="1"/>
  <c r="S143" i="12" s="1"/>
  <c r="S144" i="12" s="1"/>
  <c r="S145" i="12" s="1"/>
  <c r="S147" i="12" s="1"/>
  <c r="S148" i="12" s="1"/>
  <c r="S149" i="12" s="1"/>
  <c r="S150" i="12" s="1"/>
  <c r="S151" i="12" s="1"/>
  <c r="S152" i="12" s="1"/>
  <c r="S153" i="12" s="1"/>
  <c r="S154" i="12" s="1"/>
  <c r="J8" i="13"/>
  <c r="I9" i="13"/>
  <c r="A62" i="11"/>
  <c r="A1" i="11" s="1"/>
  <c r="I7" i="11"/>
  <c r="F2" i="12"/>
  <c r="F2" i="11"/>
  <c r="E79" i="3"/>
  <c r="E78" i="3"/>
  <c r="E77" i="3"/>
  <c r="E76" i="3"/>
  <c r="E75" i="3"/>
  <c r="E74" i="3"/>
  <c r="E73" i="3"/>
  <c r="E72" i="3"/>
  <c r="E71" i="3"/>
  <c r="E70" i="3"/>
  <c r="E68" i="3"/>
  <c r="E66" i="3"/>
  <c r="E67" i="3"/>
  <c r="E65" i="3"/>
  <c r="E64" i="3"/>
  <c r="E63" i="3"/>
  <c r="E62" i="3"/>
  <c r="E61" i="3"/>
  <c r="E60" i="3"/>
  <c r="E59" i="3"/>
  <c r="E57" i="3"/>
  <c r="E56" i="3"/>
  <c r="E55" i="3"/>
  <c r="E54" i="3"/>
  <c r="E53" i="3"/>
  <c r="E52" i="3"/>
  <c r="E51" i="3"/>
  <c r="E50" i="3"/>
  <c r="E49" i="3"/>
  <c r="E48" i="3"/>
  <c r="E46" i="3"/>
  <c r="E45" i="3"/>
  <c r="E44" i="3"/>
  <c r="E43" i="3"/>
  <c r="E42" i="3"/>
  <c r="E41" i="3"/>
  <c r="E40" i="3"/>
  <c r="E39" i="3"/>
  <c r="E38" i="3"/>
  <c r="E37" i="3"/>
  <c r="E35" i="3"/>
  <c r="E34" i="3"/>
  <c r="E33" i="3"/>
  <c r="E32" i="3"/>
  <c r="E31" i="3"/>
  <c r="E30" i="3"/>
  <c r="E29" i="3"/>
  <c r="E28" i="3"/>
  <c r="E27" i="3"/>
  <c r="E26" i="3"/>
  <c r="E128" i="3"/>
  <c r="F128" i="3" s="1"/>
  <c r="E124" i="3"/>
  <c r="F124" i="3" s="1"/>
  <c r="E84" i="2"/>
  <c r="E83" i="2"/>
  <c r="E82" i="2"/>
  <c r="E81" i="2"/>
  <c r="E79" i="2"/>
  <c r="E78" i="2"/>
  <c r="E77" i="2"/>
  <c r="E76" i="2"/>
  <c r="E75" i="2"/>
  <c r="E74" i="2"/>
  <c r="E73" i="2"/>
  <c r="E72" i="2"/>
  <c r="E71" i="2"/>
  <c r="E70" i="2"/>
  <c r="E68" i="2"/>
  <c r="E67" i="2"/>
  <c r="E66" i="2"/>
  <c r="E65" i="2"/>
  <c r="E64" i="2"/>
  <c r="E63" i="2"/>
  <c r="E62" i="2"/>
  <c r="E61" i="2"/>
  <c r="E60" i="2"/>
  <c r="E59" i="2"/>
  <c r="E57" i="2"/>
  <c r="E56" i="2"/>
  <c r="E55" i="2"/>
  <c r="E54" i="2"/>
  <c r="E53" i="2"/>
  <c r="E52" i="2"/>
  <c r="E51" i="2"/>
  <c r="E50" i="2"/>
  <c r="E49" i="2"/>
  <c r="E48" i="2"/>
  <c r="E46" i="2"/>
  <c r="E45" i="2"/>
  <c r="E44" i="2"/>
  <c r="E43" i="2"/>
  <c r="E42" i="2"/>
  <c r="E41" i="2"/>
  <c r="E40" i="2"/>
  <c r="E39" i="2"/>
  <c r="E38" i="2"/>
  <c r="E37" i="2"/>
  <c r="U5" i="12" l="1"/>
  <c r="V5" i="12" s="1"/>
  <c r="T6" i="12"/>
  <c r="J7" i="11"/>
  <c r="I8" i="11"/>
  <c r="I10" i="13"/>
  <c r="J9" i="13"/>
  <c r="E10" i="10"/>
  <c r="E9" i="10"/>
  <c r="E8" i="10"/>
  <c r="E7" i="10"/>
  <c r="E6" i="10"/>
  <c r="E5" i="10"/>
  <c r="E4" i="10"/>
  <c r="F2" i="10" s="1"/>
  <c r="U6" i="12" l="1"/>
  <c r="V6" i="12" s="1"/>
  <c r="T7" i="12"/>
  <c r="J10" i="13"/>
  <c r="I11" i="13"/>
  <c r="J8" i="11"/>
  <c r="I9" i="11"/>
  <c r="E61" i="8"/>
  <c r="E60" i="8"/>
  <c r="E59" i="8"/>
  <c r="E57" i="8"/>
  <c r="E56" i="8"/>
  <c r="E55" i="8"/>
  <c r="E54" i="8"/>
  <c r="E53" i="8"/>
  <c r="E52" i="8"/>
  <c r="E51" i="8"/>
  <c r="E50" i="8"/>
  <c r="E49" i="8"/>
  <c r="E48" i="8"/>
  <c r="E46" i="8"/>
  <c r="E45" i="8"/>
  <c r="E44" i="8"/>
  <c r="E43" i="8"/>
  <c r="E42" i="8"/>
  <c r="E41" i="8"/>
  <c r="E40" i="8"/>
  <c r="E39" i="8"/>
  <c r="E38" i="8"/>
  <c r="E37" i="8"/>
  <c r="E30" i="9"/>
  <c r="E29" i="9"/>
  <c r="E28" i="9"/>
  <c r="E27" i="9"/>
  <c r="E26" i="9"/>
  <c r="E24" i="9"/>
  <c r="E23" i="9"/>
  <c r="E22" i="9"/>
  <c r="E21" i="9"/>
  <c r="E20" i="9"/>
  <c r="E19" i="9"/>
  <c r="E18" i="9"/>
  <c r="E17" i="9"/>
  <c r="E16" i="9"/>
  <c r="E15" i="9"/>
  <c r="E13" i="9"/>
  <c r="E12" i="9"/>
  <c r="E11" i="9"/>
  <c r="E10" i="9"/>
  <c r="E9" i="9"/>
  <c r="E8" i="9"/>
  <c r="E7" i="9"/>
  <c r="E6" i="9"/>
  <c r="E5" i="9"/>
  <c r="E4" i="9"/>
  <c r="E35" i="8"/>
  <c r="E34" i="8"/>
  <c r="E33" i="8"/>
  <c r="E32" i="8"/>
  <c r="E31" i="8"/>
  <c r="E30" i="8"/>
  <c r="E29" i="8"/>
  <c r="E28" i="8"/>
  <c r="E27" i="8"/>
  <c r="E26" i="8"/>
  <c r="E24" i="8"/>
  <c r="E23" i="8"/>
  <c r="E22" i="8"/>
  <c r="E21" i="8"/>
  <c r="E20" i="8"/>
  <c r="E19" i="8"/>
  <c r="E18" i="8"/>
  <c r="E17" i="8"/>
  <c r="E16" i="8"/>
  <c r="E15" i="8"/>
  <c r="E13" i="8"/>
  <c r="E12" i="8"/>
  <c r="E11" i="8"/>
  <c r="E10" i="8"/>
  <c r="E9" i="8"/>
  <c r="E8" i="8"/>
  <c r="E7" i="8"/>
  <c r="E6" i="8"/>
  <c r="E5" i="8"/>
  <c r="E4" i="8"/>
  <c r="U7" i="12" l="1"/>
  <c r="V7" i="12" s="1"/>
  <c r="T8" i="12"/>
  <c r="J9" i="11"/>
  <c r="I10" i="11"/>
  <c r="I12" i="13"/>
  <c r="J11" i="13"/>
  <c r="E58" i="8"/>
  <c r="F58" i="8" s="1"/>
  <c r="E47" i="8"/>
  <c r="F47" i="8" s="1"/>
  <c r="E25" i="9"/>
  <c r="F25" i="9" s="1"/>
  <c r="E14" i="9"/>
  <c r="F14" i="9" s="1"/>
  <c r="E25" i="8"/>
  <c r="F25" i="8" s="1"/>
  <c r="E14" i="8"/>
  <c r="F14" i="8" s="1"/>
  <c r="E36" i="8"/>
  <c r="F36" i="8" s="1"/>
  <c r="E26" i="7"/>
  <c r="E36" i="7" s="1"/>
  <c r="F36" i="7" s="1"/>
  <c r="E24" i="7"/>
  <c r="E23" i="7"/>
  <c r="E22" i="7"/>
  <c r="E21" i="7"/>
  <c r="E20" i="7"/>
  <c r="E19" i="7"/>
  <c r="E18" i="7"/>
  <c r="E17" i="7"/>
  <c r="E16" i="7"/>
  <c r="E15" i="7"/>
  <c r="E13" i="7"/>
  <c r="E12" i="7"/>
  <c r="E11" i="7"/>
  <c r="E10" i="7"/>
  <c r="E9" i="7"/>
  <c r="E8" i="7"/>
  <c r="E7" i="7"/>
  <c r="E6" i="7"/>
  <c r="E5" i="7"/>
  <c r="E4" i="7"/>
  <c r="E113" i="7"/>
  <c r="F113" i="7" s="1"/>
  <c r="E102" i="7"/>
  <c r="F102" i="7" s="1"/>
  <c r="E91" i="7"/>
  <c r="F91" i="7" s="1"/>
  <c r="F80" i="7"/>
  <c r="E80" i="7"/>
  <c r="E69" i="7"/>
  <c r="F69" i="7" s="1"/>
  <c r="E58" i="7"/>
  <c r="F58" i="7" s="1"/>
  <c r="E47" i="7"/>
  <c r="F47" i="7" s="1"/>
  <c r="U8" i="12" l="1"/>
  <c r="V8" i="12" s="1"/>
  <c r="T9" i="12"/>
  <c r="F2" i="9"/>
  <c r="J12" i="13"/>
  <c r="I13" i="13"/>
  <c r="F2" i="8"/>
  <c r="I11" i="11"/>
  <c r="J10" i="11"/>
  <c r="E25" i="7"/>
  <c r="F25" i="7" s="1"/>
  <c r="E14" i="7"/>
  <c r="F14" i="7" s="1"/>
  <c r="E13" i="6"/>
  <c r="E12" i="6"/>
  <c r="E11" i="6"/>
  <c r="E10" i="6"/>
  <c r="E9" i="6"/>
  <c r="E8" i="6"/>
  <c r="E7" i="6"/>
  <c r="E6" i="6"/>
  <c r="E5" i="6"/>
  <c r="E4" i="6"/>
  <c r="E25" i="6"/>
  <c r="F25" i="6" s="1"/>
  <c r="E41" i="4"/>
  <c r="E40" i="4"/>
  <c r="E39" i="4"/>
  <c r="E38" i="4"/>
  <c r="E37" i="4"/>
  <c r="E35" i="4"/>
  <c r="E34" i="4"/>
  <c r="E33" i="4"/>
  <c r="E32" i="4"/>
  <c r="E31" i="4"/>
  <c r="E30" i="4"/>
  <c r="E29" i="4"/>
  <c r="E28" i="4"/>
  <c r="E27" i="4"/>
  <c r="E26" i="4"/>
  <c r="E24" i="4"/>
  <c r="E23" i="4"/>
  <c r="E22" i="4"/>
  <c r="E21" i="4"/>
  <c r="E20" i="4"/>
  <c r="E19" i="4"/>
  <c r="E18" i="4"/>
  <c r="E17" i="4"/>
  <c r="E16" i="4"/>
  <c r="E15" i="4"/>
  <c r="E30" i="5"/>
  <c r="E29" i="5"/>
  <c r="E28" i="5"/>
  <c r="E27" i="5"/>
  <c r="E26" i="5"/>
  <c r="E24" i="5"/>
  <c r="E23" i="5"/>
  <c r="E22" i="5"/>
  <c r="E21" i="5"/>
  <c r="E20" i="5"/>
  <c r="E19" i="5"/>
  <c r="E18" i="5"/>
  <c r="E17" i="5"/>
  <c r="E16" i="5"/>
  <c r="E15" i="5"/>
  <c r="E13" i="5"/>
  <c r="E12" i="5"/>
  <c r="E11" i="5"/>
  <c r="E10" i="5"/>
  <c r="E9" i="5"/>
  <c r="E8" i="5"/>
  <c r="E7" i="5"/>
  <c r="E6" i="5"/>
  <c r="E5" i="5"/>
  <c r="E4" i="5"/>
  <c r="E190" i="5"/>
  <c r="F190" i="5" s="1"/>
  <c r="E179" i="5"/>
  <c r="F179" i="5" s="1"/>
  <c r="E168" i="5"/>
  <c r="F168" i="5" s="1"/>
  <c r="E157" i="5"/>
  <c r="F157" i="5" s="1"/>
  <c r="E146" i="5"/>
  <c r="F146" i="5" s="1"/>
  <c r="E135" i="5"/>
  <c r="F135" i="5" s="1"/>
  <c r="E124" i="5"/>
  <c r="F124" i="5" s="1"/>
  <c r="E113" i="5"/>
  <c r="F113" i="5" s="1"/>
  <c r="E102" i="5"/>
  <c r="F102" i="5" s="1"/>
  <c r="E91" i="5"/>
  <c r="F91" i="5" s="1"/>
  <c r="E80" i="5"/>
  <c r="F80" i="5" s="1"/>
  <c r="E69" i="5"/>
  <c r="F69" i="5" s="1"/>
  <c r="E58" i="5"/>
  <c r="F58" i="5" s="1"/>
  <c r="E47" i="5"/>
  <c r="F47" i="5" s="1"/>
  <c r="M4" i="6" l="1"/>
  <c r="G1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6" i="6" s="1"/>
  <c r="U9" i="12"/>
  <c r="V9" i="12" s="1"/>
  <c r="T10" i="12"/>
  <c r="J11" i="11"/>
  <c r="I12" i="11"/>
  <c r="J13" i="13"/>
  <c r="I15" i="13"/>
  <c r="E14" i="6"/>
  <c r="F14" i="6" s="1"/>
  <c r="F2" i="6" s="1"/>
  <c r="E36" i="5"/>
  <c r="F36" i="5" s="1"/>
  <c r="F2" i="7"/>
  <c r="E25" i="5"/>
  <c r="F25" i="5" s="1"/>
  <c r="E14" i="5"/>
  <c r="F14" i="5" s="1"/>
  <c r="E24" i="3"/>
  <c r="E23" i="3"/>
  <c r="E22" i="3"/>
  <c r="E21" i="3"/>
  <c r="E20" i="3"/>
  <c r="E19" i="3"/>
  <c r="M5" i="6" l="1"/>
  <c r="N4" i="6"/>
  <c r="O4" i="6" s="1"/>
  <c r="U10" i="12"/>
  <c r="V10" i="12" s="1"/>
  <c r="T11" i="12"/>
  <c r="F2" i="5"/>
  <c r="J15" i="13"/>
  <c r="I16" i="13"/>
  <c r="J12" i="11"/>
  <c r="I13" i="11"/>
  <c r="E18" i="3"/>
  <c r="E17" i="3"/>
  <c r="E16" i="3"/>
  <c r="E15" i="3"/>
  <c r="E13" i="3"/>
  <c r="E12" i="3"/>
  <c r="E11" i="3"/>
  <c r="E35" i="2"/>
  <c r="E34" i="2"/>
  <c r="E33" i="2"/>
  <c r="E32" i="2"/>
  <c r="E31" i="2"/>
  <c r="E30" i="2"/>
  <c r="E29" i="2"/>
  <c r="M6" i="6" l="1"/>
  <c r="N5" i="6"/>
  <c r="O5" i="6" s="1"/>
  <c r="U11" i="12"/>
  <c r="V11" i="12" s="1"/>
  <c r="T12" i="12"/>
  <c r="I15" i="11"/>
  <c r="J13" i="11"/>
  <c r="I17" i="13"/>
  <c r="J16" i="13"/>
  <c r="E28" i="2"/>
  <c r="E27" i="2"/>
  <c r="E26" i="2"/>
  <c r="E13" i="4"/>
  <c r="E12" i="4"/>
  <c r="E11" i="4"/>
  <c r="E10" i="4"/>
  <c r="E9" i="4"/>
  <c r="E8" i="4"/>
  <c r="E7" i="4"/>
  <c r="E6" i="4"/>
  <c r="E5" i="4"/>
  <c r="E4" i="4"/>
  <c r="E113" i="4"/>
  <c r="F113" i="4" s="1"/>
  <c r="E102" i="4"/>
  <c r="F102" i="4" s="1"/>
  <c r="E91" i="4"/>
  <c r="F91" i="4" s="1"/>
  <c r="E80" i="4"/>
  <c r="F80" i="4" s="1"/>
  <c r="E69" i="4"/>
  <c r="F69" i="4" s="1"/>
  <c r="E58" i="4"/>
  <c r="F58" i="4" s="1"/>
  <c r="E47" i="4"/>
  <c r="F47" i="4" s="1"/>
  <c r="E36" i="4"/>
  <c r="F36" i="4" s="1"/>
  <c r="E25" i="4"/>
  <c r="F25" i="4" s="1"/>
  <c r="M7" i="6" l="1"/>
  <c r="N6" i="6"/>
  <c r="O6" i="6" s="1"/>
  <c r="U12" i="12"/>
  <c r="V12" i="12" s="1"/>
  <c r="T13" i="12"/>
  <c r="I16" i="11"/>
  <c r="J15" i="11"/>
  <c r="J17" i="13"/>
  <c r="I18" i="13"/>
  <c r="E14" i="4"/>
  <c r="F14" i="4" s="1"/>
  <c r="F2" i="4" s="1"/>
  <c r="E10" i="3"/>
  <c r="E9" i="3"/>
  <c r="E8" i="3"/>
  <c r="E7" i="3"/>
  <c r="E6" i="3"/>
  <c r="E5" i="3"/>
  <c r="E4" i="3"/>
  <c r="R4" i="3" s="1"/>
  <c r="E69" i="3"/>
  <c r="F69" i="3" s="1"/>
  <c r="E113" i="3"/>
  <c r="F113" i="3" s="1"/>
  <c r="E102" i="3"/>
  <c r="F102" i="3" s="1"/>
  <c r="E91" i="3"/>
  <c r="F91" i="3" s="1"/>
  <c r="E80" i="3"/>
  <c r="F80" i="3" s="1"/>
  <c r="E58" i="3"/>
  <c r="F58" i="3" s="1"/>
  <c r="E47" i="3"/>
  <c r="F47" i="3" s="1"/>
  <c r="E36" i="3"/>
  <c r="F36" i="3" s="1"/>
  <c r="E25" i="3"/>
  <c r="F25" i="3" s="1"/>
  <c r="M8" i="6" l="1"/>
  <c r="N7" i="6"/>
  <c r="O7" i="6" s="1"/>
  <c r="U13" i="12"/>
  <c r="V13" i="12" s="1"/>
  <c r="T15" i="12"/>
  <c r="R5" i="3"/>
  <c r="Y5" i="3" s="1"/>
  <c r="I17" i="11"/>
  <c r="J16" i="11"/>
  <c r="I19" i="13"/>
  <c r="J18" i="13"/>
  <c r="Y4" i="3"/>
  <c r="S4" i="3"/>
  <c r="T4" i="3" s="1"/>
  <c r="E14" i="3"/>
  <c r="F14" i="3" s="1"/>
  <c r="F2" i="3" s="1"/>
  <c r="E24" i="2"/>
  <c r="E23" i="2"/>
  <c r="E22" i="2"/>
  <c r="E21" i="2"/>
  <c r="E20" i="2"/>
  <c r="E19" i="2"/>
  <c r="E18" i="2"/>
  <c r="E17" i="2"/>
  <c r="E16" i="2"/>
  <c r="E15" i="2"/>
  <c r="E13" i="2"/>
  <c r="E12" i="2"/>
  <c r="E11" i="2"/>
  <c r="E10" i="2"/>
  <c r="E9" i="2"/>
  <c r="E8" i="2"/>
  <c r="E6" i="2"/>
  <c r="E5" i="2"/>
  <c r="E7" i="2"/>
  <c r="E4" i="2"/>
  <c r="I4" i="2" s="1"/>
  <c r="E80" i="2"/>
  <c r="F80" i="2" s="1"/>
  <c r="E69" i="2"/>
  <c r="F69" i="2" s="1"/>
  <c r="E58" i="2"/>
  <c r="F58" i="2" s="1"/>
  <c r="E47" i="2"/>
  <c r="F47" i="2" s="1"/>
  <c r="E36" i="2"/>
  <c r="F36" i="2" s="1"/>
  <c r="M9" i="6" l="1"/>
  <c r="N8" i="6"/>
  <c r="O8" i="6" s="1"/>
  <c r="U15" i="12"/>
  <c r="V15" i="12" s="1"/>
  <c r="T16" i="12"/>
  <c r="S5" i="3"/>
  <c r="T5" i="3" s="1"/>
  <c r="R6" i="3"/>
  <c r="R7" i="3" s="1"/>
  <c r="R8" i="3" s="1"/>
  <c r="I5" i="2"/>
  <c r="J5" i="2" s="1"/>
  <c r="J4" i="2"/>
  <c r="J19" i="13"/>
  <c r="I20" i="13"/>
  <c r="I18" i="11"/>
  <c r="J17" i="11"/>
  <c r="E25" i="2"/>
  <c r="F25" i="2" s="1"/>
  <c r="E14" i="2"/>
  <c r="F14" i="2" s="1"/>
  <c r="E86" i="2"/>
  <c r="F86" i="2" s="1"/>
  <c r="E112" i="1"/>
  <c r="E111" i="1"/>
  <c r="E110" i="1"/>
  <c r="E109" i="1"/>
  <c r="E108" i="1"/>
  <c r="E107" i="1"/>
  <c r="E106" i="1"/>
  <c r="E105" i="1"/>
  <c r="E104" i="1"/>
  <c r="E103" i="1"/>
  <c r="E101" i="1"/>
  <c r="E100" i="1"/>
  <c r="E99" i="1"/>
  <c r="E98" i="1"/>
  <c r="E97" i="1"/>
  <c r="E96" i="1"/>
  <c r="E95" i="1"/>
  <c r="E94" i="1"/>
  <c r="E93" i="1"/>
  <c r="E92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5" i="1"/>
  <c r="E74" i="1"/>
  <c r="E73" i="1"/>
  <c r="E72" i="1"/>
  <c r="E71" i="1"/>
  <c r="E70" i="1"/>
  <c r="E67" i="1"/>
  <c r="E68" i="1"/>
  <c r="E66" i="1"/>
  <c r="E65" i="1"/>
  <c r="E64" i="1"/>
  <c r="E63" i="1"/>
  <c r="E62" i="1"/>
  <c r="E61" i="1"/>
  <c r="E60" i="1"/>
  <c r="E59" i="1"/>
  <c r="E57" i="1"/>
  <c r="E56" i="1"/>
  <c r="E55" i="1"/>
  <c r="E54" i="1"/>
  <c r="E53" i="1"/>
  <c r="E52" i="1"/>
  <c r="E51" i="1"/>
  <c r="E50" i="1"/>
  <c r="E49" i="1"/>
  <c r="E48" i="1"/>
  <c r="M10" i="6" l="1"/>
  <c r="N9" i="6"/>
  <c r="O9" i="6" s="1"/>
  <c r="T17" i="12"/>
  <c r="U16" i="12"/>
  <c r="V16" i="12" s="1"/>
  <c r="S6" i="3"/>
  <c r="T6" i="3" s="1"/>
  <c r="S7" i="3"/>
  <c r="T7" i="3" s="1"/>
  <c r="Y7" i="3"/>
  <c r="Y6" i="3"/>
  <c r="J18" i="11"/>
  <c r="I19" i="11"/>
  <c r="I6" i="2"/>
  <c r="J20" i="13"/>
  <c r="I21" i="13"/>
  <c r="Y8" i="3"/>
  <c r="S8" i="3"/>
  <c r="T8" i="3" s="1"/>
  <c r="R9" i="3"/>
  <c r="F2" i="2"/>
  <c r="E113" i="1"/>
  <c r="F113" i="1" s="1"/>
  <c r="E102" i="1"/>
  <c r="F102" i="1" s="1"/>
  <c r="E91" i="1"/>
  <c r="F91" i="1" s="1"/>
  <c r="E80" i="1"/>
  <c r="F80" i="1" s="1"/>
  <c r="E69" i="1"/>
  <c r="F69" i="1" s="1"/>
  <c r="E58" i="1"/>
  <c r="F58" i="1" s="1"/>
  <c r="E46" i="1"/>
  <c r="E45" i="1"/>
  <c r="E44" i="1"/>
  <c r="E43" i="1"/>
  <c r="E42" i="1"/>
  <c r="E41" i="1"/>
  <c r="E40" i="1"/>
  <c r="E39" i="1"/>
  <c r="E38" i="1"/>
  <c r="E37" i="1"/>
  <c r="E35" i="1"/>
  <c r="E34" i="1"/>
  <c r="E33" i="1"/>
  <c r="E32" i="1"/>
  <c r="E31" i="1"/>
  <c r="E30" i="1"/>
  <c r="E29" i="1"/>
  <c r="E28" i="1"/>
  <c r="E27" i="1"/>
  <c r="E26" i="1"/>
  <c r="E24" i="1"/>
  <c r="E23" i="1"/>
  <c r="E22" i="1"/>
  <c r="E21" i="1"/>
  <c r="E20" i="1"/>
  <c r="E19" i="1"/>
  <c r="E18" i="1"/>
  <c r="E17" i="1"/>
  <c r="E16" i="1"/>
  <c r="E15" i="1"/>
  <c r="M11" i="6" l="1"/>
  <c r="N10" i="6"/>
  <c r="O10" i="6" s="1"/>
  <c r="U17" i="12"/>
  <c r="V17" i="12" s="1"/>
  <c r="T18" i="12"/>
  <c r="I22" i="13"/>
  <c r="J21" i="13"/>
  <c r="Y9" i="3"/>
  <c r="S9" i="3"/>
  <c r="T9" i="3" s="1"/>
  <c r="R10" i="3"/>
  <c r="J6" i="2"/>
  <c r="I7" i="2"/>
  <c r="J19" i="11"/>
  <c r="I20" i="11"/>
  <c r="E25" i="1"/>
  <c r="F25" i="1" s="1"/>
  <c r="E47" i="1"/>
  <c r="F47" i="1" s="1"/>
  <c r="E36" i="1"/>
  <c r="F36" i="1" s="1"/>
  <c r="E13" i="1"/>
  <c r="E12" i="1"/>
  <c r="E11" i="1"/>
  <c r="E10" i="1"/>
  <c r="E9" i="1"/>
  <c r="E8" i="1"/>
  <c r="E7" i="1"/>
  <c r="E5" i="1"/>
  <c r="E4" i="1"/>
  <c r="E6" i="1"/>
  <c r="G1" i="1" l="1"/>
  <c r="I4" i="1" s="1"/>
  <c r="M12" i="6"/>
  <c r="N11" i="6"/>
  <c r="O11" i="6" s="1"/>
  <c r="U18" i="12"/>
  <c r="V18" i="12" s="1"/>
  <c r="T19" i="12"/>
  <c r="I21" i="11"/>
  <c r="J20" i="11"/>
  <c r="Y10" i="3"/>
  <c r="S10" i="3"/>
  <c r="T10" i="3" s="1"/>
  <c r="R11" i="3"/>
  <c r="I23" i="13"/>
  <c r="J22" i="13"/>
  <c r="J7" i="2"/>
  <c r="I8" i="2"/>
  <c r="E14" i="1"/>
  <c r="F14" i="1" s="1"/>
  <c r="F2" i="1" s="1"/>
  <c r="M13" i="6" l="1"/>
  <c r="N12" i="6"/>
  <c r="O12" i="6" s="1"/>
  <c r="U19" i="12"/>
  <c r="V19" i="12" s="1"/>
  <c r="T20" i="12"/>
  <c r="I5" i="1"/>
  <c r="I6" i="1" s="1"/>
  <c r="I7" i="1" s="1"/>
  <c r="I8" i="1" s="1"/>
  <c r="I9" i="1" s="1"/>
  <c r="I10" i="1" s="1"/>
  <c r="I11" i="1" s="1"/>
  <c r="I12" i="1" s="1"/>
  <c r="I13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J23" i="13"/>
  <c r="I24" i="13"/>
  <c r="J8" i="2"/>
  <c r="I9" i="2"/>
  <c r="Y11" i="3"/>
  <c r="S11" i="3"/>
  <c r="T11" i="3" s="1"/>
  <c r="R12" i="3"/>
  <c r="I22" i="11"/>
  <c r="J21" i="11"/>
  <c r="M15" i="6" l="1"/>
  <c r="N13" i="6"/>
  <c r="O13" i="6" s="1"/>
  <c r="T21" i="12"/>
  <c r="U20" i="12"/>
  <c r="V20" i="12" s="1"/>
  <c r="I23" i="11"/>
  <c r="J22" i="11"/>
  <c r="J9" i="2"/>
  <c r="I10" i="2"/>
  <c r="Y12" i="3"/>
  <c r="S12" i="3"/>
  <c r="T12" i="3" s="1"/>
  <c r="R13" i="3"/>
  <c r="I26" i="13"/>
  <c r="J24" i="13"/>
  <c r="M16" i="6" l="1"/>
  <c r="N15" i="6"/>
  <c r="O15" i="6" s="1"/>
  <c r="T22" i="12"/>
  <c r="U21" i="12"/>
  <c r="V21" i="12" s="1"/>
  <c r="J26" i="13"/>
  <c r="I27" i="13"/>
  <c r="J10" i="2"/>
  <c r="I11" i="2"/>
  <c r="S13" i="3"/>
  <c r="T13" i="3" s="1"/>
  <c r="Y13" i="3"/>
  <c r="R15" i="3"/>
  <c r="I24" i="11"/>
  <c r="J23" i="11"/>
  <c r="M17" i="6" l="1"/>
  <c r="N16" i="6"/>
  <c r="O16" i="6" s="1"/>
  <c r="T23" i="12"/>
  <c r="U22" i="12"/>
  <c r="V22" i="12" s="1"/>
  <c r="J24" i="11"/>
  <c r="I26" i="11"/>
  <c r="J11" i="2"/>
  <c r="I12" i="2"/>
  <c r="J27" i="13"/>
  <c r="I28" i="13"/>
  <c r="Y15" i="3"/>
  <c r="S15" i="3"/>
  <c r="T15" i="3" s="1"/>
  <c r="R16" i="3"/>
  <c r="M18" i="6" l="1"/>
  <c r="N17" i="6"/>
  <c r="O17" i="6" s="1"/>
  <c r="U23" i="12"/>
  <c r="V23" i="12" s="1"/>
  <c r="T24" i="12"/>
  <c r="J12" i="2"/>
  <c r="I13" i="2"/>
  <c r="I29" i="13"/>
  <c r="J28" i="13"/>
  <c r="I27" i="11"/>
  <c r="J26" i="11"/>
  <c r="Y16" i="3"/>
  <c r="S16" i="3"/>
  <c r="T16" i="3" s="1"/>
  <c r="R17" i="3"/>
  <c r="M19" i="6" l="1"/>
  <c r="N18" i="6"/>
  <c r="O18" i="6" s="1"/>
  <c r="T26" i="12"/>
  <c r="U24" i="12"/>
  <c r="V24" i="12" s="1"/>
  <c r="I30" i="13"/>
  <c r="J29" i="13"/>
  <c r="J13" i="2"/>
  <c r="I15" i="2"/>
  <c r="S17" i="3"/>
  <c r="T17" i="3" s="1"/>
  <c r="Y17" i="3"/>
  <c r="R18" i="3"/>
  <c r="J27" i="11"/>
  <c r="I28" i="11"/>
  <c r="M20" i="6" l="1"/>
  <c r="N19" i="6"/>
  <c r="O19" i="6" s="1"/>
  <c r="T27" i="12"/>
  <c r="U26" i="12"/>
  <c r="V26" i="12" s="1"/>
  <c r="J15" i="2"/>
  <c r="I16" i="2"/>
  <c r="Y18" i="3"/>
  <c r="S18" i="3"/>
  <c r="T18" i="3" s="1"/>
  <c r="R19" i="3"/>
  <c r="J28" i="11"/>
  <c r="I29" i="11"/>
  <c r="I31" i="13"/>
  <c r="J30" i="13"/>
  <c r="M21" i="6" l="1"/>
  <c r="N20" i="6"/>
  <c r="O20" i="6" s="1"/>
  <c r="U27" i="12"/>
  <c r="V27" i="12" s="1"/>
  <c r="T28" i="12"/>
  <c r="I32" i="13"/>
  <c r="J31" i="13"/>
  <c r="J29" i="11"/>
  <c r="I30" i="11"/>
  <c r="J16" i="2"/>
  <c r="I17" i="2"/>
  <c r="Y19" i="3"/>
  <c r="S19" i="3"/>
  <c r="T19" i="3" s="1"/>
  <c r="R20" i="3"/>
  <c r="M22" i="6" l="1"/>
  <c r="N21" i="6"/>
  <c r="O21" i="6" s="1"/>
  <c r="U28" i="12"/>
  <c r="V28" i="12" s="1"/>
  <c r="T29" i="12"/>
  <c r="I31" i="11"/>
  <c r="J30" i="11"/>
  <c r="J17" i="2"/>
  <c r="I18" i="2"/>
  <c r="Y20" i="3"/>
  <c r="S20" i="3"/>
  <c r="T20" i="3" s="1"/>
  <c r="R21" i="3"/>
  <c r="J32" i="13"/>
  <c r="I33" i="13"/>
  <c r="M23" i="6" l="1"/>
  <c r="N22" i="6"/>
  <c r="O22" i="6" s="1"/>
  <c r="T30" i="12"/>
  <c r="U29" i="12"/>
  <c r="V29" i="12" s="1"/>
  <c r="J18" i="2"/>
  <c r="I19" i="2"/>
  <c r="Y21" i="3"/>
  <c r="S21" i="3"/>
  <c r="T21" i="3" s="1"/>
  <c r="R22" i="3"/>
  <c r="I34" i="13"/>
  <c r="J33" i="13"/>
  <c r="J31" i="11"/>
  <c r="I32" i="11"/>
  <c r="M24" i="6" l="1"/>
  <c r="N23" i="6"/>
  <c r="O23" i="6" s="1"/>
  <c r="T31" i="12"/>
  <c r="U30" i="12"/>
  <c r="V30" i="12" s="1"/>
  <c r="J34" i="13"/>
  <c r="I35" i="13"/>
  <c r="J19" i="2"/>
  <c r="I20" i="2"/>
  <c r="I33" i="11"/>
  <c r="J32" i="11"/>
  <c r="Y22" i="3"/>
  <c r="S22" i="3"/>
  <c r="T22" i="3" s="1"/>
  <c r="R23" i="3"/>
  <c r="M26" i="6" l="1"/>
  <c r="N26" i="6" s="1"/>
  <c r="O26" i="6" s="1"/>
  <c r="N24" i="6"/>
  <c r="O24" i="6" s="1"/>
  <c r="U31" i="12"/>
  <c r="V31" i="12" s="1"/>
  <c r="T32" i="12"/>
  <c r="J20" i="2"/>
  <c r="I21" i="2"/>
  <c r="I37" i="13"/>
  <c r="J35" i="13"/>
  <c r="Y23" i="3"/>
  <c r="S23" i="3"/>
  <c r="T23" i="3" s="1"/>
  <c r="R24" i="3"/>
  <c r="J33" i="11"/>
  <c r="I34" i="11"/>
  <c r="U32" i="12" l="1"/>
  <c r="V32" i="12" s="1"/>
  <c r="T33" i="12"/>
  <c r="S24" i="3"/>
  <c r="T24" i="3" s="1"/>
  <c r="Y24" i="3"/>
  <c r="R26" i="3"/>
  <c r="J37" i="13"/>
  <c r="I38" i="13"/>
  <c r="J21" i="2"/>
  <c r="I22" i="2"/>
  <c r="I35" i="11"/>
  <c r="J34" i="11"/>
  <c r="T34" i="12" l="1"/>
  <c r="U33" i="12"/>
  <c r="V33" i="12" s="1"/>
  <c r="J35" i="11"/>
  <c r="I37" i="11"/>
  <c r="Y26" i="3"/>
  <c r="S26" i="3"/>
  <c r="T26" i="3" s="1"/>
  <c r="R27" i="3"/>
  <c r="I23" i="2"/>
  <c r="J22" i="2"/>
  <c r="I39" i="13"/>
  <c r="J38" i="13"/>
  <c r="T35" i="12" l="1"/>
  <c r="U34" i="12"/>
  <c r="V34" i="12" s="1"/>
  <c r="J39" i="13"/>
  <c r="I40" i="13"/>
  <c r="I24" i="2"/>
  <c r="J23" i="2"/>
  <c r="I38" i="11"/>
  <c r="J37" i="11"/>
  <c r="Y27" i="3"/>
  <c r="S27" i="3"/>
  <c r="T27" i="3" s="1"/>
  <c r="R28" i="3"/>
  <c r="U35" i="12" l="1"/>
  <c r="V35" i="12" s="1"/>
  <c r="T37" i="12"/>
  <c r="J24" i="2"/>
  <c r="I26" i="2"/>
  <c r="I41" i="13"/>
  <c r="J40" i="13"/>
  <c r="S28" i="3"/>
  <c r="T28" i="3" s="1"/>
  <c r="Y28" i="3"/>
  <c r="R29" i="3"/>
  <c r="J38" i="11"/>
  <c r="I39" i="11"/>
  <c r="U37" i="12" l="1"/>
  <c r="V37" i="12" s="1"/>
  <c r="T38" i="12"/>
  <c r="J41" i="13"/>
  <c r="I42" i="13"/>
  <c r="S29" i="3"/>
  <c r="T29" i="3" s="1"/>
  <c r="Y29" i="3"/>
  <c r="R30" i="3"/>
  <c r="I27" i="2"/>
  <c r="J26" i="2"/>
  <c r="I40" i="11"/>
  <c r="J39" i="11"/>
  <c r="T39" i="12" l="1"/>
  <c r="U38" i="12"/>
  <c r="V38" i="12" s="1"/>
  <c r="J40" i="11"/>
  <c r="I41" i="11"/>
  <c r="I43" i="13"/>
  <c r="J42" i="13"/>
  <c r="I28" i="2"/>
  <c r="J27" i="2"/>
  <c r="Y30" i="3"/>
  <c r="S30" i="3"/>
  <c r="T30" i="3" s="1"/>
  <c r="R31" i="3"/>
  <c r="T40" i="12" l="1"/>
  <c r="U39" i="12"/>
  <c r="V39" i="12" s="1"/>
  <c r="J43" i="13"/>
  <c r="I44" i="13"/>
  <c r="I42" i="11"/>
  <c r="J41" i="11"/>
  <c r="R32" i="3"/>
  <c r="Y31" i="3"/>
  <c r="S31" i="3"/>
  <c r="T31" i="3" s="1"/>
  <c r="J28" i="2"/>
  <c r="I29" i="2"/>
  <c r="U40" i="12" l="1"/>
  <c r="V40" i="12" s="1"/>
  <c r="T41" i="12"/>
  <c r="J42" i="11"/>
  <c r="I43" i="11"/>
  <c r="I45" i="13"/>
  <c r="J44" i="13"/>
  <c r="J29" i="2"/>
  <c r="I30" i="2"/>
  <c r="Y32" i="3"/>
  <c r="S32" i="3"/>
  <c r="T32" i="3" s="1"/>
  <c r="R33" i="3"/>
  <c r="U41" i="12" l="1"/>
  <c r="V41" i="12" s="1"/>
  <c r="T42" i="12"/>
  <c r="J45" i="13"/>
  <c r="I46" i="13"/>
  <c r="J30" i="2"/>
  <c r="I31" i="2"/>
  <c r="I44" i="11"/>
  <c r="J43" i="11"/>
  <c r="Y33" i="3"/>
  <c r="S33" i="3"/>
  <c r="T33" i="3" s="1"/>
  <c r="R34" i="3"/>
  <c r="T43" i="12" l="1"/>
  <c r="U42" i="12"/>
  <c r="V42" i="12" s="1"/>
  <c r="I32" i="2"/>
  <c r="J31" i="2"/>
  <c r="I48" i="13"/>
  <c r="J46" i="13"/>
  <c r="Y34" i="3"/>
  <c r="S34" i="3"/>
  <c r="T34" i="3" s="1"/>
  <c r="R35" i="3"/>
  <c r="J44" i="11"/>
  <c r="I45" i="11"/>
  <c r="T44" i="12" l="1"/>
  <c r="U43" i="12"/>
  <c r="V43" i="12" s="1"/>
  <c r="J48" i="13"/>
  <c r="I49" i="13"/>
  <c r="S35" i="3"/>
  <c r="T35" i="3" s="1"/>
  <c r="Y35" i="3"/>
  <c r="R37" i="3"/>
  <c r="I46" i="11"/>
  <c r="J45" i="11"/>
  <c r="J32" i="2"/>
  <c r="I33" i="2"/>
  <c r="U44" i="12" l="1"/>
  <c r="V44" i="12" s="1"/>
  <c r="T45" i="12"/>
  <c r="I48" i="11"/>
  <c r="J46" i="11"/>
  <c r="I50" i="13"/>
  <c r="J49" i="13"/>
  <c r="I34" i="2"/>
  <c r="J33" i="2"/>
  <c r="Y37" i="3"/>
  <c r="S37" i="3"/>
  <c r="T37" i="3" s="1"/>
  <c r="R38" i="3"/>
  <c r="U45" i="12" l="1"/>
  <c r="V45" i="12" s="1"/>
  <c r="T46" i="12"/>
  <c r="J50" i="13"/>
  <c r="I51" i="13"/>
  <c r="Y38" i="3"/>
  <c r="S38" i="3"/>
  <c r="T38" i="3" s="1"/>
  <c r="R39" i="3"/>
  <c r="J34" i="2"/>
  <c r="I35" i="2"/>
  <c r="J48" i="11"/>
  <c r="I49" i="11"/>
  <c r="T48" i="12" l="1"/>
  <c r="U46" i="12"/>
  <c r="V46" i="12" s="1"/>
  <c r="J35" i="2"/>
  <c r="I37" i="2"/>
  <c r="I52" i="13"/>
  <c r="J51" i="13"/>
  <c r="I50" i="11"/>
  <c r="J49" i="11"/>
  <c r="Y39" i="3"/>
  <c r="S39" i="3"/>
  <c r="T39" i="3" s="1"/>
  <c r="R40" i="3"/>
  <c r="T49" i="12" l="1"/>
  <c r="U48" i="12"/>
  <c r="V48" i="12" s="1"/>
  <c r="J37" i="2"/>
  <c r="I38" i="2"/>
  <c r="I53" i="13"/>
  <c r="J52" i="13"/>
  <c r="S40" i="3"/>
  <c r="T40" i="3" s="1"/>
  <c r="Y40" i="3"/>
  <c r="R41" i="3"/>
  <c r="J50" i="11"/>
  <c r="I51" i="11"/>
  <c r="U49" i="12" l="1"/>
  <c r="V49" i="12" s="1"/>
  <c r="T50" i="12"/>
  <c r="I54" i="13"/>
  <c r="J53" i="13"/>
  <c r="I39" i="2"/>
  <c r="J38" i="2"/>
  <c r="Y41" i="3"/>
  <c r="S41" i="3"/>
  <c r="T41" i="3" s="1"/>
  <c r="R42" i="3"/>
  <c r="I52" i="11"/>
  <c r="J51" i="11"/>
  <c r="U50" i="12" l="1"/>
  <c r="V50" i="12" s="1"/>
  <c r="T51" i="12"/>
  <c r="Y42" i="3"/>
  <c r="S42" i="3"/>
  <c r="T42" i="3" s="1"/>
  <c r="R43" i="3"/>
  <c r="I53" i="11"/>
  <c r="J52" i="11"/>
  <c r="J39" i="2"/>
  <c r="I40" i="2"/>
  <c r="J54" i="13"/>
  <c r="I55" i="13"/>
  <c r="T52" i="12" l="1"/>
  <c r="U51" i="12"/>
  <c r="V51" i="12" s="1"/>
  <c r="J53" i="11"/>
  <c r="I54" i="11"/>
  <c r="I41" i="2"/>
  <c r="J40" i="2"/>
  <c r="Y43" i="3"/>
  <c r="S43" i="3"/>
  <c r="T43" i="3" s="1"/>
  <c r="R44" i="3"/>
  <c r="J55" i="13"/>
  <c r="I56" i="13"/>
  <c r="U52" i="12" l="1"/>
  <c r="V52" i="12" s="1"/>
  <c r="T53" i="12"/>
  <c r="S44" i="3"/>
  <c r="T44" i="3" s="1"/>
  <c r="Y44" i="3"/>
  <c r="R45" i="3"/>
  <c r="J54" i="11"/>
  <c r="I55" i="11"/>
  <c r="J41" i="2"/>
  <c r="I42" i="2"/>
  <c r="J56" i="13"/>
  <c r="I57" i="13"/>
  <c r="U53" i="12" l="1"/>
  <c r="V53" i="12" s="1"/>
  <c r="T54" i="12"/>
  <c r="J42" i="2"/>
  <c r="I43" i="2"/>
  <c r="R46" i="3"/>
  <c r="Y45" i="3"/>
  <c r="S45" i="3"/>
  <c r="T45" i="3" s="1"/>
  <c r="J57" i="13"/>
  <c r="I59" i="13"/>
  <c r="J55" i="11"/>
  <c r="I56" i="11"/>
  <c r="U54" i="12" l="1"/>
  <c r="V54" i="12" s="1"/>
  <c r="T55" i="12"/>
  <c r="S46" i="3"/>
  <c r="T46" i="3" s="1"/>
  <c r="Y46" i="3"/>
  <c r="R48" i="3"/>
  <c r="J43" i="2"/>
  <c r="I44" i="2"/>
  <c r="J59" i="13"/>
  <c r="I60" i="13"/>
  <c r="J60" i="13" s="1"/>
  <c r="J56" i="11"/>
  <c r="I57" i="11"/>
  <c r="T56" i="12" l="1"/>
  <c r="U55" i="12"/>
  <c r="V55" i="12" s="1"/>
  <c r="J57" i="11"/>
  <c r="I59" i="11"/>
  <c r="Y48" i="3"/>
  <c r="S48" i="3"/>
  <c r="T48" i="3" s="1"/>
  <c r="R49" i="3"/>
  <c r="I45" i="2"/>
  <c r="J44" i="2"/>
  <c r="T57" i="12" l="1"/>
  <c r="U56" i="12"/>
  <c r="V56" i="12" s="1"/>
  <c r="Y49" i="3"/>
  <c r="S49" i="3"/>
  <c r="T49" i="3" s="1"/>
  <c r="R50" i="3"/>
  <c r="J45" i="2"/>
  <c r="I46" i="2"/>
  <c r="J59" i="11"/>
  <c r="I60" i="11"/>
  <c r="U57" i="12" l="1"/>
  <c r="V57" i="12" s="1"/>
  <c r="T59" i="12"/>
  <c r="J46" i="2"/>
  <c r="I48" i="2"/>
  <c r="J60" i="11"/>
  <c r="I61" i="11"/>
  <c r="J61" i="11" s="1"/>
  <c r="R51" i="3"/>
  <c r="Y50" i="3"/>
  <c r="S50" i="3"/>
  <c r="T50" i="3" s="1"/>
  <c r="U59" i="12" l="1"/>
  <c r="V59" i="12" s="1"/>
  <c r="T60" i="12"/>
  <c r="Y51" i="3"/>
  <c r="S51" i="3"/>
  <c r="T51" i="3" s="1"/>
  <c r="R52" i="3"/>
  <c r="J48" i="2"/>
  <c r="I49" i="2"/>
  <c r="U60" i="12" l="1"/>
  <c r="V60" i="12" s="1"/>
  <c r="T61" i="12"/>
  <c r="I50" i="2"/>
  <c r="J49" i="2"/>
  <c r="S52" i="3"/>
  <c r="T52" i="3" s="1"/>
  <c r="Y52" i="3"/>
  <c r="R53" i="3"/>
  <c r="T62" i="12" l="1"/>
  <c r="U61" i="12"/>
  <c r="V61" i="12" s="1"/>
  <c r="R54" i="3"/>
  <c r="R55" i="3" s="1"/>
  <c r="Y53" i="3"/>
  <c r="S53" i="3"/>
  <c r="T53" i="3" s="1"/>
  <c r="I51" i="2"/>
  <c r="J50" i="2"/>
  <c r="T63" i="12" l="1"/>
  <c r="U62" i="12"/>
  <c r="V62" i="12" s="1"/>
  <c r="R56" i="3"/>
  <c r="S55" i="3"/>
  <c r="T55" i="3" s="1"/>
  <c r="Y54" i="3"/>
  <c r="S54" i="3"/>
  <c r="T54" i="3" s="1"/>
  <c r="I52" i="2"/>
  <c r="J51" i="2"/>
  <c r="U63" i="12" l="1"/>
  <c r="V63" i="12" s="1"/>
  <c r="T64" i="12"/>
  <c r="R57" i="3"/>
  <c r="S56" i="3"/>
  <c r="T56" i="3" s="1"/>
  <c r="I53" i="2"/>
  <c r="J52" i="2"/>
  <c r="U64" i="12" l="1"/>
  <c r="V64" i="12" s="1"/>
  <c r="T65" i="12"/>
  <c r="S57" i="3"/>
  <c r="T57" i="3" s="1"/>
  <c r="R59" i="3"/>
  <c r="I54" i="2"/>
  <c r="J53" i="2"/>
  <c r="T66" i="12" l="1"/>
  <c r="U65" i="12"/>
  <c r="V65" i="12" s="1"/>
  <c r="R60" i="3"/>
  <c r="S59" i="3"/>
  <c r="T59" i="3" s="1"/>
  <c r="J54" i="2"/>
  <c r="I55" i="2"/>
  <c r="T67" i="12" l="1"/>
  <c r="U66" i="12"/>
  <c r="V66" i="12" s="1"/>
  <c r="S60" i="3"/>
  <c r="T60" i="3" s="1"/>
  <c r="R61" i="3"/>
  <c r="J55" i="2"/>
  <c r="I56" i="2"/>
  <c r="U67" i="12" l="1"/>
  <c r="V67" i="12" s="1"/>
  <c r="T68" i="12"/>
  <c r="R62" i="3"/>
  <c r="S61" i="3"/>
  <c r="T61" i="3" s="1"/>
  <c r="J56" i="2"/>
  <c r="I57" i="2"/>
  <c r="U68" i="12" l="1"/>
  <c r="V68" i="12" s="1"/>
  <c r="T70" i="12"/>
  <c r="R63" i="3"/>
  <c r="S62" i="3"/>
  <c r="T62" i="3" s="1"/>
  <c r="J57" i="2"/>
  <c r="I59" i="2"/>
  <c r="T71" i="12" l="1"/>
  <c r="U70" i="12"/>
  <c r="V70" i="12" s="1"/>
  <c r="R64" i="3"/>
  <c r="S63" i="3"/>
  <c r="T63" i="3" s="1"/>
  <c r="J59" i="2"/>
  <c r="I60" i="2"/>
  <c r="T72" i="12" l="1"/>
  <c r="U71" i="12"/>
  <c r="V71" i="12" s="1"/>
  <c r="R65" i="3"/>
  <c r="S64" i="3"/>
  <c r="T64" i="3" s="1"/>
  <c r="J60" i="2"/>
  <c r="I61" i="2"/>
  <c r="U72" i="12" l="1"/>
  <c r="V72" i="12" s="1"/>
  <c r="T73" i="12"/>
  <c r="R66" i="3"/>
  <c r="S65" i="3"/>
  <c r="T65" i="3" s="1"/>
  <c r="J61" i="2"/>
  <c r="I62" i="2"/>
  <c r="U73" i="12" l="1"/>
  <c r="V73" i="12" s="1"/>
  <c r="T74" i="12"/>
  <c r="R67" i="3"/>
  <c r="S66" i="3"/>
  <c r="T66" i="3" s="1"/>
  <c r="I63" i="2"/>
  <c r="J62" i="2"/>
  <c r="T75" i="12" l="1"/>
  <c r="U74" i="12"/>
  <c r="V74" i="12" s="1"/>
  <c r="R68" i="3"/>
  <c r="S67" i="3"/>
  <c r="T67" i="3" s="1"/>
  <c r="I64" i="2"/>
  <c r="J63" i="2"/>
  <c r="T76" i="12" l="1"/>
  <c r="U75" i="12"/>
  <c r="V75" i="12" s="1"/>
  <c r="S68" i="3"/>
  <c r="T68" i="3" s="1"/>
  <c r="R70" i="3"/>
  <c r="I65" i="2"/>
  <c r="J64" i="2"/>
  <c r="U76" i="12" l="1"/>
  <c r="V76" i="12" s="1"/>
  <c r="T77" i="12"/>
  <c r="S70" i="3"/>
  <c r="T70" i="3" s="1"/>
  <c r="R71" i="3"/>
  <c r="I66" i="2"/>
  <c r="J65" i="2"/>
  <c r="U77" i="12" l="1"/>
  <c r="V77" i="12" s="1"/>
  <c r="T78" i="12"/>
  <c r="R72" i="3"/>
  <c r="S71" i="3"/>
  <c r="T71" i="3" s="1"/>
  <c r="J66" i="2"/>
  <c r="I67" i="2"/>
  <c r="T79" i="12" l="1"/>
  <c r="U78" i="12"/>
  <c r="V78" i="12" s="1"/>
  <c r="S72" i="3"/>
  <c r="T72" i="3" s="1"/>
  <c r="R73" i="3"/>
  <c r="J67" i="2"/>
  <c r="I68" i="2"/>
  <c r="T81" i="12" l="1"/>
  <c r="U79" i="12"/>
  <c r="V79" i="12" s="1"/>
  <c r="R74" i="3"/>
  <c r="S73" i="3"/>
  <c r="T73" i="3" s="1"/>
  <c r="J68" i="2"/>
  <c r="I70" i="2"/>
  <c r="U81" i="12" l="1"/>
  <c r="V81" i="12" s="1"/>
  <c r="T82" i="12"/>
  <c r="R75" i="3"/>
  <c r="S74" i="3"/>
  <c r="T74" i="3" s="1"/>
  <c r="J70" i="2"/>
  <c r="I71" i="2"/>
  <c r="U82" i="12" l="1"/>
  <c r="V82" i="12" s="1"/>
  <c r="T83" i="12"/>
  <c r="R76" i="3"/>
  <c r="S75" i="3"/>
  <c r="T75" i="3" s="1"/>
  <c r="J71" i="2"/>
  <c r="I72" i="2"/>
  <c r="T84" i="12" l="1"/>
  <c r="U83" i="12"/>
  <c r="V83" i="12" s="1"/>
  <c r="R77" i="3"/>
  <c r="S76" i="3"/>
  <c r="T76" i="3" s="1"/>
  <c r="I73" i="2"/>
  <c r="J72" i="2"/>
  <c r="T85" i="12" l="1"/>
  <c r="U84" i="12"/>
  <c r="V84" i="12" s="1"/>
  <c r="R78" i="3"/>
  <c r="S77" i="3"/>
  <c r="T77" i="3" s="1"/>
  <c r="I74" i="2"/>
  <c r="J73" i="2"/>
  <c r="U85" i="12" l="1"/>
  <c r="V85" i="12" s="1"/>
  <c r="T86" i="12"/>
  <c r="R79" i="3"/>
  <c r="S78" i="3"/>
  <c r="T78" i="3" s="1"/>
  <c r="I75" i="2"/>
  <c r="J74" i="2"/>
  <c r="U86" i="12" l="1"/>
  <c r="V86" i="12" s="1"/>
  <c r="T87" i="12"/>
  <c r="S79" i="3"/>
  <c r="T79" i="3" s="1"/>
  <c r="R81" i="3"/>
  <c r="S81" i="3" s="1"/>
  <c r="T81" i="3" s="1"/>
  <c r="I76" i="2"/>
  <c r="J75" i="2"/>
  <c r="T88" i="12" l="1"/>
  <c r="U87" i="12"/>
  <c r="V87" i="12" s="1"/>
  <c r="R82" i="3"/>
  <c r="R83" i="3" s="1"/>
  <c r="I77" i="2"/>
  <c r="J76" i="2"/>
  <c r="T89" i="12" l="1"/>
  <c r="U88" i="12"/>
  <c r="V88" i="12" s="1"/>
  <c r="S82" i="3"/>
  <c r="T82" i="3" s="1"/>
  <c r="R84" i="3"/>
  <c r="S83" i="3"/>
  <c r="T83" i="3" s="1"/>
  <c r="I78" i="2"/>
  <c r="J77" i="2"/>
  <c r="U89" i="12" l="1"/>
  <c r="V89" i="12" s="1"/>
  <c r="T90" i="12"/>
  <c r="R85" i="3"/>
  <c r="S84" i="3"/>
  <c r="T84" i="3" s="1"/>
  <c r="I79" i="2"/>
  <c r="J78" i="2"/>
  <c r="U90" i="12" l="1"/>
  <c r="V90" i="12" s="1"/>
  <c r="T92" i="12"/>
  <c r="R86" i="3"/>
  <c r="S85" i="3"/>
  <c r="T85" i="3" s="1"/>
  <c r="J79" i="2"/>
  <c r="I81" i="2"/>
  <c r="T93" i="12" l="1"/>
  <c r="U92" i="12"/>
  <c r="V92" i="12" s="1"/>
  <c r="R87" i="3"/>
  <c r="S86" i="3"/>
  <c r="T86" i="3" s="1"/>
  <c r="J81" i="2"/>
  <c r="I82" i="2"/>
  <c r="T94" i="12" l="1"/>
  <c r="U93" i="12"/>
  <c r="V93" i="12" s="1"/>
  <c r="R88" i="3"/>
  <c r="S87" i="3"/>
  <c r="T87" i="3" s="1"/>
  <c r="J82" i="2"/>
  <c r="I83" i="2"/>
  <c r="U94" i="12" l="1"/>
  <c r="V94" i="12" s="1"/>
  <c r="T95" i="12"/>
  <c r="R89" i="3"/>
  <c r="S88" i="3"/>
  <c r="T88" i="3" s="1"/>
  <c r="J83" i="2"/>
  <c r="I84" i="2"/>
  <c r="U95" i="12" l="1"/>
  <c r="V95" i="12" s="1"/>
  <c r="T96" i="12"/>
  <c r="S89" i="3"/>
  <c r="T89" i="3" s="1"/>
  <c r="R90" i="3"/>
  <c r="J84" i="2"/>
  <c r="I85" i="2"/>
  <c r="J85" i="2" s="1"/>
  <c r="T97" i="12" l="1"/>
  <c r="U96" i="12"/>
  <c r="V96" i="12" s="1"/>
  <c r="S90" i="3"/>
  <c r="T90" i="3" s="1"/>
  <c r="R92" i="3"/>
  <c r="T98" i="12" l="1"/>
  <c r="U97" i="12"/>
  <c r="V97" i="12" s="1"/>
  <c r="S92" i="3"/>
  <c r="T92" i="3" s="1"/>
  <c r="R93" i="3"/>
  <c r="U98" i="12" l="1"/>
  <c r="V98" i="12" s="1"/>
  <c r="T99" i="12"/>
  <c r="R94" i="3"/>
  <c r="S93" i="3"/>
  <c r="T93" i="3" s="1"/>
  <c r="U99" i="12" l="1"/>
  <c r="V99" i="12" s="1"/>
  <c r="T100" i="12"/>
  <c r="R95" i="3"/>
  <c r="S94" i="3"/>
  <c r="T94" i="3" s="1"/>
  <c r="T101" i="12" l="1"/>
  <c r="U100" i="12"/>
  <c r="V100" i="12" s="1"/>
  <c r="R96" i="3"/>
  <c r="S95" i="3"/>
  <c r="T95" i="3" s="1"/>
  <c r="T103" i="12" l="1"/>
  <c r="U101" i="12"/>
  <c r="V101" i="12" s="1"/>
  <c r="R97" i="3"/>
  <c r="S96" i="3"/>
  <c r="T96" i="3" s="1"/>
  <c r="U103" i="12" l="1"/>
  <c r="V103" i="12" s="1"/>
  <c r="T104" i="12"/>
  <c r="R98" i="3"/>
  <c r="S97" i="3"/>
  <c r="T97" i="3" s="1"/>
  <c r="U104" i="12" l="1"/>
  <c r="V104" i="12" s="1"/>
  <c r="T105" i="12"/>
  <c r="R99" i="3"/>
  <c r="S98" i="3"/>
  <c r="T98" i="3" s="1"/>
  <c r="T106" i="12" l="1"/>
  <c r="U105" i="12"/>
  <c r="V105" i="12" s="1"/>
  <c r="R100" i="3"/>
  <c r="S99" i="3"/>
  <c r="T99" i="3" s="1"/>
  <c r="T107" i="12" l="1"/>
  <c r="U106" i="12"/>
  <c r="V106" i="12" s="1"/>
  <c r="S100" i="3"/>
  <c r="T100" i="3" s="1"/>
  <c r="R101" i="3"/>
  <c r="U107" i="12" l="1"/>
  <c r="V107" i="12" s="1"/>
  <c r="T108" i="12"/>
  <c r="S101" i="3"/>
  <c r="T101" i="3" s="1"/>
  <c r="R103" i="3"/>
  <c r="T109" i="12" l="1"/>
  <c r="U108" i="12"/>
  <c r="V108" i="12" s="1"/>
  <c r="S103" i="3"/>
  <c r="T103" i="3" s="1"/>
  <c r="R104" i="3"/>
  <c r="U109" i="12" l="1"/>
  <c r="V109" i="12" s="1"/>
  <c r="T110" i="12"/>
  <c r="R105" i="3"/>
  <c r="S104" i="3"/>
  <c r="T104" i="3" s="1"/>
  <c r="U110" i="12" l="1"/>
  <c r="V110" i="12" s="1"/>
  <c r="T111" i="12"/>
  <c r="R106" i="3"/>
  <c r="S105" i="3"/>
  <c r="T105" i="3" s="1"/>
  <c r="U111" i="12" l="1"/>
  <c r="V111" i="12" s="1"/>
  <c r="T112" i="12"/>
  <c r="R107" i="3"/>
  <c r="S106" i="3"/>
  <c r="T106" i="3" s="1"/>
  <c r="U112" i="12" l="1"/>
  <c r="V112" i="12" s="1"/>
  <c r="T114" i="12"/>
  <c r="R108" i="3"/>
  <c r="S107" i="3"/>
  <c r="T107" i="3" s="1"/>
  <c r="T115" i="12" l="1"/>
  <c r="U114" i="12"/>
  <c r="V114" i="12" s="1"/>
  <c r="R109" i="3"/>
  <c r="S108" i="3"/>
  <c r="T108" i="3" s="1"/>
  <c r="U115" i="12" l="1"/>
  <c r="V115" i="12" s="1"/>
  <c r="T116" i="12"/>
  <c r="S109" i="3"/>
  <c r="T109" i="3" s="1"/>
  <c r="R110" i="3"/>
  <c r="U116" i="12" l="1"/>
  <c r="V116" i="12" s="1"/>
  <c r="T117" i="12"/>
  <c r="R111" i="3"/>
  <c r="S110" i="3"/>
  <c r="T110" i="3" s="1"/>
  <c r="U117" i="12" l="1"/>
  <c r="V117" i="12" s="1"/>
  <c r="T118" i="12"/>
  <c r="R112" i="3"/>
  <c r="S111" i="3"/>
  <c r="T111" i="3" s="1"/>
  <c r="T119" i="12" l="1"/>
  <c r="U118" i="12"/>
  <c r="V118" i="12" s="1"/>
  <c r="S112" i="3"/>
  <c r="T112" i="3" s="1"/>
  <c r="R114" i="3"/>
  <c r="T120" i="12" l="1"/>
  <c r="U119" i="12"/>
  <c r="V119" i="12" s="1"/>
  <c r="S114" i="3"/>
  <c r="T114" i="3" s="1"/>
  <c r="R115" i="3"/>
  <c r="U120" i="12" l="1"/>
  <c r="V120" i="12" s="1"/>
  <c r="T121" i="12"/>
  <c r="R116" i="3"/>
  <c r="S115" i="3"/>
  <c r="T115" i="3" s="1"/>
  <c r="U121" i="12" l="1"/>
  <c r="V121" i="12" s="1"/>
  <c r="T122" i="12"/>
  <c r="R117" i="3"/>
  <c r="S116" i="3"/>
  <c r="T116" i="3" s="1"/>
  <c r="T123" i="12" l="1"/>
  <c r="U122" i="12"/>
  <c r="V122" i="12" s="1"/>
  <c r="R118" i="3"/>
  <c r="S117" i="3"/>
  <c r="T117" i="3" s="1"/>
  <c r="T125" i="12" l="1"/>
  <c r="U123" i="12"/>
  <c r="V123" i="12" s="1"/>
  <c r="R119" i="3"/>
  <c r="S118" i="3"/>
  <c r="T118" i="3" s="1"/>
  <c r="T126" i="12" l="1"/>
  <c r="U125" i="12"/>
  <c r="V125" i="12" s="1"/>
  <c r="S119" i="3"/>
  <c r="T119" i="3" s="1"/>
  <c r="R120" i="3"/>
  <c r="U126" i="12" l="1"/>
  <c r="V126" i="12" s="1"/>
  <c r="T127" i="12"/>
  <c r="R121" i="3"/>
  <c r="S120" i="3"/>
  <c r="T120" i="3" s="1"/>
  <c r="U127" i="12" l="1"/>
  <c r="V127" i="12" s="1"/>
  <c r="T128" i="12"/>
  <c r="R122" i="3"/>
  <c r="S121" i="3"/>
  <c r="T121" i="3" s="1"/>
  <c r="U128" i="12" l="1"/>
  <c r="V128" i="12" s="1"/>
  <c r="T129" i="12"/>
  <c r="R123" i="3"/>
  <c r="S122" i="3"/>
  <c r="T122" i="3" s="1"/>
  <c r="U129" i="12" l="1"/>
  <c r="V129" i="12" s="1"/>
  <c r="T130" i="12"/>
  <c r="S123" i="3"/>
  <c r="T123" i="3" s="1"/>
  <c r="R125" i="3"/>
  <c r="T131" i="12" l="1"/>
  <c r="U130" i="12"/>
  <c r="V130" i="12" s="1"/>
  <c r="S125" i="3"/>
  <c r="T125" i="3" s="1"/>
  <c r="R126" i="3"/>
  <c r="T132" i="12" l="1"/>
  <c r="U131" i="12"/>
  <c r="V131" i="12" s="1"/>
  <c r="S126" i="3"/>
  <c r="T126" i="3" s="1"/>
  <c r="R127" i="3"/>
  <c r="S127" i="3" s="1"/>
  <c r="T127" i="3" s="1"/>
  <c r="U132" i="12" l="1"/>
  <c r="V132" i="12" s="1"/>
  <c r="T133" i="12"/>
  <c r="U133" i="12" l="1"/>
  <c r="V133" i="12" s="1"/>
  <c r="T134" i="12"/>
  <c r="T136" i="12" l="1"/>
  <c r="U134" i="12"/>
  <c r="V134" i="12" s="1"/>
  <c r="U136" i="12" l="1"/>
  <c r="V136" i="12" s="1"/>
  <c r="T137" i="12"/>
  <c r="U137" i="12" l="1"/>
  <c r="V137" i="12" s="1"/>
  <c r="T138" i="12"/>
  <c r="U138" i="12" l="1"/>
  <c r="V138" i="12" s="1"/>
  <c r="T139" i="12"/>
  <c r="U139" i="12" l="1"/>
  <c r="V139" i="12" s="1"/>
  <c r="T140" i="12"/>
  <c r="U140" i="12" l="1"/>
  <c r="V140" i="12" s="1"/>
  <c r="T141" i="12"/>
  <c r="U141" i="12" l="1"/>
  <c r="V141" i="12" s="1"/>
  <c r="T142" i="12"/>
  <c r="U142" i="12" l="1"/>
  <c r="V142" i="12" s="1"/>
  <c r="T143" i="12"/>
  <c r="T144" i="12" l="1"/>
  <c r="U143" i="12"/>
  <c r="V143" i="12" s="1"/>
  <c r="U144" i="12" l="1"/>
  <c r="V144" i="12" s="1"/>
  <c r="T145" i="12"/>
  <c r="T147" i="12" l="1"/>
  <c r="U145" i="12"/>
  <c r="V145" i="12" s="1"/>
  <c r="U147" i="12" l="1"/>
  <c r="V147" i="12" s="1"/>
  <c r="T148" i="12"/>
  <c r="T149" i="12" l="1"/>
  <c r="U148" i="12"/>
  <c r="V148" i="12" s="1"/>
  <c r="T150" i="12" l="1"/>
  <c r="U149" i="12"/>
  <c r="V149" i="12" s="1"/>
  <c r="U150" i="12" l="1"/>
  <c r="V150" i="12" s="1"/>
  <c r="T151" i="12"/>
  <c r="T152" i="12" l="1"/>
  <c r="U151" i="12"/>
  <c r="V151" i="12" s="1"/>
  <c r="U152" i="12" l="1"/>
  <c r="V152" i="12" s="1"/>
  <c r="T153" i="12"/>
  <c r="U153" i="12" l="1"/>
  <c r="V153" i="12" s="1"/>
  <c r="T154" i="12"/>
  <c r="U154" i="12" s="1"/>
  <c r="V154" i="12" s="1"/>
</calcChain>
</file>

<file path=xl/sharedStrings.xml><?xml version="1.0" encoding="utf-8"?>
<sst xmlns="http://schemas.openxmlformats.org/spreadsheetml/2006/main" count="1996" uniqueCount="1633">
  <si>
    <t>Installing aspnet mvc</t>
  </si>
  <si>
    <t>What aspnet mvc version is my mvc application using</t>
  </si>
  <si>
    <t>Creating your first aspnet mvc application</t>
  </si>
  <si>
    <t>Controllers in an mvc application</t>
  </si>
  <si>
    <t>Views in an mvc application</t>
  </si>
  <si>
    <t>ViewData and ViewBag in mvc</t>
  </si>
  <si>
    <t>Models in an mvc application</t>
  </si>
  <si>
    <t>Data access in mvc using entity framework</t>
  </si>
  <si>
    <t>Generate hyperlinks using actionlink html helper</t>
  </si>
  <si>
    <t>Working with multiple tables in mvc</t>
  </si>
  <si>
    <t>Using business objects as model in mvc</t>
  </si>
  <si>
    <t>Creating a view to insert data using mvc</t>
  </si>
  <si>
    <t>FormCollection in mvc</t>
  </si>
  <si>
    <t>Mapping asp.net request data to controller action simple parameter types</t>
  </si>
  <si>
    <t>Update model function in mvc</t>
  </si>
  <si>
    <t>Difference between updatemodel and tryupdatemodel</t>
  </si>
  <si>
    <t>Editing a model in mvc</t>
  </si>
  <si>
    <t>Updating data in mvc</t>
  </si>
  <si>
    <t>Unintended updates in mvc</t>
  </si>
  <si>
    <t>Preventing unintended updates in mvc</t>
  </si>
  <si>
    <t>Including and excluding properties from model binding using bind attribute</t>
  </si>
  <si>
    <t>Including and excluding properties from model binding using interfaces</t>
  </si>
  <si>
    <t>Why deleting database records using get request is bad</t>
  </si>
  <si>
    <t>Deleting database records using post request in mvc</t>
  </si>
  <si>
    <t>insert update delete in mvc using entity framework</t>
  </si>
  <si>
    <t>Customizing the autogenerated index view</t>
  </si>
  <si>
    <t>Customizing the autogenerated create view</t>
  </si>
  <si>
    <t>Customizing the autogenerated edit view</t>
  </si>
  <si>
    <t>Using data transfer object as the model in mvc</t>
  </si>
  <si>
    <t>View engines in asp mvc</t>
  </si>
  <si>
    <t>Using custom view engines with asp net mvc</t>
  </si>
  <si>
    <t>How does a controller find a view in mvc</t>
  </si>
  <si>
    <t>Html helpers in mvc</t>
  </si>
  <si>
    <t>Generating a dropdownlist control in mvc using HTML helpers</t>
  </si>
  <si>
    <t>How to set an item selected when an asp net mvc dropdownlist is loaded</t>
  </si>
  <si>
    <t>Difference between HtmlTextBox and HtmlTextBoxFor</t>
  </si>
  <si>
    <t>Generating a radiobuttonlist control in mvc using HTML helpers</t>
  </si>
  <si>
    <t>Checkbox in asp net mvc</t>
  </si>
  <si>
    <t>ListBox in asp net mvc</t>
  </si>
  <si>
    <t>Using displayname, displayformat, scaffoldcolumn attributes in asp net mvc</t>
  </si>
  <si>
    <t>DataType and DisplayColumn attributes</t>
  </si>
  <si>
    <t>Totala antalet timmar =</t>
  </si>
  <si>
    <t>Opening a page in new browser window in MVC</t>
  </si>
  <si>
    <t>HiddenInput and ReadOnly attributes</t>
  </si>
  <si>
    <t>Display and edit templated helpers in asp net mvc</t>
  </si>
  <si>
    <t>Customize display and edit templates in asp net mvc</t>
  </si>
  <si>
    <t>Accessing model metadata from custom templated helpers</t>
  </si>
  <si>
    <t>Displaying images in asp net mvc</t>
  </si>
  <si>
    <t>Custom html helpers in mvc</t>
  </si>
  <si>
    <t>Html encoding in asp net mvc</t>
  </si>
  <si>
    <t>Detect errors in views at compile time</t>
  </si>
  <si>
    <t>Advantages of using strongly typed views</t>
  </si>
  <si>
    <t>Partial views in mvc</t>
  </si>
  <si>
    <t>Difference between html.partial and html.renderpartial</t>
  </si>
  <si>
    <t>T4 templates in asp net mvc</t>
  </si>
  <si>
    <t>What is cross site scripting attack</t>
  </si>
  <si>
    <t>How to prevent cross site scripting attack</t>
  </si>
  <si>
    <t>Razor views in mvc</t>
  </si>
  <si>
    <t xml:space="preserve">Razor views in mvc continued </t>
  </si>
  <si>
    <t>ViewStart in asp net mvc</t>
  </si>
  <si>
    <t>Layout view in mvc</t>
  </si>
  <si>
    <t>Named sections in layout files in mvc</t>
  </si>
  <si>
    <t>Implementing search functionality in asp net mvc</t>
  </si>
  <si>
    <t>Implement paging in asp net mvc</t>
  </si>
  <si>
    <t>Implement sorting in asp net mvc</t>
  </si>
  <si>
    <t>Deleting multiple rows in mvc</t>
  </si>
  <si>
    <t>Check uncheck all checkboxes with another single checkbox using jquery</t>
  </si>
  <si>
    <t>Action selectors in mvc</t>
  </si>
  <si>
    <t>What is the use of NonAction attribute in mvc</t>
  </si>
  <si>
    <t>Action filters in mvc</t>
  </si>
  <si>
    <t>Authorize and AllowAnonymous action filters in mvc</t>
  </si>
  <si>
    <t>childactiononly attribute in mvc</t>
  </si>
  <si>
    <t>HandleError attribute in mvc</t>
  </si>
  <si>
    <t>OutputCache attribute in mvc</t>
  </si>
  <si>
    <t>CacheProfiles in mvc</t>
  </si>
  <si>
    <t>RequireHttps attribute in mvc</t>
  </si>
  <si>
    <t>ValidateInput attribute in mvc</t>
  </si>
  <si>
    <t>Custom action filters in asp net mvc</t>
  </si>
  <si>
    <t>Different types of ActionResult in asp net mvc</t>
  </si>
  <si>
    <t>Areas in asp net mvc</t>
  </si>
  <si>
    <t>StringLength attribute in asp net mvc</t>
  </si>
  <si>
    <t>Range attribute in asp net mvc</t>
  </si>
  <si>
    <t>Creating custom validation attribute in asp net mvc</t>
  </si>
  <si>
    <t>RegularExpression attribute in asp net mvc</t>
  </si>
  <si>
    <t>Compare attribute in asp net mvc</t>
  </si>
  <si>
    <t>Enable client side validation in asp net mvc</t>
  </si>
  <si>
    <t>ValidationSummary in asp net mvc</t>
  </si>
  <si>
    <t>What is Unobtrusive JavaScript</t>
  </si>
  <si>
    <t>Unobtrusive validation in asp net mvc</t>
  </si>
  <si>
    <t>Remote validation in asp net mvc</t>
  </si>
  <si>
    <t>Remote validation in mvc when javascript is disabled</t>
  </si>
  <si>
    <t>32:59</t>
  </si>
  <si>
    <t>Ajax with asp net mvc</t>
  </si>
  <si>
    <t>What is Ajax and why should we use it</t>
  </si>
  <si>
    <t>Providing visual feedback using LoadingElementId AjaxOption</t>
  </si>
  <si>
    <t>OnBegin, OnComplete, OnSuccess and OnFailure properties of AjaxOptions class</t>
  </si>
  <si>
    <t>LoadingElementDuration property of AjaxOptions class</t>
  </si>
  <si>
    <t>Implement autocomplete textbox functionality in mvc</t>
  </si>
  <si>
    <t>What is JavaScript minification</t>
  </si>
  <si>
    <t>What is CDN Content Delivery Network</t>
  </si>
  <si>
    <t>What if CDN is down</t>
  </si>
  <si>
    <t>What is the use of JavaScript in ASP NET</t>
  </si>
  <si>
    <t>Why do we need both client side and server side validation</t>
  </si>
  <si>
    <t>Disadvantages of JavaScript</t>
  </si>
  <si>
    <t>How to debug javascript in visual studio</t>
  </si>
  <si>
    <t>Tools for learning JavaScript</t>
  </si>
  <si>
    <t>Inline vs external javascript</t>
  </si>
  <si>
    <t>Where should the script tag be placed in html</t>
  </si>
  <si>
    <t>JavaScript Basics</t>
  </si>
  <si>
    <t>Converting strings to numbers in JavaScript</t>
  </si>
  <si>
    <t>Strings in JavaScript</t>
  </si>
  <si>
    <t>Substrings in JavaScript</t>
  </si>
  <si>
    <t>JavaScript substring example</t>
  </si>
  <si>
    <t>Conditional statements in javascript</t>
  </si>
  <si>
    <t>Switch statement in JavaScript</t>
  </si>
  <si>
    <t>Ternary operator in JavaScript</t>
  </si>
  <si>
    <t>Loops in JavaScript</t>
  </si>
  <si>
    <t>do while loop in JavaScript</t>
  </si>
  <si>
    <t>For loop in JavaScript</t>
  </si>
  <si>
    <t>Arrays in javascript</t>
  </si>
  <si>
    <t>JavaScript array push and pop methods</t>
  </si>
  <si>
    <t>What is jQuery</t>
  </si>
  <si>
    <t>What is $document ready function in jquery</t>
  </si>
  <si>
    <t>Benefits of using CDN</t>
  </si>
  <si>
    <t>jQuery #id selector</t>
  </si>
  <si>
    <t>jQuery Element Selector</t>
  </si>
  <si>
    <t>jQuery class selector</t>
  </si>
  <si>
    <t>jQuery attribute selector</t>
  </si>
  <si>
    <t>Introduction to C#</t>
  </si>
  <si>
    <t>Reading and writing to a console</t>
  </si>
  <si>
    <t>Built-in types</t>
  </si>
  <si>
    <t>String type in c#</t>
  </si>
  <si>
    <t>Common Operators in c#</t>
  </si>
  <si>
    <t>Tutorial - Nullable Types</t>
  </si>
  <si>
    <t>Tutorial Datatypes conversion</t>
  </si>
  <si>
    <t>Arrays in C#</t>
  </si>
  <si>
    <t>Comments in C#</t>
  </si>
  <si>
    <t>If statement in C#</t>
  </si>
  <si>
    <t>JavaScript array mutators</t>
  </si>
  <si>
    <t>JavaScript array filter method</t>
  </si>
  <si>
    <t>Creating two dimensional array in javascript</t>
  </si>
  <si>
    <t>Functions in JavaScript</t>
  </si>
  <si>
    <t>Different ways of defining functions in JavaScript</t>
  </si>
  <si>
    <t>Local and global variables in javascript</t>
  </si>
  <si>
    <t>Closures in JavaScript</t>
  </si>
  <si>
    <t>JavaScript closure example</t>
  </si>
  <si>
    <t>JavaScript arguments object</t>
  </si>
  <si>
    <t>Recursive function in JavaScript</t>
  </si>
  <si>
    <t>jQuery attribute value selector</t>
  </si>
  <si>
    <t>jQuery case insensitive attribute selector</t>
  </si>
  <si>
    <t>jQuery input vs input</t>
  </si>
  <si>
    <t>jQuery checked selector</t>
  </si>
  <si>
    <t>Select values of checkbox group with jquery</t>
  </si>
  <si>
    <t>jQuery get selected checkbox text</t>
  </si>
  <si>
    <t>jQuery selected selector</t>
  </si>
  <si>
    <t>jQuery disabled selector</t>
  </si>
  <si>
    <t>jQuery each function</t>
  </si>
  <si>
    <t>jQuery method chaining</t>
  </si>
  <si>
    <t>What is JSON</t>
  </si>
  <si>
    <t>Convert JSON object to string</t>
  </si>
  <si>
    <t>Convert JSON string to net object</t>
  </si>
  <si>
    <t>Create a custom remote attribute and override IsValid method</t>
  </si>
  <si>
    <t>27:09</t>
  </si>
  <si>
    <t>11:47</t>
  </si>
  <si>
    <t>18:23</t>
  </si>
  <si>
    <t>17:23</t>
  </si>
  <si>
    <t>27:46</t>
  </si>
  <si>
    <t>11:50</t>
  </si>
  <si>
    <t>17:03</t>
  </si>
  <si>
    <t>17:42</t>
  </si>
  <si>
    <t>14:25</t>
  </si>
  <si>
    <t>14:43</t>
  </si>
  <si>
    <t>12:00</t>
  </si>
  <si>
    <t>11:36</t>
  </si>
  <si>
    <t>10:32</t>
  </si>
  <si>
    <t>11:55</t>
  </si>
  <si>
    <t>15:41</t>
  </si>
  <si>
    <t>12:47</t>
  </si>
  <si>
    <t>11:26</t>
  </si>
  <si>
    <t>12:38</t>
  </si>
  <si>
    <t>11:57</t>
  </si>
  <si>
    <t>10:57</t>
  </si>
  <si>
    <t>12:13</t>
  </si>
  <si>
    <t>36:46</t>
  </si>
  <si>
    <t>15:38</t>
  </si>
  <si>
    <t>10:31</t>
  </si>
  <si>
    <t>12:01</t>
  </si>
  <si>
    <t>Switch statement in C#</t>
  </si>
  <si>
    <t>Switch statement in c# continued</t>
  </si>
  <si>
    <t>while loop in c#</t>
  </si>
  <si>
    <t>do while loop in c#</t>
  </si>
  <si>
    <t>for and foreach loops in c#</t>
  </si>
  <si>
    <t>Methods in c#</t>
  </si>
  <si>
    <t>Method parameters</t>
  </si>
  <si>
    <t>Namespaces</t>
  </si>
  <si>
    <t>Introduction to classes</t>
  </si>
  <si>
    <t>Static and instance class members</t>
  </si>
  <si>
    <t>24:54</t>
  </si>
  <si>
    <t>Inheritance in c#</t>
  </si>
  <si>
    <t>Method hiding in c#</t>
  </si>
  <si>
    <t>Polymorphism in c#</t>
  </si>
  <si>
    <t>Difference between method overriding and method hiding</t>
  </si>
  <si>
    <t>Method overloading in c#</t>
  </si>
  <si>
    <t>Why Properties</t>
  </si>
  <si>
    <t>Properties in C#</t>
  </si>
  <si>
    <t>Structs in C#</t>
  </si>
  <si>
    <t>Difference between classes and structs in c#</t>
  </si>
  <si>
    <t>Interfaces in c#</t>
  </si>
  <si>
    <t>Explicit interfaces implementation</t>
  </si>
  <si>
    <t>Abstract classes in c#</t>
  </si>
  <si>
    <t>Difference between abstract classes and interfaces</t>
  </si>
  <si>
    <t>Problems of multiple class inheritance</t>
  </si>
  <si>
    <t>Multiple class inheritance using interfaces</t>
  </si>
  <si>
    <t>17:21</t>
  </si>
  <si>
    <t>15:10</t>
  </si>
  <si>
    <t>12:22</t>
  </si>
  <si>
    <t>18:54</t>
  </si>
  <si>
    <t>13:39</t>
  </si>
  <si>
    <t>16:59</t>
  </si>
  <si>
    <t>20:13</t>
  </si>
  <si>
    <t>20:12</t>
  </si>
  <si>
    <t>10:55</t>
  </si>
  <si>
    <t>17:29</t>
  </si>
  <si>
    <t>Introduction</t>
  </si>
  <si>
    <t>Introduction to the Cloud</t>
  </si>
  <si>
    <t>45:54</t>
  </si>
  <si>
    <t>Azure Accounts, Subscriptions and Admin Roles</t>
  </si>
  <si>
    <t>52:34</t>
  </si>
  <si>
    <t>Navigating the Azure Portal</t>
  </si>
  <si>
    <t>42:50</t>
  </si>
  <si>
    <t>Azure PowerShell Basics</t>
  </si>
  <si>
    <t>53:40</t>
  </si>
  <si>
    <t>Creating Virtual Machines in Azure - The Basics</t>
  </si>
  <si>
    <t>54:43</t>
  </si>
  <si>
    <t>Azure Virtual Networks - Part 1</t>
  </si>
  <si>
    <t>62:47</t>
  </si>
  <si>
    <t>Azure Virtual Networks - Part 2</t>
  </si>
  <si>
    <t>51:08</t>
  </si>
  <si>
    <t>Azure Virtual Networks - Part 3</t>
  </si>
  <si>
    <t>39:49</t>
  </si>
  <si>
    <t>Azure Virtual Networks - Part 4 - VIP,DIP &amp; PIP</t>
  </si>
  <si>
    <t>72:40</t>
  </si>
  <si>
    <t>25:04</t>
  </si>
  <si>
    <t>Azure Virtual Networks -Part 5 -Cross-premises connectivity concepts</t>
  </si>
  <si>
    <t>Azure Virtual Networks - Part 6 - Point-to-site VPN</t>
  </si>
  <si>
    <t>51:14</t>
  </si>
  <si>
    <t>Azure Virtual Networks-Part 7-VNet-to-VNet Connectivity</t>
  </si>
  <si>
    <t>61:28</t>
  </si>
  <si>
    <t>Azure Virtual Machines - Part 1 - Advanced Concepts</t>
  </si>
  <si>
    <t>96:36</t>
  </si>
  <si>
    <t>Azure Virtual Machines-Part 2-Creating Virtual Machines</t>
  </si>
  <si>
    <t>40:20</t>
  </si>
  <si>
    <t>Azure Virtual Machines- Part 3 - Creating VMs with PowerShell</t>
  </si>
  <si>
    <t>54:47</t>
  </si>
  <si>
    <t>Azure Virtual Machines - Part 4 - Azure VM Data disks</t>
  </si>
  <si>
    <t>63:43</t>
  </si>
  <si>
    <t>Azure Virtual Machines - Part 5 - Azure Images</t>
  </si>
  <si>
    <t>63:16</t>
  </si>
  <si>
    <t>Azure Virtual Machines - Part 6 - VM Agent and Extensions</t>
  </si>
  <si>
    <t>57:28</t>
  </si>
  <si>
    <t>Azure Virtual Machines - Part 7 - Azure Endpoints and Load Balancer</t>
  </si>
  <si>
    <t>62:13</t>
  </si>
  <si>
    <t>Azure Virtual Machines - Part 8 - Availability Sets and Autoscaling</t>
  </si>
  <si>
    <t>41:36</t>
  </si>
  <si>
    <t>Introduction to WCF</t>
  </si>
  <si>
    <t>10:08</t>
  </si>
  <si>
    <t>Creating a remoting service and a web service</t>
  </si>
  <si>
    <t>26:36</t>
  </si>
  <si>
    <t>Creating a wcf service</t>
  </si>
  <si>
    <t>28:14</t>
  </si>
  <si>
    <t>WCF service implementing multiple service contracts</t>
  </si>
  <si>
    <t>How to make changes to wcf service without breaking clients</t>
  </si>
  <si>
    <t>WCF DataContract and DataMember</t>
  </si>
  <si>
    <t>35:41</t>
  </si>
  <si>
    <t>KnownType attribute in WCF</t>
  </si>
  <si>
    <t>30:41</t>
  </si>
  <si>
    <t>Different ways of associating known types in wcf</t>
  </si>
  <si>
    <t>10:04</t>
  </si>
  <si>
    <t>How to enable tracing and message logging in wcf</t>
  </si>
  <si>
    <t>07:24</t>
  </si>
  <si>
    <t>07:36</t>
  </si>
  <si>
    <t>31:20</t>
  </si>
  <si>
    <t>Message Contract in WCF</t>
  </si>
  <si>
    <t>Difference between datacontract and messagecontract in wcf</t>
  </si>
  <si>
    <t>11:41</t>
  </si>
  <si>
    <t>Backward compatible WCF contract changes</t>
  </si>
  <si>
    <t>17:53</t>
  </si>
  <si>
    <t>ExtensionDataObject in WCF</t>
  </si>
  <si>
    <t>18:08</t>
  </si>
  <si>
    <t>Risks of implementing IExtensibleDataObject interface</t>
  </si>
  <si>
    <t>09:11</t>
  </si>
  <si>
    <t>Exception handling in WCF</t>
  </si>
  <si>
    <t>09:38</t>
  </si>
  <si>
    <t>Soap faults in WCF</t>
  </si>
  <si>
    <t>13:16</t>
  </si>
  <si>
    <t>Unhandled exceptions in WCF</t>
  </si>
  <si>
    <t>12:53</t>
  </si>
  <si>
    <t>Throwing fault exceptions from a WCF service</t>
  </si>
  <si>
    <t>07:46</t>
  </si>
  <si>
    <t>Creating and throwing strongly typed SOAP faults</t>
  </si>
  <si>
    <t>08:16</t>
  </si>
  <si>
    <t>Centralized exception handling in WCF by implementing IErrorHandler interface</t>
  </si>
  <si>
    <t>18:50</t>
  </si>
  <si>
    <t>Bindings in WCF</t>
  </si>
  <si>
    <t>16:04</t>
  </si>
  <si>
    <t>Configure WCF service endpoint dynamically in code</t>
  </si>
  <si>
    <t>07:27</t>
  </si>
  <si>
    <t>Hosting WCF service</t>
  </si>
  <si>
    <t>01:22</t>
  </si>
  <si>
    <t>Self hosting a wcf service in console application</t>
  </si>
  <si>
    <t>23:05</t>
  </si>
  <si>
    <t>Self hosting a wcf service in winforms application</t>
  </si>
  <si>
    <t>15:29</t>
  </si>
  <si>
    <t>What is a windows service</t>
  </si>
  <si>
    <t>05:55</t>
  </si>
  <si>
    <t>Hosting a wcf service in a windows service</t>
  </si>
  <si>
    <t>10:39</t>
  </si>
  <si>
    <t>Advantages and disadvantages of hosting a wcf service in a windows service</t>
  </si>
  <si>
    <t>06:27</t>
  </si>
  <si>
    <t>Hosting wcf service in iis</t>
  </si>
  <si>
    <t>Advantages and disadvantages of hosting wcf service in iis</t>
  </si>
  <si>
    <t>03:10</t>
  </si>
  <si>
    <t>What is Entity Framework</t>
  </si>
  <si>
    <t>18:01</t>
  </si>
  <si>
    <t>Entity Framework Model First Approach</t>
  </si>
  <si>
    <t>15:27</t>
  </si>
  <si>
    <t>Entity Framework Code First Approach</t>
  </si>
  <si>
    <t>16:26</t>
  </si>
  <si>
    <t>Customizing table, column and foreign key column names when using entity framework code fir</t>
  </si>
  <si>
    <t>06:19</t>
  </si>
  <si>
    <t>How to handle model changes in entity framework</t>
  </si>
  <si>
    <t>07:37</t>
  </si>
  <si>
    <t>How to seed database with test data using entity framework</t>
  </si>
  <si>
    <t>08:49</t>
  </si>
  <si>
    <t>Using stored procedures with entity framework</t>
  </si>
  <si>
    <t>12:08</t>
  </si>
  <si>
    <t>Using stored procedures with entity framework code first approach</t>
  </si>
  <si>
    <t>16:17</t>
  </si>
  <si>
    <t>Overriding stored procedure defaults with entity framework code first approach</t>
  </si>
  <si>
    <t>06:51</t>
  </si>
  <si>
    <t>Entity splitting in entity framework</t>
  </si>
  <si>
    <t>10:00</t>
  </si>
  <si>
    <t>Entity splitting in entity framework with code first approach</t>
  </si>
  <si>
    <t>13:21</t>
  </si>
  <si>
    <t>Table splitting in entity framework</t>
  </si>
  <si>
    <t>20:08</t>
  </si>
  <si>
    <t>Table splitting in entity framework with code first approach</t>
  </si>
  <si>
    <t>06:45</t>
  </si>
  <si>
    <t>Conditional Mapping in entity framework</t>
  </si>
  <si>
    <t>08:08</t>
  </si>
  <si>
    <t>Conditional Mapping in entity framework with code first</t>
  </si>
  <si>
    <t>04:48</t>
  </si>
  <si>
    <t>11:06</t>
  </si>
  <si>
    <t>Self referencing association in entity framework</t>
  </si>
  <si>
    <t>Self referencing association in entity framework wth code first</t>
  </si>
  <si>
    <t>06:28</t>
  </si>
  <si>
    <t>Table Per Hierarchy TPH inheritance in entity framework</t>
  </si>
  <si>
    <t>21:06</t>
  </si>
  <si>
    <t>Table Per Hierarchy TPH inheritance in entity framework with code first</t>
  </si>
  <si>
    <t>12:33</t>
  </si>
  <si>
    <t>Table Per Type TPT inheritance in entity framework</t>
  </si>
  <si>
    <t>13:56</t>
  </si>
  <si>
    <t>Table Per Type TPT inheritance code first</t>
  </si>
  <si>
    <t>13:35</t>
  </si>
  <si>
    <t>Many to many relationship in entity framework</t>
  </si>
  <si>
    <t>13:36</t>
  </si>
  <si>
    <t>Many to many relationship in entity framework code first</t>
  </si>
  <si>
    <t>12:29</t>
  </si>
  <si>
    <t>Entity for BridgeTable in many to many relationship</t>
  </si>
  <si>
    <t>14:58</t>
  </si>
  <si>
    <t>Entity for BridgeTable in many to many relationship code first</t>
  </si>
  <si>
    <t>08:45</t>
  </si>
  <si>
    <t>WAS hosting in WCF</t>
  </si>
  <si>
    <t>08:18</t>
  </si>
  <si>
    <t>Message Exchange Patterns in WCF</t>
  </si>
  <si>
    <t>11:22</t>
  </si>
  <si>
    <t>OneWay Message Exchange Pattern in WCF</t>
  </si>
  <si>
    <t>12:39</t>
  </si>
  <si>
    <t>Duplex message exchange pattern in WCF</t>
  </si>
  <si>
    <t>22:07</t>
  </si>
  <si>
    <t>Sending large messages in WCF using MTOM</t>
  </si>
  <si>
    <t>22:59</t>
  </si>
  <si>
    <t>Instancing modes in WCF</t>
  </si>
  <si>
    <t>03:35</t>
  </si>
  <si>
    <t>PerCall instance context mode in WCF</t>
  </si>
  <si>
    <t>10:49</t>
  </si>
  <si>
    <t>PerSession instance context mode in WCF</t>
  </si>
  <si>
    <t>10:19</t>
  </si>
  <si>
    <t>PerSession WCF services</t>
  </si>
  <si>
    <t>10:42</t>
  </si>
  <si>
    <t>How to retrieve the sessionid in WCF service and in the client application</t>
  </si>
  <si>
    <t>10:16</t>
  </si>
  <si>
    <t>Single instance context mode in WCF</t>
  </si>
  <si>
    <t>03:23</t>
  </si>
  <si>
    <t>SessionMode Enumeration in WCF</t>
  </si>
  <si>
    <t>08:37</t>
  </si>
  <si>
    <t>Single concurrency mode in WCF</t>
  </si>
  <si>
    <t>26:58</t>
  </si>
  <si>
    <t>Multiple concurrency mode in WCF</t>
  </si>
  <si>
    <t>05:14</t>
  </si>
  <si>
    <t>Reentrant concurrency mode in WCF</t>
  </si>
  <si>
    <t>23:04</t>
  </si>
  <si>
    <t xml:space="preserve">WCF throttling </t>
  </si>
  <si>
    <t>14:37</t>
  </si>
  <si>
    <t>WCF security</t>
  </si>
  <si>
    <t>16:02</t>
  </si>
  <si>
    <t>Controlling WCF message protection using ProtectionLevel parameter</t>
  </si>
  <si>
    <t>13:45</t>
  </si>
  <si>
    <t>WCF bindings and the impact on message protection</t>
  </si>
  <si>
    <t>02:57</t>
  </si>
  <si>
    <t>Authentication in WCF</t>
  </si>
  <si>
    <t>14:05</t>
  </si>
  <si>
    <t>Message confidentiality and integrity with transport security</t>
  </si>
  <si>
    <t>02:59</t>
  </si>
  <si>
    <t>Configure wsHttpBinding to use transport security</t>
  </si>
  <si>
    <t>20:24</t>
  </si>
  <si>
    <t>Configure netTcpBinding to use message security</t>
  </si>
  <si>
    <t>10:37</t>
  </si>
  <si>
    <t>DotNet Program Execution</t>
  </si>
  <si>
    <t>17:59</t>
  </si>
  <si>
    <t>ILDASM and ILASM</t>
  </si>
  <si>
    <t>12:18</t>
  </si>
  <si>
    <t>Strong naming an assembly</t>
  </si>
  <si>
    <t>14:18</t>
  </si>
  <si>
    <t>What is GAC How and when to install an assembly into GAC</t>
  </si>
  <si>
    <t>19:50</t>
  </si>
  <si>
    <t>How NET finds the assemblies during program execution</t>
  </si>
  <si>
    <t>24:07</t>
  </si>
  <si>
    <t>Dll Hell</t>
  </si>
  <si>
    <t>09:34</t>
  </si>
  <si>
    <t>DLL hell problem solved</t>
  </si>
  <si>
    <t>16:53</t>
  </si>
  <si>
    <t>Error handling in JavaScript</t>
  </si>
  <si>
    <t>JavaScript window onerror event</t>
  </si>
  <si>
    <t>Working with dates in javascript</t>
  </si>
  <si>
    <t>JavaScript timing events</t>
  </si>
  <si>
    <t>How to create image slideshow using JavaScript</t>
  </si>
  <si>
    <t>Events in JavaScript</t>
  </si>
  <si>
    <t>Assigning event handlers in JavaScript using DOM object property</t>
  </si>
  <si>
    <t>addeventlistener and removeeventlistener in JavaScript</t>
  </si>
  <si>
    <t>JavaScript event object</t>
  </si>
  <si>
    <t>Event bubbling in JavaScript</t>
  </si>
  <si>
    <t>Image gallery with thumbnails in JavaScript</t>
  </si>
  <si>
    <t>JavaScript event capturing</t>
  </si>
  <si>
    <t>Preventing browser default action</t>
  </si>
  <si>
    <t>JavaScript to detect which mouse button is clicked</t>
  </si>
  <si>
    <t>JavaScript mouse events</t>
  </si>
  <si>
    <t>JavaScript popup window</t>
  </si>
  <si>
    <t>Using regular expressions in JavaScript</t>
  </si>
  <si>
    <t>Tools for writing regular expressions</t>
  </si>
  <si>
    <t>JavaScript strings and regular expressions</t>
  </si>
  <si>
    <t>JavaScript RegExp object</t>
  </si>
  <si>
    <t>Client side validation using regular expression</t>
  </si>
  <si>
    <t>JavaScript Minification</t>
  </si>
  <si>
    <t>JavaScript and object oriented programming</t>
  </si>
  <si>
    <t>Object literal vs object constructor</t>
  </si>
  <si>
    <t>Global namespace pollution in JavaScript</t>
  </si>
  <si>
    <t>Namespaces in JavaScript</t>
  </si>
  <si>
    <t>Private members in JavaScript</t>
  </si>
  <si>
    <t>Properties in JavaScript</t>
  </si>
  <si>
    <t>Static members in JavaScript</t>
  </si>
  <si>
    <t>Prototype in JavaScript</t>
  </si>
  <si>
    <t>Overriding JavaScript functions</t>
  </si>
  <si>
    <t>Inheritance in JavaScript</t>
  </si>
  <si>
    <t>Abstract classes in JavaScript</t>
  </si>
  <si>
    <t>Polymorphism in JavaScript</t>
  </si>
  <si>
    <t>Object reflection in JavaScript</t>
  </si>
  <si>
    <t>Strict Mode in JavaScript</t>
  </si>
  <si>
    <t>JavaScript Cookies</t>
  </si>
  <si>
    <t>JavaScript cookie attributes</t>
  </si>
  <si>
    <t>Store multiple key value pairs in a cookie</t>
  </si>
  <si>
    <t>Set and get multiple cookies in JavaScript</t>
  </si>
  <si>
    <t>Update and delete cookies</t>
  </si>
  <si>
    <t>How to check if cookies are enabled</t>
  </si>
  <si>
    <t>How to check if JavaScript is enabled</t>
  </si>
  <si>
    <t>window location in JavaScript</t>
  </si>
  <si>
    <t>Debugging JavaScript in chrome</t>
  </si>
  <si>
    <t>jQuery DOM manipulation methods</t>
  </si>
  <si>
    <t>jQuery wrap elements</t>
  </si>
  <si>
    <t>jQuery append elements</t>
  </si>
  <si>
    <t>jQuery insert element before and after</t>
  </si>
  <si>
    <t>jQuery add or remove class</t>
  </si>
  <si>
    <t>Difference between $ each and each</t>
  </si>
  <si>
    <t>jQuery map method</t>
  </si>
  <si>
    <t>Difference between each and map in jquery</t>
  </si>
  <si>
    <t>jQuery change event</t>
  </si>
  <si>
    <t>jQuery mouse events</t>
  </si>
  <si>
    <t>jQuery event object</t>
  </si>
  <si>
    <t>jQuery to detect which mouse button clicked</t>
  </si>
  <si>
    <t>Binding event handlers in jquery</t>
  </si>
  <si>
    <t>Binding event handlers using jquery on method</t>
  </si>
  <si>
    <t>Passing data to event handler in jQuery</t>
  </si>
  <si>
    <t>jQuery add event handler to dynamically created element</t>
  </si>
  <si>
    <t>jQuery event delegation</t>
  </si>
  <si>
    <t>jQuery live function</t>
  </si>
  <si>
    <t>jquery execute event only once</t>
  </si>
  <si>
    <t>jQuery how to check if event is already bound</t>
  </si>
  <si>
    <t>jQuery preventdefault</t>
  </si>
  <si>
    <t>jQuery scroll event</t>
  </si>
  <si>
    <t>jQuery image gallery</t>
  </si>
  <si>
    <t>Optimise jQuery image gallery</t>
  </si>
  <si>
    <t>jquery image slideshow with thumbnails</t>
  </si>
  <si>
    <t>jquery animate function</t>
  </si>
  <si>
    <t>jquery animation queue</t>
  </si>
  <si>
    <t>Simple jquery progress bar</t>
  </si>
  <si>
    <t>optimize jquery progress bar</t>
  </si>
  <si>
    <t>jquery show hide password</t>
  </si>
  <si>
    <t>Increase decrease font size using jquery</t>
  </si>
  <si>
    <t>jquery floating div</t>
  </si>
  <si>
    <t>jquery ajax load</t>
  </si>
  <si>
    <t>jquery ajax load aspx page</t>
  </si>
  <si>
    <t>jquery load callback function</t>
  </si>
  <si>
    <t>jquery ajax get function</t>
  </si>
  <si>
    <t>load json data using jquery ajax</t>
  </si>
  <si>
    <t>jquery make a post request</t>
  </si>
  <si>
    <t>jquery ajax get xml data</t>
  </si>
  <si>
    <t>jquery ajax method</t>
  </si>
  <si>
    <t>Calling asp net web services using jquery ajax</t>
  </si>
  <si>
    <t>Handling json data returned from asp net web services</t>
  </si>
  <si>
    <t>Handling json arrays returned from asp net web services with jquery</t>
  </si>
  <si>
    <t>Save data using asp net web services and jquery ajax</t>
  </si>
  <si>
    <t>Check if username exists in database with ajax</t>
  </si>
  <si>
    <t>How to suggest available username</t>
  </si>
  <si>
    <t>Calling aspx page method using jquery</t>
  </si>
  <si>
    <t>How to call wcf service using jquery</t>
  </si>
  <si>
    <t>Difference between window height and document height</t>
  </si>
  <si>
    <t>Load data on page scroll using jquery</t>
  </si>
  <si>
    <t>What is ASP.NET</t>
  </si>
  <si>
    <t>Creating ASP.NET website</t>
  </si>
  <si>
    <t>What is viewstate in asp.net</t>
  </si>
  <si>
    <t>Events in the life cycle of a web application</t>
  </si>
  <si>
    <t>Difference between ViewState, SessionState and ApplicationState in asp.net</t>
  </si>
  <si>
    <t>ASP.NET page life cycle events</t>
  </si>
  <si>
    <t>ASP.NET Server control events</t>
  </si>
  <si>
    <t>IsPostBack in asp.net</t>
  </si>
  <si>
    <t>IIS Internet Information Services and ASP.NET</t>
  </si>
  <si>
    <t>ASP.NET TextBox Control</t>
  </si>
  <si>
    <t>ASP.NET Radio Button control</t>
  </si>
  <si>
    <t>ASP NET CheckBox Control</t>
  </si>
  <si>
    <t>ASP NET Hyperlink control</t>
  </si>
  <si>
    <t>ASP.NET Button, LinkButton and ImageButton Controls</t>
  </si>
  <si>
    <t>Command Event of an asp.net button control</t>
  </si>
  <si>
    <t>Dropdownlist in asp.net</t>
  </si>
  <si>
    <t>Data bind asp.net dropdownlist with data from the database</t>
  </si>
  <si>
    <t>Binding an asp.net dropdownlist with an XML file</t>
  </si>
  <si>
    <t>Mapping virtual path to physical path using Server MapPath method</t>
  </si>
  <si>
    <t>Mapping virtual path to physical path using Server MapPath method Example</t>
  </si>
  <si>
    <t>Retrieving selected item text, value and index of an asp.net dropdownlist</t>
  </si>
  <si>
    <t>Cascading dropdown asp.net</t>
  </si>
  <si>
    <t>Asp.net checkboxlist control</t>
  </si>
  <si>
    <t>Asp.net checkboxlist, select or deselect all list items</t>
  </si>
  <si>
    <t>Asp.net ListBox control</t>
  </si>
  <si>
    <t>Calling live json web service using jquery ajax</t>
  </si>
  <si>
    <t>Autocomplete textbox using jquery in asp net</t>
  </si>
  <si>
    <t>Autocomplete textbox using jquery and asp net web service</t>
  </si>
  <si>
    <t>jQuery accordion in asp net</t>
  </si>
  <si>
    <t>jQuery accordion using asp net repeater control</t>
  </si>
  <si>
    <t>jQuery tabs in asp net</t>
  </si>
  <si>
    <t>jQuery datepicker in asp net</t>
  </si>
  <si>
    <t>jQuery slider in asp net</t>
  </si>
  <si>
    <t>jquery multiple sliders on page</t>
  </si>
  <si>
    <t>jquery range slider</t>
  </si>
  <si>
    <t>jquery tooltip widget</t>
  </si>
  <si>
    <t>jquery tooltip from database</t>
  </si>
  <si>
    <t>jquery ui progress bar</t>
  </si>
  <si>
    <t>asp net multiple file upload with progress bar</t>
  </si>
  <si>
    <t>jquery menu widget</t>
  </si>
  <si>
    <t>jQuery dynamic menu from database in asp net</t>
  </si>
  <si>
    <t>24:36</t>
  </si>
  <si>
    <t>jquery selectmenu widget</t>
  </si>
  <si>
    <t>jQuery selectmenu from database</t>
  </si>
  <si>
    <t>jquery dialog widget</t>
  </si>
  <si>
    <t>24:43</t>
  </si>
  <si>
    <t>jquery dialog save to database</t>
  </si>
  <si>
    <t>29:32</t>
  </si>
  <si>
    <t>jquery button widget</t>
  </si>
  <si>
    <t>jquery draggable widget</t>
  </si>
  <si>
    <t>Draggable element on top</t>
  </si>
  <si>
    <t>jquery droppable widget</t>
  </si>
  <si>
    <t>Customizing droppable widget</t>
  </si>
  <si>
    <t>jQuery Resizable Widget</t>
  </si>
  <si>
    <t>jQuery selectable widget</t>
  </si>
  <si>
    <t>jQuery selectable filter</t>
  </si>
  <si>
    <t>jQuery sortable widget</t>
  </si>
  <si>
    <t>jQuery sortable from database</t>
  </si>
  <si>
    <t>40:59</t>
  </si>
  <si>
    <t>jquery background color animate</t>
  </si>
  <si>
    <t>jQuery class transition animation</t>
  </si>
  <si>
    <t>jQuery autocomplete with images and text</t>
  </si>
  <si>
    <t>Cascading dropdownlist using jquery and asp net</t>
  </si>
  <si>
    <t>29:11</t>
  </si>
  <si>
    <t>jQuery datatables plugin</t>
  </si>
  <si>
    <t>jQuery datatables get data from database table</t>
  </si>
  <si>
    <t>jQuery datatables individual column search</t>
  </si>
  <si>
    <t>jQuery datatable show hide columns</t>
  </si>
  <si>
    <t>jQuery datatables stored procedure for paging sorting and searching</t>
  </si>
  <si>
    <t>asp net generic handler return json</t>
  </si>
  <si>
    <t>jQuery datatables server side processing example asp net</t>
  </si>
  <si>
    <t>jQuery datatables server side processing using asp net web services</t>
  </si>
  <si>
    <t>jQuery datatables export to pdf</t>
  </si>
  <si>
    <t>Delegates in c#</t>
  </si>
  <si>
    <t>Delegates usage in c#</t>
  </si>
  <si>
    <t>Delegates usage in c# continued</t>
  </si>
  <si>
    <t>Multicast Delegates in C#</t>
  </si>
  <si>
    <t>Exception Handling in C#</t>
  </si>
  <si>
    <t>29:43</t>
  </si>
  <si>
    <t>Inner Exceptions in C#</t>
  </si>
  <si>
    <t>Custom Exceptions in C#</t>
  </si>
  <si>
    <t>Exception handling abuse</t>
  </si>
  <si>
    <t>Preventing exception handling abuse</t>
  </si>
  <si>
    <t>Why Enums</t>
  </si>
  <si>
    <t>Enums Example</t>
  </si>
  <si>
    <t>Enums in c#</t>
  </si>
  <si>
    <t>Difference between Types and Type Members</t>
  </si>
  <si>
    <t>Access Modifiers in C#</t>
  </si>
  <si>
    <t>Internal and Protected Internal Access Modifiers</t>
  </si>
  <si>
    <t>Access Modifiers for types</t>
  </si>
  <si>
    <t>Attributes in C#</t>
  </si>
  <si>
    <t>Reflection in C#</t>
  </si>
  <si>
    <t>27:39</t>
  </si>
  <si>
    <t>Reflection Example</t>
  </si>
  <si>
    <t>Late binding using reflection</t>
  </si>
  <si>
    <t>Generics in C#</t>
  </si>
  <si>
    <t>Why should you override ToString Method</t>
  </si>
  <si>
    <t>Why should you override Equals Method</t>
  </si>
  <si>
    <t>Difference between Convert ToString and ToString</t>
  </si>
  <si>
    <t>Difference between String and StringBuilder</t>
  </si>
  <si>
    <t>Partial classes in c#</t>
  </si>
  <si>
    <t>Creating partial classes in c#</t>
  </si>
  <si>
    <t>Partial methods in c#</t>
  </si>
  <si>
    <t>How and where are indexers used in .net</t>
  </si>
  <si>
    <t>Indexers in c#</t>
  </si>
  <si>
    <t>Overloading indexers in c#</t>
  </si>
  <si>
    <t>Optional parameters in c#</t>
  </si>
  <si>
    <t>Making method parameters optional using method overloading</t>
  </si>
  <si>
    <t>Making method parameters optional by specifying parameter defaults</t>
  </si>
  <si>
    <t>Making method parameters optional by using OptionalAttribute</t>
  </si>
  <si>
    <t>Code snippets in visual studio</t>
  </si>
  <si>
    <t>What is dictionary in c#</t>
  </si>
  <si>
    <t>What is dictionary in c# continued</t>
  </si>
  <si>
    <t>List collection class in c#</t>
  </si>
  <si>
    <t>List collection class in c# continued</t>
  </si>
  <si>
    <t>Working with generic list class and ranges in c#</t>
  </si>
  <si>
    <t>Sort a list of simple types in c#</t>
  </si>
  <si>
    <t>Sort a list of complex types in c#</t>
  </si>
  <si>
    <t>Sort a list of complex types using Comparison delegate</t>
  </si>
  <si>
    <t>Some useful methods of List collection class</t>
  </si>
  <si>
    <t>When to use a dictionary over list in c#</t>
  </si>
  <si>
    <t>Generic queue collection class</t>
  </si>
  <si>
    <t>Generic stack collection class</t>
  </si>
  <si>
    <t>Real time example of queue collection class in c#</t>
  </si>
  <si>
    <t>26:50</t>
  </si>
  <si>
    <t>Real time example of stack collection class in c#</t>
  </si>
  <si>
    <t>Multithreading in C#</t>
  </si>
  <si>
    <t>Advantages and disadvantages of multithreading</t>
  </si>
  <si>
    <t>ThreadStart delegate</t>
  </si>
  <si>
    <t>ParameterizedThreadStart delegate</t>
  </si>
  <si>
    <t>Passing data to the Thread function in a type safe manner</t>
  </si>
  <si>
    <t>Retrieving data from Thread function using callback method</t>
  </si>
  <si>
    <t>Significance of Thread Join and Thread IsAlive functions</t>
  </si>
  <si>
    <t>Protecting shared resources from concurrent access in multithreading</t>
  </si>
  <si>
    <t>Difference between Monitor and lock in C#</t>
  </si>
  <si>
    <t>Deadlock in a multithreaded program</t>
  </si>
  <si>
    <t>How to resolve a deadlock in a multithreaded program</t>
  </si>
  <si>
    <t>Performance of a multithreaded program</t>
  </si>
  <si>
    <t>Anonymous methods in c#</t>
  </si>
  <si>
    <t>Lambda expression in c#</t>
  </si>
  <si>
    <t>Func delegate in c#</t>
  </si>
  <si>
    <t>DataSet in asp.net</t>
  </si>
  <si>
    <t>Caching dataset in asp.net</t>
  </si>
  <si>
    <t>18:44</t>
  </si>
  <si>
    <t>What is SqlCommandBuilder</t>
  </si>
  <si>
    <t>26:29</t>
  </si>
  <si>
    <t>Sqlcommandbuilder update not working</t>
  </si>
  <si>
    <t>9:36</t>
  </si>
  <si>
    <t>Disconnected data access in asp net</t>
  </si>
  <si>
    <t>41:41</t>
  </si>
  <si>
    <t>Dataset rejectchanges and dataset acceptchanges methods</t>
  </si>
  <si>
    <t>20:44</t>
  </si>
  <si>
    <t>Strongly typed datasets</t>
  </si>
  <si>
    <t>23:41</t>
  </si>
  <si>
    <t>Load xml data into sql server table using sqlbulkcopy</t>
  </si>
  <si>
    <t>11:58</t>
  </si>
  <si>
    <t>sqlbulkcopy notifyafter example</t>
  </si>
  <si>
    <t>9:34</t>
  </si>
  <si>
    <t>Copying data from one table to another table using SqlBulkCopy</t>
  </si>
  <si>
    <t>10:25</t>
  </si>
  <si>
    <t>Transactions in ADO NET</t>
  </si>
  <si>
    <t>16:15</t>
  </si>
  <si>
    <t>What is AngularJS</t>
  </si>
  <si>
    <t>Angular modules and controllers</t>
  </si>
  <si>
    <t>Controllers in AngularJS</t>
  </si>
  <si>
    <t>AngularJS ng src directive</t>
  </si>
  <si>
    <t>Two way databinding in AngularJS</t>
  </si>
  <si>
    <t>AngularJS ng repeat directive</t>
  </si>
  <si>
    <t>Handling events in AngularJS</t>
  </si>
  <si>
    <t>AngularJS filters</t>
  </si>
  <si>
    <t>Sorting data in AngularJS</t>
  </si>
  <si>
    <t>AngularJS sort rows by table header</t>
  </si>
  <si>
    <t>Search filter in AngularJS</t>
  </si>
  <si>
    <t>Angularjs filter by multiple properties</t>
  </si>
  <si>
    <t>Create a custom filter in AngularJS</t>
  </si>
  <si>
    <t>ng hide and ng show in AngularJS</t>
  </si>
  <si>
    <t>AngularJS ng init directive</t>
  </si>
  <si>
    <t>ng include directive in AngularJS</t>
  </si>
  <si>
    <t>Consuming ASP NET Web Service in AngularJS using $http</t>
  </si>
  <si>
    <t>$http service in AngularJS</t>
  </si>
  <si>
    <t>AngularJS Services</t>
  </si>
  <si>
    <t>Create custom service in AngularJS</t>
  </si>
  <si>
    <t>9:39</t>
  </si>
  <si>
    <t>Creating altering and dropping a database</t>
  </si>
  <si>
    <t>Connecting to SQL Server using SSMS</t>
  </si>
  <si>
    <t>15:16</t>
  </si>
  <si>
    <t>Creating and working with tables</t>
  </si>
  <si>
    <t>20:07</t>
  </si>
  <si>
    <t>Adding a default constraint</t>
  </si>
  <si>
    <t>10:33</t>
  </si>
  <si>
    <t>Cascading referential integrity constraint</t>
  </si>
  <si>
    <t>8:19</t>
  </si>
  <si>
    <t>Adding a check constraint</t>
  </si>
  <si>
    <t>11:38</t>
  </si>
  <si>
    <t>15:11</t>
  </si>
  <si>
    <t>12:49</t>
  </si>
  <si>
    <t>Unique key constraint</t>
  </si>
  <si>
    <t>8:11</t>
  </si>
  <si>
    <t>21:53</t>
  </si>
  <si>
    <t>What is bootstrap</t>
  </si>
  <si>
    <t>6:27</t>
  </si>
  <si>
    <t>Setting up bootstrap</t>
  </si>
  <si>
    <t>9:12</t>
  </si>
  <si>
    <t>Bootstrap 3 grid classes</t>
  </si>
  <si>
    <t>8:39</t>
  </si>
  <si>
    <t>Bootstrap Grid System</t>
  </si>
  <si>
    <t>Bootstrap grid column offset</t>
  </si>
  <si>
    <t>8:36</t>
  </si>
  <si>
    <t>Sekunder</t>
  </si>
  <si>
    <t>Minuter</t>
  </si>
  <si>
    <t>Async and await in C# example</t>
  </si>
  <si>
    <t>c# wait for thread to finish without blocking</t>
  </si>
  <si>
    <t>AngularJS anchorscroll example</t>
  </si>
  <si>
    <t>Angular anchorscroll with database data</t>
  </si>
  <si>
    <t>AngularJS routing tutorial</t>
  </si>
  <si>
    <t>Angular layout template</t>
  </si>
  <si>
    <t>Angularjs partial templates</t>
  </si>
  <si>
    <t>Angularjs route configuration</t>
  </si>
  <si>
    <t>Remove # from URL AngularJS</t>
  </si>
  <si>
    <t>AngularJS default route</t>
  </si>
  <si>
    <t>AngularJS intellisense in visual studio</t>
  </si>
  <si>
    <t>AngularJS routeparams example</t>
  </si>
  <si>
    <t>AngularJS page refresh problem</t>
  </si>
  <si>
    <t>AngularJS controller as syntax</t>
  </si>
  <si>
    <t>Angular nested scopes and controller as syntax</t>
  </si>
  <si>
    <t>AngularJS controller as vs scope</t>
  </si>
  <si>
    <t>AngularJS caseInsensitiveMatch and Inline Templates</t>
  </si>
  <si>
    <t>AngularJS route reload</t>
  </si>
  <si>
    <t>Difference between $scope and $rootScope</t>
  </si>
  <si>
    <t>AngularJS cancel route change</t>
  </si>
  <si>
    <t>AngularJS route change events</t>
  </si>
  <si>
    <t>AngularJS optional url parameters</t>
  </si>
  <si>
    <t>AngularJS route resolve</t>
  </si>
  <si>
    <t>AngularJS ui router tutorial</t>
  </si>
  <si>
    <t>angularjs ui router configuring states</t>
  </si>
  <si>
    <t>AngularJS ui router parameters</t>
  </si>
  <si>
    <t>AngularJS ui router optional parameters</t>
  </si>
  <si>
    <t>Case sensitivity with angularjs ui router</t>
  </si>
  <si>
    <t>Angular ui router default route</t>
  </si>
  <si>
    <t>AngularJS ui router custom data</t>
  </si>
  <si>
    <t>AngularJS ui router html5mode</t>
  </si>
  <si>
    <t>ui router active state css</t>
  </si>
  <si>
    <t>AngularJS ui router nested views</t>
  </si>
  <si>
    <t>Angular ui router multiple named views</t>
  </si>
  <si>
    <t>Difference between ngroute and ui router</t>
  </si>
  <si>
    <t>Introduction to asp net web services</t>
  </si>
  <si>
    <t>Consuming a web service</t>
  </si>
  <si>
    <t>Using ASP NET Session State in a Web Service</t>
  </si>
  <si>
    <t>WebMethod attribute properties</t>
  </si>
  <si>
    <t>WebMethod overloading in asp net web services</t>
  </si>
  <si>
    <t>Calling asp net web service from javascript using ajax</t>
  </si>
  <si>
    <t>Real time example of calling live weather forecast web service</t>
  </si>
  <si>
    <t>2016-11-18</t>
  </si>
  <si>
    <t>x</t>
  </si>
  <si>
    <t>2016-11-21</t>
  </si>
  <si>
    <t>Nivå</t>
  </si>
  <si>
    <t>OnClientClick="return Validate()"</t>
  </si>
  <si>
    <t>Lätt</t>
  </si>
  <si>
    <t>Disadvantage of JavaScript: Security and Browser Compalibility</t>
  </si>
  <si>
    <t>Medel</t>
  </si>
  <si>
    <t>Se: C:\VS2015\Nr2\WebApplication1</t>
  </si>
  <si>
    <t>jsbin.com</t>
  </si>
  <si>
    <t>Advantage to put JavaScript in external file: Maintainability, Seperation of Concerns and Performance (can be cached)</t>
  </si>
  <si>
    <t>Kan inte sätta bakgrundsfärg i en textbox om JavaScript läggs i head, men fungerar om det läggs i body.</t>
  </si>
  <si>
    <t>Glöm inte bort att man i en loop kan använda "break" och "continue".</t>
  </si>
  <si>
    <t>Kan avsluta en for-loop med en break-sats</t>
  </si>
  <si>
    <t>Timme</t>
  </si>
  <si>
    <t>Statement function, anonymous function expression, named function expression, self invoking function expression</t>
  </si>
  <si>
    <t>Variabler i en funktion blir hoistade, men inte tilldelningen.</t>
  </si>
  <si>
    <t>Svår</t>
  </si>
  <si>
    <t>Closure = nested function (funktion inne i en annan funktion). Begrepp: "outer function" and "inner function". Inner function has access to inner function's parameters and local variables.</t>
  </si>
  <si>
    <t>På ett exception-object kan man anropa properties "message", "description" och "stack". Man kan kasta egna felobjekt: throw {error: "Divide by zero error, message: "Denominator vannot be zero!"}</t>
  </si>
  <si>
    <t>Parametrar till window.onerror event handler (3 stycken): message, URL, line (se exempel Html0020.html myFunction7())</t>
  </si>
  <si>
    <t>Skapa datum, antingen med standardstring (t.ex "January 12, 1980 11:34:12") eller new Date(year, month, day, hours, minutes, seconds, milliseconds)</t>
  </si>
  <si>
    <t>setInterval(func, delay) och setTimeout(func, delay). Avsluta med clearInterval och clearTimeout. Se exempel på klocka gjord i Html0020.html</t>
  </si>
  <si>
    <t>2016-11-23</t>
  </si>
  <si>
    <t>Bootstrap nested rows and columns</t>
  </si>
  <si>
    <t>6:06</t>
  </si>
  <si>
    <t>7:07</t>
  </si>
  <si>
    <t>Bootstrap image gallery</t>
  </si>
  <si>
    <t>8:28</t>
  </si>
  <si>
    <t>Bootstrap 3 responsive utility classes</t>
  </si>
  <si>
    <t>10:27</t>
  </si>
  <si>
    <t>Bootstrap typography</t>
  </si>
  <si>
    <t>4:57</t>
  </si>
  <si>
    <t>Bootstrap paragraphs</t>
  </si>
  <si>
    <t>6:38</t>
  </si>
  <si>
    <t>Bootstrap blockquotes and lists</t>
  </si>
  <si>
    <t>5:38</t>
  </si>
  <si>
    <t>Bootstrap list groups</t>
  </si>
  <si>
    <t>7:39</t>
  </si>
  <si>
    <t>Bootstrap code blocks</t>
  </si>
  <si>
    <t>Bootstrap table classes</t>
  </si>
  <si>
    <t>6:01</t>
  </si>
  <si>
    <t>Bootstrap button classes</t>
  </si>
  <si>
    <t>8:23</t>
  </si>
  <si>
    <t>Bootstrap icons</t>
  </si>
  <si>
    <t>5:06</t>
  </si>
  <si>
    <t>Bootstrap dropdown</t>
  </si>
  <si>
    <t>8:15</t>
  </si>
  <si>
    <t>9:17</t>
  </si>
  <si>
    <t>Bootstrap button group</t>
  </si>
  <si>
    <t>Bootstrap split button dropdown</t>
  </si>
  <si>
    <t>5:50</t>
  </si>
  <si>
    <t>Bootstrap forms</t>
  </si>
  <si>
    <t>8:40</t>
  </si>
  <si>
    <t>Bootstrap form controls</t>
  </si>
  <si>
    <t>8:55</t>
  </si>
  <si>
    <t>Bootstrap disabled and readonly form controls</t>
  </si>
  <si>
    <t>5:41</t>
  </si>
  <si>
    <t>Bootstrap form validation states</t>
  </si>
  <si>
    <t>8:10</t>
  </si>
  <si>
    <t>Bootstrap form controls height and width</t>
  </si>
  <si>
    <t>6:05</t>
  </si>
  <si>
    <t>Bootstrap input groups</t>
  </si>
  <si>
    <t>5:47</t>
  </si>
  <si>
    <t>Bootstrap button in input group</t>
  </si>
  <si>
    <t>8:24</t>
  </si>
  <si>
    <t>Bootstrap nav component</t>
  </si>
  <si>
    <t>Bootstrap navbar component</t>
  </si>
  <si>
    <t>Bootstrap breadcrumbs</t>
  </si>
  <si>
    <t>5:49</t>
  </si>
  <si>
    <t>Bootstrap pager and pagination</t>
  </si>
  <si>
    <t>Bootstrap panel</t>
  </si>
  <si>
    <t>4:21</t>
  </si>
  <si>
    <t>Bootstrap well</t>
  </si>
  <si>
    <t>4:18</t>
  </si>
  <si>
    <t>Bootstrap labels and badges</t>
  </si>
  <si>
    <t>6:22</t>
  </si>
  <si>
    <t>Bootstrap progress bars</t>
  </si>
  <si>
    <t>6:49</t>
  </si>
  <si>
    <t>Bootstrap jumbotron</t>
  </si>
  <si>
    <t>3:20</t>
  </si>
  <si>
    <t>Bootstrap media object</t>
  </si>
  <si>
    <t>7:37</t>
  </si>
  <si>
    <t>Bootstrap collapse plugin</t>
  </si>
  <si>
    <t>15:09</t>
  </si>
  <si>
    <t>Bootstrap accordion</t>
  </si>
  <si>
    <t>8:34</t>
  </si>
  <si>
    <t>Bootstrap accordion with arrows</t>
  </si>
  <si>
    <t>12:48</t>
  </si>
  <si>
    <t>Bootstrap modal popup</t>
  </si>
  <si>
    <t>8:09</t>
  </si>
  <si>
    <t>Bootstrap modal methods and events</t>
  </si>
  <si>
    <t>5:39</t>
  </si>
  <si>
    <t>Bootstrap tabs plugin</t>
  </si>
  <si>
    <t>7:32</t>
  </si>
  <si>
    <t>Bootstrap tooltip</t>
  </si>
  <si>
    <t>6:00</t>
  </si>
  <si>
    <t>Bootstrap tooltip manual trigger</t>
  </si>
  <si>
    <t>4:56</t>
  </si>
  <si>
    <t>Bootstrap popover</t>
  </si>
  <si>
    <t>7:00</t>
  </si>
  <si>
    <t>Bootstrap alert</t>
  </si>
  <si>
    <t>11:21</t>
  </si>
  <si>
    <t>Bootstrap scrollspy</t>
  </si>
  <si>
    <t>Bootstrap scrollspy not working</t>
  </si>
  <si>
    <t>3:04</t>
  </si>
  <si>
    <t>Bootstrap scrollspy vertical menu</t>
  </si>
  <si>
    <t>6:24</t>
  </si>
  <si>
    <t>Bootstrap affix plugin</t>
  </si>
  <si>
    <t>Bootstrap image carousel</t>
  </si>
  <si>
    <t>10:23</t>
  </si>
  <si>
    <t>Bootstrap multi column carousel</t>
  </si>
  <si>
    <t>3 sätt att associera evenhandler till event: 1. Direkt i attributet (onmouseover="this.style.backgroundColor = 'red';this.style.color = 'yellow'"), properties och addEventListener</t>
  </si>
  <si>
    <t>Varje DOM börjar med window-document-html. Kan tilldela en anonym funktion direkt till event-property. Det är bara med addEventListener som man kan tilldela fler än en event handler.</t>
  </si>
  <si>
    <t>Kan tilldela fler än en event hadler med addEventListener</t>
  </si>
  <si>
    <t>window.open(URL, name, feature, replace)</t>
  </si>
  <si>
    <r>
      <t>Metoder på en RegExp:</t>
    </r>
    <r>
      <rPr>
        <b/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(true eller false) och </t>
    </r>
    <r>
      <rPr>
        <b/>
        <sz val="11"/>
        <color theme="1"/>
        <rFont val="Calibri"/>
        <family val="2"/>
        <scheme val="minor"/>
      </rPr>
      <t>exec</t>
    </r>
    <r>
      <rPr>
        <sz val="11"/>
        <color theme="1"/>
        <rFont val="Calibri"/>
        <family val="2"/>
        <scheme val="minor"/>
      </rPr>
      <t xml:space="preserve"> (first match i en array).</t>
    </r>
  </si>
  <si>
    <t>4 pillars of any object oriented programming language: Inheritance, Encapsulation, Abstraction, Polymorphism</t>
  </si>
  <si>
    <t>Function overloading finns inte i JavaScript. Man kan skriva in uttryck och få dem direkt exekverade i console-fönstret i Google Chrome.</t>
  </si>
  <si>
    <t>this-key word = public field, var-key word = private field, privileged function skapas med this key word, men anropar private field/function.</t>
  </si>
  <si>
    <t>Använd get och set</t>
  </si>
  <si>
    <t>2016-11-28</t>
  </si>
  <si>
    <t>1 tim</t>
  </si>
  <si>
    <t>2 tim</t>
  </si>
  <si>
    <t>4 tim</t>
  </si>
  <si>
    <t>3 tim</t>
  </si>
  <si>
    <t>6 tim</t>
  </si>
  <si>
    <t>5 tim</t>
  </si>
  <si>
    <t>2016-11-29</t>
  </si>
  <si>
    <t>2016-11-30</t>
  </si>
  <si>
    <t>7 tim</t>
  </si>
  <si>
    <t>8 tim</t>
  </si>
  <si>
    <t>What is ASP NET Web API</t>
  </si>
  <si>
    <t>Creating a Web API Project</t>
  </si>
  <si>
    <t>HTTP GET PUT POST DELETE</t>
  </si>
  <si>
    <t>12:12</t>
  </si>
  <si>
    <t>ASP NET Web API and SQL Server</t>
  </si>
  <si>
    <t>11:16</t>
  </si>
  <si>
    <t>ASP NET Web API MediaTypeFormatter</t>
  </si>
  <si>
    <t>Implementing post method in ASP NET Web API</t>
  </si>
  <si>
    <t>Implementing Delete method in ASP NET Web API</t>
  </si>
  <si>
    <t>Implementing PUT method in ASP NET Web API</t>
  </si>
  <si>
    <t>Custom method names in ASP NET Web API</t>
  </si>
  <si>
    <t>ASP NET Web API query string parameters</t>
  </si>
  <si>
    <t>FromBody and FromUri in Web API</t>
  </si>
  <si>
    <t>Call ASP NET Web API from jQuery</t>
  </si>
  <si>
    <t>Calling ASP NET Web API service in a cross domain using jQuery ajax</t>
  </si>
  <si>
    <t>10:47</t>
  </si>
  <si>
    <t>Cross origin resource sharing ASP NET Web API</t>
  </si>
  <si>
    <t>Enable SSL in Visual Studio Development Server</t>
  </si>
  <si>
    <t>ASP NET Web API enable HTTPS</t>
  </si>
  <si>
    <t>13:48</t>
  </si>
  <si>
    <t>Implementing basic authentication in ASP NET Web API</t>
  </si>
  <si>
    <t>19:16</t>
  </si>
  <si>
    <t>Call web api service with basic authentication using jquery ajax</t>
  </si>
  <si>
    <t>ASP NET Web API token authentication</t>
  </si>
  <si>
    <t>ASP NET Web API user registration</t>
  </si>
  <si>
    <t>20:05</t>
  </si>
  <si>
    <t>2016-12-06</t>
  </si>
  <si>
    <t>2016-12-19</t>
  </si>
  <si>
    <t>2016-12-20</t>
  </si>
  <si>
    <t>2016-12-22</t>
  </si>
  <si>
    <t>2016-12-23</t>
  </si>
  <si>
    <t>2016-12-26</t>
  </si>
  <si>
    <t>2017-01-17</t>
  </si>
  <si>
    <t>2017-01-28</t>
  </si>
  <si>
    <t>2017-01-31</t>
  </si>
  <si>
    <t>Adding JavaScript to ASP NET controls</t>
  </si>
  <si>
    <t>JavaScript confirm on gridview delete</t>
  </si>
  <si>
    <t>JavaScript to select all checkboxes in GridView</t>
  </si>
  <si>
    <t>25:28</t>
  </si>
  <si>
    <t>Change gridview row color when checkbox is checked</t>
  </si>
  <si>
    <t>ASP NET TextBox and JavaScript</t>
  </si>
  <si>
    <t>Watermark in ASP NET TextBox using JavaScript</t>
  </si>
  <si>
    <t>Disable ASP NET button after click to prevent double clicking</t>
  </si>
  <si>
    <t>JavaScript to automatically tab to next textbox</t>
  </si>
  <si>
    <t>RegisterStartupScript and RegisterClientScriptBlock methods</t>
  </si>
  <si>
    <t>ASP NET control client id in JavaScript</t>
  </si>
  <si>
    <t>JavaScript calendar date picker for ASP NET</t>
  </si>
  <si>
    <t>Warn user before leaving web page with unsaved changes</t>
  </si>
  <si>
    <t>JavaScript password strength checker</t>
  </si>
  <si>
    <t>Asp.net checkboxlist and listbox real time example</t>
  </si>
  <si>
    <t>Asp.net radiobuttonlist control</t>
  </si>
  <si>
    <t>List controls in asp.net</t>
  </si>
  <si>
    <t>17:46</t>
  </si>
  <si>
    <t>Bulleted list in asp.net</t>
  </si>
  <si>
    <t>Fileupload control in asp.net</t>
  </si>
  <si>
    <t>14:16</t>
  </si>
  <si>
    <t>Adrotator control in asp net</t>
  </si>
  <si>
    <t>10:10</t>
  </si>
  <si>
    <t>Asp net calendar control</t>
  </si>
  <si>
    <t>Asp.net calendar control properties and events</t>
  </si>
  <si>
    <t>17:48</t>
  </si>
  <si>
    <t>Hidden field in asp.net</t>
  </si>
  <si>
    <t>16:27</t>
  </si>
  <si>
    <t>Multiview control in asp.net</t>
  </si>
  <si>
    <t>14:38</t>
  </si>
  <si>
    <t>Wizard control in asp.net</t>
  </si>
  <si>
    <t>13:43</t>
  </si>
  <si>
    <t>Asp net Wizard control properties</t>
  </si>
  <si>
    <t>15:52</t>
  </si>
  <si>
    <t>Asp.net Wizard control events</t>
  </si>
  <si>
    <t>10:54</t>
  </si>
  <si>
    <t>UseSubmitBehavior property of the Button control</t>
  </si>
  <si>
    <t>Asp.net wizard control templates</t>
  </si>
  <si>
    <t>22:41</t>
  </si>
  <si>
    <t>Literal control in asp.net</t>
  </si>
  <si>
    <t>11:18</t>
  </si>
  <si>
    <t>Asp.net panel control</t>
  </si>
  <si>
    <t>16:40</t>
  </si>
  <si>
    <t>Creating controls dynamically using asp.net panel control</t>
  </si>
  <si>
    <t>21:54</t>
  </si>
  <si>
    <t>RequiredField validator control in asp.net</t>
  </si>
  <si>
    <t>14:59</t>
  </si>
  <si>
    <t>Rangevalidator control in asp.net</t>
  </si>
  <si>
    <t>12:37</t>
  </si>
  <si>
    <t>CompareValidator control in asp.net</t>
  </si>
  <si>
    <t>RegularExpressionValidator control in asp.net</t>
  </si>
  <si>
    <t>CustomValidator control in asp.net</t>
  </si>
  <si>
    <t>15:28</t>
  </si>
  <si>
    <t>ValidationSummary control in asp.net</t>
  </si>
  <si>
    <t>10:48</t>
  </si>
  <si>
    <t>ValidationGroups in asp.net</t>
  </si>
  <si>
    <t>10:11</t>
  </si>
  <si>
    <t>2017-02-03</t>
  </si>
  <si>
    <t>2017-02-04</t>
  </si>
  <si>
    <t>Using asp net identity with Web API</t>
  </si>
  <si>
    <t>Using fiddler to test ASP NET Web API token based authentication</t>
  </si>
  <si>
    <t>ASP NET Web API login page</t>
  </si>
  <si>
    <t>Web api bearer token example</t>
  </si>
  <si>
    <t>ASP NET Web API logout</t>
  </si>
  <si>
    <t>How to get authenticated user identity name in asp net web api</t>
  </si>
  <si>
    <t>ASP NET Web API google authentication</t>
  </si>
  <si>
    <t>32:34</t>
  </si>
  <si>
    <t>ASP NET Web API Content Negotiation</t>
  </si>
  <si>
    <t>What is ADO.NET</t>
  </si>
  <si>
    <t>SqlConnection in asp.net</t>
  </si>
  <si>
    <t>ConnectionStrings in web.config configuration file</t>
  </si>
  <si>
    <t>SqlCommand in ado.net</t>
  </si>
  <si>
    <t>Sql injection tutorial</t>
  </si>
  <si>
    <t>Sql injection prevention</t>
  </si>
  <si>
    <t>Calling a stored procedure with output parameters</t>
  </si>
  <si>
    <t>SqlDataReader in ADO.NET</t>
  </si>
  <si>
    <t>SqlDataReader object's NextResult method</t>
  </si>
  <si>
    <t>SqlDataAdapter in ADO.NET</t>
  </si>
  <si>
    <t>2017-02-10</t>
  </si>
  <si>
    <t>Different page navigation techniques in asp.net</t>
  </si>
  <si>
    <t>6:18</t>
  </si>
  <si>
    <t>Response Redirect in asp.net</t>
  </si>
  <si>
    <t>5:00</t>
  </si>
  <si>
    <t>Server Transfer in asp.net</t>
  </si>
  <si>
    <t>17:28</t>
  </si>
  <si>
    <t>14:55</t>
  </si>
  <si>
    <t>Server execute in asp.net</t>
  </si>
  <si>
    <t>Cross page posting in asp.net</t>
  </si>
  <si>
    <t>12:25</t>
  </si>
  <si>
    <t>Cross page postback strongly typed reference</t>
  </si>
  <si>
    <t>Opening new window using javascript in asp.net</t>
  </si>
  <si>
    <t>22:05</t>
  </si>
  <si>
    <t>Techniques to send data from one webform to another in asp.net</t>
  </si>
  <si>
    <t>13:19</t>
  </si>
  <si>
    <t>QueryString in asp.net</t>
  </si>
  <si>
    <t>13:55</t>
  </si>
  <si>
    <t>Cookies in asp.net</t>
  </si>
  <si>
    <t>10:50</t>
  </si>
  <si>
    <t>How to Check if cookies are enabled or disabled</t>
  </si>
  <si>
    <t>13:49</t>
  </si>
  <si>
    <t>Asp.net session state</t>
  </si>
  <si>
    <t>11:24</t>
  </si>
  <si>
    <t>Cookie less sessions in asp.net</t>
  </si>
  <si>
    <t>12:43</t>
  </si>
  <si>
    <t>Inporc asp.net session state mode management</t>
  </si>
  <si>
    <t>12:24</t>
  </si>
  <si>
    <t>StateServer asp.net session state mode management</t>
  </si>
  <si>
    <t>11:14</t>
  </si>
  <si>
    <t>SQLServer asp.net session state mode management</t>
  </si>
  <si>
    <t>14:12</t>
  </si>
  <si>
    <t>Asp.net Application state</t>
  </si>
  <si>
    <t>11:17</t>
  </si>
  <si>
    <t>Asp.net application state real time example</t>
  </si>
  <si>
    <t>11:30</t>
  </si>
  <si>
    <t>Exception handling in asp.net</t>
  </si>
  <si>
    <t>Error events in asp.net</t>
  </si>
  <si>
    <t>13:05</t>
  </si>
  <si>
    <t>Custom errors in asp.net</t>
  </si>
  <si>
    <t>14:06</t>
  </si>
  <si>
    <t>Windows event viewer</t>
  </si>
  <si>
    <t>11:02</t>
  </si>
  <si>
    <t>Logging exceptions to the windows eventviewer</t>
  </si>
  <si>
    <t>16:07</t>
  </si>
  <si>
    <t>Logging exceptions as information entry type in windows eventviewer</t>
  </si>
  <si>
    <t>15:32</t>
  </si>
  <si>
    <t>Logging exceptions to database</t>
  </si>
  <si>
    <t>15:05</t>
  </si>
  <si>
    <t>Customizing asp.net exception Logging</t>
  </si>
  <si>
    <t>11:35</t>
  </si>
  <si>
    <t>Sending emails using asp.net</t>
  </si>
  <si>
    <t>12:58</t>
  </si>
  <si>
    <t>Sending emails in asp.net using SMTP server settings from web config</t>
  </si>
  <si>
    <t>Tracing in asp.net</t>
  </si>
  <si>
    <t>Writing custom asp.net tracing messages</t>
  </si>
  <si>
    <t>10:46</t>
  </si>
  <si>
    <t>Tracing in asp.net A real time example</t>
  </si>
  <si>
    <t>14:19</t>
  </si>
  <si>
    <t>Application pools in IIS</t>
  </si>
  <si>
    <t>17:44</t>
  </si>
  <si>
    <t>Applications isolation using application pools in IIS</t>
  </si>
  <si>
    <t>Application pools in IIS Security</t>
  </si>
  <si>
    <t>15:36</t>
  </si>
  <si>
    <t>Anonymous authentication in asp.net</t>
  </si>
  <si>
    <t>13:54</t>
  </si>
  <si>
    <t>Anonymous authentication and asp.net impersonation</t>
  </si>
  <si>
    <t>12:02</t>
  </si>
  <si>
    <t>Windows authentication in asp.net</t>
  </si>
  <si>
    <t>Windows authentication and authorization in asp.net</t>
  </si>
  <si>
    <t>11:05</t>
  </si>
  <si>
    <t>Windows authentication and folder level authorization</t>
  </si>
  <si>
    <t>Forms authentication using user names list in web.config</t>
  </si>
  <si>
    <t>20:23</t>
  </si>
  <si>
    <t>Forms authentication in asp.net and user registration</t>
  </si>
  <si>
    <t>15:51</t>
  </si>
  <si>
    <t>Forms authentication against users in database table</t>
  </si>
  <si>
    <t>Forms authentication and locking user accounts</t>
  </si>
  <si>
    <t>18:12</t>
  </si>
  <si>
    <t>Unlocking the locked user accounts</t>
  </si>
  <si>
    <t>13:42</t>
  </si>
  <si>
    <t>Implementing password reset link in asp.net</t>
  </si>
  <si>
    <t>21:31</t>
  </si>
  <si>
    <t>Implementing change password page in asp net</t>
  </si>
  <si>
    <t>20:14</t>
  </si>
  <si>
    <t>Changing password by providing current password</t>
  </si>
  <si>
    <t>Unlocking the locked user accounts using a web page</t>
  </si>
  <si>
    <t>Implementing Enable button to unlock user accounts</t>
  </si>
  <si>
    <t>10:34</t>
  </si>
  <si>
    <t>Secure Socket Layer in asp.net</t>
  </si>
  <si>
    <t>12:57</t>
  </si>
  <si>
    <t>Implementing SSL in asp net web application</t>
  </si>
  <si>
    <t>14:22</t>
  </si>
  <si>
    <t>Redirect http to https in iis</t>
  </si>
  <si>
    <t>Redirect http to https in iis using custom errors</t>
  </si>
  <si>
    <t>User controls in asp net</t>
  </si>
  <si>
    <t>Adding and using user controls on a webform</t>
  </si>
  <si>
    <t>14:13</t>
  </si>
  <si>
    <t>Raising custom events from user controls</t>
  </si>
  <si>
    <t>27:27</t>
  </si>
  <si>
    <t>Consuming user control custom events</t>
  </si>
  <si>
    <t>16:13</t>
  </si>
  <si>
    <t>Events and delegates in C#</t>
  </si>
  <si>
    <t>14:56</t>
  </si>
  <si>
    <t>Loading user controls dynamically</t>
  </si>
  <si>
    <t>14:09</t>
  </si>
  <si>
    <t>Loading controls dynamically in asp.net</t>
  </si>
  <si>
    <t>17:27</t>
  </si>
  <si>
    <t>2017-02-22</t>
  </si>
  <si>
    <t>2017-02-23</t>
  </si>
  <si>
    <t>2017-02-25</t>
  </si>
  <si>
    <t>2017-02-26</t>
  </si>
  <si>
    <t>What is LINQ</t>
  </si>
  <si>
    <t>Writing LINQ Queries</t>
  </si>
  <si>
    <t>Extension Methods in C#</t>
  </si>
  <si>
    <t>LINQ Aggregate Functions</t>
  </si>
  <si>
    <t>Aggregate function in LINQ</t>
  </si>
  <si>
    <t>Restriction Operators in LINQ</t>
  </si>
  <si>
    <t>Projection Operators in LINQ</t>
  </si>
  <si>
    <t>SelectMany Operator in LINQ</t>
  </si>
  <si>
    <t>Difference between Select and SelectMany in LINQ</t>
  </si>
  <si>
    <t>Ordering Operators in LINQ</t>
  </si>
  <si>
    <t>2017-02-27</t>
  </si>
  <si>
    <t>Navigating to a specific month and an year in an asp.net calendar control</t>
  </si>
  <si>
    <t>13:04</t>
  </si>
  <si>
    <t>Asp net custom server controls</t>
  </si>
  <si>
    <t>Adding composite custom controls to visual studio tool box</t>
  </si>
  <si>
    <t>10:21</t>
  </si>
  <si>
    <t>Adding properties to composite custom controls</t>
  </si>
  <si>
    <t>19:48</t>
  </si>
  <si>
    <t>Solving the problems of asp net composite custom calendar control</t>
  </si>
  <si>
    <t>23:42</t>
  </si>
  <si>
    <t>Adding custom events to asp net composite custom control</t>
  </si>
  <si>
    <t>19:20</t>
  </si>
  <si>
    <t>Assigning an image to the composite custom control in visual studio tool box</t>
  </si>
  <si>
    <t>Difference between user controls and custom controls</t>
  </si>
  <si>
    <t>17:24</t>
  </si>
  <si>
    <t>Caching in asp.net Part</t>
  </si>
  <si>
    <t>16:57</t>
  </si>
  <si>
    <t>Caching multiple responses for a single webform Part</t>
  </si>
  <si>
    <t>14:54</t>
  </si>
  <si>
    <t>Controlling asp net caching in code</t>
  </si>
  <si>
    <t>Fragment caching in asp net</t>
  </si>
  <si>
    <t>19:27</t>
  </si>
  <si>
    <t>Web form caching based on GET and POST requests</t>
  </si>
  <si>
    <t>8:20</t>
  </si>
  <si>
    <t>Caching multiple versions of user control using VaryByControl</t>
  </si>
  <si>
    <t>18:31</t>
  </si>
  <si>
    <t>Caching multiple versions of user control using VaryByParam</t>
  </si>
  <si>
    <t>13:29</t>
  </si>
  <si>
    <t>Caching application data in asp net</t>
  </si>
  <si>
    <t>17:25</t>
  </si>
  <si>
    <t>Different ways to cache application data in asp net</t>
  </si>
  <si>
    <t>13:18</t>
  </si>
  <si>
    <t>Caching in asp net AbsoluteExpiration, SlidingExpiration, and CacheItemPriority</t>
  </si>
  <si>
    <t>9:21</t>
  </si>
  <si>
    <t>Cache dependency on files in asp net</t>
  </si>
  <si>
    <t>10:38</t>
  </si>
  <si>
    <t>Reloading or refreshing cache automatically, when cached data is removed</t>
  </si>
  <si>
    <t>Cache dependency on sql server database table</t>
  </si>
  <si>
    <t>11:34</t>
  </si>
  <si>
    <t>Reload data into cache automatically when data in the table changes</t>
  </si>
  <si>
    <t>12:10</t>
  </si>
  <si>
    <t>What is AutoEventWireup in asp.net</t>
  </si>
  <si>
    <t>7:26</t>
  </si>
  <si>
    <t>Add image slideshow to your website using asp net ajax and c#</t>
  </si>
  <si>
    <t>Display images in sequence in an image slideshow</t>
  </si>
  <si>
    <t>9:07</t>
  </si>
  <si>
    <t>Provide capability to start and stop image slideshow</t>
  </si>
  <si>
    <t>6:28</t>
  </si>
  <si>
    <t>Add images to slideshow using xml file</t>
  </si>
  <si>
    <t>Add images to slideshow using database table</t>
  </si>
  <si>
    <t>7:24</t>
  </si>
  <si>
    <t>How to upload and download files using asp net and c#</t>
  </si>
  <si>
    <t>24:15</t>
  </si>
  <si>
    <t>Creating an image gallery using asp net and c#</t>
  </si>
  <si>
    <t>22:20</t>
  </si>
  <si>
    <t>Partitioning Operators in LINQ</t>
  </si>
  <si>
    <t>Implement paging using skip and take operators</t>
  </si>
  <si>
    <t>LINQ query deferred execution</t>
  </si>
  <si>
    <t>Conversion Operators in LINQ</t>
  </si>
  <si>
    <t>Cast and OfType operators in LINQ</t>
  </si>
  <si>
    <t>AsEnumerable and AsQueryable in LINQ</t>
  </si>
  <si>
    <t>GroupBy in LINQ</t>
  </si>
  <si>
    <t>Group by multiple keys in linq</t>
  </si>
  <si>
    <t>Element Operators in LINQ</t>
  </si>
  <si>
    <t>12:11</t>
  </si>
  <si>
    <t>Group Join in LINQ</t>
  </si>
  <si>
    <t>Inner Join in LINQ</t>
  </si>
  <si>
    <t>Difference between group join and inner join in linq</t>
  </si>
  <si>
    <t>Left Outer Join in LINQ</t>
  </si>
  <si>
    <t>Cross Join in LINQ</t>
  </si>
  <si>
    <t>Set operators in LINQ</t>
  </si>
  <si>
    <t>Union, Intersect and Except operators in LINQ</t>
  </si>
  <si>
    <t>Generation Operators in LINQ</t>
  </si>
  <si>
    <t>Concat operator in LINQ</t>
  </si>
  <si>
    <t>SequenceEqual Operator in LINQ</t>
  </si>
  <si>
    <t>Quantifiers in LINQ</t>
  </si>
  <si>
    <t>LinqPad Tutorial</t>
  </si>
  <si>
    <t>Part 1 LINQ to SQL</t>
  </si>
  <si>
    <t>Part 2 Insert Update Delete using LINQ to SQL</t>
  </si>
  <si>
    <t>Part 4 Using stored procedures with LINQ to SQL</t>
  </si>
  <si>
    <t>Part 3 How to view LINQ to SQL generated SQL queries</t>
  </si>
  <si>
    <t>Part 5 Insert Update Delete using stored procedures in LINQ to SQL</t>
  </si>
  <si>
    <t>Part 6 Stored procedures with output parameters in LINQ to SQL</t>
  </si>
  <si>
    <t>Part 7 What is SqlMetal</t>
  </si>
  <si>
    <t>Part 8 Lazy loading in LINQ to SQL</t>
  </si>
  <si>
    <t>Part 9 Eager loading in LINQ to SQL</t>
  </si>
  <si>
    <t>Part 10 Difference between eager loading and lazy loading</t>
  </si>
  <si>
    <t>Part 11 Single table inheritance in linq to sql</t>
  </si>
  <si>
    <t>Part 12 Single table inheritance saving to database</t>
  </si>
  <si>
    <t>Part 13 Compiled queries in Linq to SQL</t>
  </si>
  <si>
    <t>Part 14 How to directly execute sql queries using Linq to SQL</t>
  </si>
  <si>
    <t>Part 15 Identity Cache in Linq to SQL</t>
  </si>
  <si>
    <t>Part 16 Difference between optimistic and pessimistic concurrency control</t>
  </si>
  <si>
    <t>Part 17 Concurrency in Linq to SQL</t>
  </si>
  <si>
    <t>Part 18 Handling ChangeConflictException</t>
  </si>
  <si>
    <t>Part 19 UpdateCheck property</t>
  </si>
  <si>
    <t>Part 20 Using ROWVERSION or TIMESTAMP to detect concurrency conflicts</t>
  </si>
  <si>
    <t>Contact us page using asp net and c#</t>
  </si>
  <si>
    <t>13:57</t>
  </si>
  <si>
    <t>Contact us page using asp net and c# continued</t>
  </si>
  <si>
    <t>15:03</t>
  </si>
  <si>
    <t>Difference between http get and http post methods</t>
  </si>
  <si>
    <t>11:11</t>
  </si>
  <si>
    <t>How to check if the request method is a GET or a POST in MVC</t>
  </si>
  <si>
    <t>5:58</t>
  </si>
  <si>
    <t>Implementing autocomplete textbox in asp net web forms</t>
  </si>
  <si>
    <t>23:39</t>
  </si>
  <si>
    <t>Why use master pages in asp net</t>
  </si>
  <si>
    <t>5:33</t>
  </si>
  <si>
    <t>Master pages in asp net</t>
  </si>
  <si>
    <t>10:43</t>
  </si>
  <si>
    <t>Passing data from content page to master page in asp net</t>
  </si>
  <si>
    <t>10:24</t>
  </si>
  <si>
    <t>Passing data from master page to content page in asp net</t>
  </si>
  <si>
    <t>18:09</t>
  </si>
  <si>
    <t>Default content in contentplaceholder of a master page in asp net</t>
  </si>
  <si>
    <t>3:39</t>
  </si>
  <si>
    <t>Assigning a master page dynamically in asp net</t>
  </si>
  <si>
    <t>29:44</t>
  </si>
  <si>
    <t>Master page content page user control life cycle in asp net</t>
  </si>
  <si>
    <t>Menu control in asp net</t>
  </si>
  <si>
    <t>12:26</t>
  </si>
  <si>
    <t>Using styles with asp net menu control</t>
  </si>
  <si>
    <t>21:32</t>
  </si>
  <si>
    <t>Binding asp net menu control to an xml file using xmldatasource control</t>
  </si>
  <si>
    <t>10:18</t>
  </si>
  <si>
    <t>Binding asp net menu control to database table</t>
  </si>
  <si>
    <t>12:27</t>
  </si>
  <si>
    <t>SiteMapPath control in asp net</t>
  </si>
  <si>
    <t>Binding asp net menu control to web sitemap file using sitemapdatasource control</t>
  </si>
  <si>
    <t>4:06</t>
  </si>
  <si>
    <t>TreeView control in asp net</t>
  </si>
  <si>
    <t>7:54</t>
  </si>
  <si>
    <t>Binding asp net treeview control to an xml file using xmldatasource control</t>
  </si>
  <si>
    <t>7:06</t>
  </si>
  <si>
    <t>Binding asp net treeview control to web sitemap file using sitemapdatasource control</t>
  </si>
  <si>
    <t>4:10</t>
  </si>
  <si>
    <t>Binding asp net treeview control to database table</t>
  </si>
  <si>
    <t>14:28</t>
  </si>
  <si>
    <t>Dynamically adding treenodes to treeview control in asp net</t>
  </si>
  <si>
    <t>8:46</t>
  </si>
  <si>
    <t>Displaying organization employee chart using treeview control in asp net</t>
  </si>
  <si>
    <t>11:09</t>
  </si>
  <si>
    <t>How to display an icon for website on browser tab</t>
  </si>
  <si>
    <t>3:48</t>
  </si>
  <si>
    <t>Captcha control in asp net</t>
  </si>
  <si>
    <t>Using ASP NET validation controls with recaptcha</t>
  </si>
  <si>
    <t>5:10</t>
  </si>
  <si>
    <t>Customizing recaptcha control</t>
  </si>
  <si>
    <t>2:17</t>
  </si>
  <si>
    <t>Save image to database using asp net</t>
  </si>
  <si>
    <t>Load image from database in asp net</t>
  </si>
  <si>
    <t>11:54</t>
  </si>
  <si>
    <t>6:48</t>
  </si>
  <si>
    <t>How to show images from database in gridview in asp net</t>
  </si>
  <si>
    <t>11:44</t>
  </si>
  <si>
    <t>Display data from two or more database table columns in asp net dropdownlist</t>
  </si>
  <si>
    <t>Course</t>
  </si>
  <si>
    <t>Number of videos</t>
  </si>
  <si>
    <t>Total length</t>
  </si>
  <si>
    <t>MVC</t>
  </si>
  <si>
    <t>JavaScript</t>
  </si>
  <si>
    <t>22:67</t>
  </si>
  <si>
    <t>jQuery</t>
  </si>
  <si>
    <t>22:16</t>
  </si>
  <si>
    <t>C#</t>
  </si>
  <si>
    <t>ASP.NET</t>
  </si>
  <si>
    <t>38:71</t>
  </si>
  <si>
    <t>5:25</t>
  </si>
  <si>
    <t>ASP.NET Web API</t>
  </si>
  <si>
    <t>ADO.NET</t>
  </si>
  <si>
    <t>WCF</t>
  </si>
  <si>
    <t>Entity Framework</t>
  </si>
  <si>
    <t>4:99</t>
  </si>
  <si>
    <t>7:31</t>
  </si>
  <si>
    <t>Linq</t>
  </si>
  <si>
    <t>1:57</t>
  </si>
  <si>
    <t>ASP.NET Webservices</t>
  </si>
  <si>
    <t>7:15</t>
  </si>
  <si>
    <t>Angular</t>
  </si>
  <si>
    <t>SQL server</t>
  </si>
  <si>
    <t>6:47</t>
  </si>
  <si>
    <t>Bootstrap</t>
  </si>
  <si>
    <t>Dot Net Basics</t>
  </si>
  <si>
    <t>1:92</t>
  </si>
  <si>
    <t>JavaScript with ASP.NET</t>
  </si>
  <si>
    <t>2:49</t>
  </si>
  <si>
    <t>2017-03-03</t>
  </si>
  <si>
    <t>2017-03-02</t>
  </si>
  <si>
    <t>2017-03-04</t>
  </si>
  <si>
    <t>2017-03-05</t>
  </si>
  <si>
    <t>2017-03-06</t>
  </si>
  <si>
    <t>Timmar</t>
  </si>
  <si>
    <t>9 tim</t>
  </si>
  <si>
    <t>2017-03-07</t>
  </si>
  <si>
    <t>12 tim</t>
  </si>
  <si>
    <t>10 tim</t>
  </si>
  <si>
    <t>11 tim</t>
  </si>
  <si>
    <t>2017-03-08</t>
  </si>
  <si>
    <t>13 tim</t>
  </si>
  <si>
    <t>14 tim</t>
  </si>
  <si>
    <t>15 tim</t>
  </si>
  <si>
    <t>16 tim</t>
  </si>
  <si>
    <t>17 tim</t>
  </si>
  <si>
    <t>18 tim</t>
  </si>
  <si>
    <t>2017-03-09</t>
  </si>
  <si>
    <t>2017-03-10</t>
  </si>
  <si>
    <t>2017-03-11</t>
  </si>
  <si>
    <t>2017-03-12</t>
  </si>
  <si>
    <t>Mycket ajax</t>
  </si>
  <si>
    <t>2017-03-13</t>
  </si>
  <si>
    <t>2017-03-14</t>
  </si>
  <si>
    <t>17:43</t>
  </si>
  <si>
    <t>4:27</t>
  </si>
  <si>
    <t>12:40</t>
  </si>
  <si>
    <t>20:10</t>
  </si>
  <si>
    <t>Stored procedures with output parameters</t>
  </si>
  <si>
    <t>18:19</t>
  </si>
  <si>
    <t>Stored procedure output parameters or return values</t>
  </si>
  <si>
    <t>16:44</t>
  </si>
  <si>
    <t>Advantages of stored procedures</t>
  </si>
  <si>
    <t>11:51</t>
  </si>
  <si>
    <t>15:25</t>
  </si>
  <si>
    <t>12:50</t>
  </si>
  <si>
    <t>21:28</t>
  </si>
  <si>
    <t>15:50</t>
  </si>
  <si>
    <t>19:06</t>
  </si>
  <si>
    <t>Identity Column</t>
  </si>
  <si>
    <t>Select statement</t>
  </si>
  <si>
    <t>How to get the last generated identity column value</t>
  </si>
  <si>
    <t>Group by</t>
  </si>
  <si>
    <t>Joins</t>
  </si>
  <si>
    <t>Advanced or intelligent joins</t>
  </si>
  <si>
    <t>Self join</t>
  </si>
  <si>
    <t>Different ways to replace NULL</t>
  </si>
  <si>
    <t>Coalesce function</t>
  </si>
  <si>
    <t>Union and union all</t>
  </si>
  <si>
    <t>Stored procedures</t>
  </si>
  <si>
    <t>Built in string functions</t>
  </si>
  <si>
    <t>LEFT, RIGHT, CHARINDEX and SUBSTRING functions</t>
  </si>
  <si>
    <t>Replicate, Space, Patindex, Replace and Stuff string functions</t>
  </si>
  <si>
    <t>DateTime functions</t>
  </si>
  <si>
    <t>IsDate, Day, Month, Year and DateName DateTime functions</t>
  </si>
  <si>
    <t>DatePart, DateAdd and DateDiff functions</t>
  </si>
  <si>
    <t>Cast and Convert functions</t>
  </si>
  <si>
    <t>Mathematical functions</t>
  </si>
  <si>
    <t>Scalar user defined functions</t>
  </si>
  <si>
    <t>Inline table valued functions</t>
  </si>
  <si>
    <t>Multi statement table valued functions</t>
  </si>
  <si>
    <t>Important concepts related to functions</t>
  </si>
  <si>
    <t>Indexes</t>
  </si>
  <si>
    <t>11:13</t>
  </si>
  <si>
    <t>Temporary tables</t>
  </si>
  <si>
    <t>16:33</t>
  </si>
  <si>
    <t>Clustered and nonclustered indexes</t>
  </si>
  <si>
    <t>16:48</t>
  </si>
  <si>
    <t>Unique and Non Unique Indexes</t>
  </si>
  <si>
    <t>11:01</t>
  </si>
  <si>
    <t>Advantages and disadvantages of indexes</t>
  </si>
  <si>
    <t>12:19</t>
  </si>
  <si>
    <t>Views</t>
  </si>
  <si>
    <t>14:50</t>
  </si>
  <si>
    <t>Updatable views</t>
  </si>
  <si>
    <t>11:37</t>
  </si>
  <si>
    <t>Indexed views</t>
  </si>
  <si>
    <t>View limitations</t>
  </si>
  <si>
    <t>10:01</t>
  </si>
  <si>
    <t>DML triggers</t>
  </si>
  <si>
    <t>After update trigger</t>
  </si>
  <si>
    <t>17:18</t>
  </si>
  <si>
    <t>Instead of insert trigger</t>
  </si>
  <si>
    <t>15:04</t>
  </si>
  <si>
    <t>Instead of update triggers</t>
  </si>
  <si>
    <t>22:26</t>
  </si>
  <si>
    <t>Instead of delete triggers</t>
  </si>
  <si>
    <t>10:02</t>
  </si>
  <si>
    <t>Derived tables and common table expressions</t>
  </si>
  <si>
    <t>17:52</t>
  </si>
  <si>
    <t>CTE</t>
  </si>
  <si>
    <t>12:56</t>
  </si>
  <si>
    <t>Updatable common table expressions</t>
  </si>
  <si>
    <t>15:01</t>
  </si>
  <si>
    <t>Recursive CTE</t>
  </si>
  <si>
    <t>12:21</t>
  </si>
  <si>
    <t>Database normalization</t>
  </si>
  <si>
    <t>Second normal form and third normal form</t>
  </si>
  <si>
    <t>13:15</t>
  </si>
  <si>
    <t>Pivot</t>
  </si>
  <si>
    <t>Error handling</t>
  </si>
  <si>
    <t>24:03</t>
  </si>
  <si>
    <t>Transactions</t>
  </si>
  <si>
    <t>Transactions in sql server and ACID Tests</t>
  </si>
  <si>
    <t>9:49</t>
  </si>
  <si>
    <t>Subqueries</t>
  </si>
  <si>
    <t>14:33</t>
  </si>
  <si>
    <t>Correlated subquery</t>
  </si>
  <si>
    <t>7:58</t>
  </si>
  <si>
    <t>Creating a large table with random data for performance testing</t>
  </si>
  <si>
    <t>17:17</t>
  </si>
  <si>
    <t>What to choose for performance SubQuery or Joins</t>
  </si>
  <si>
    <t>Cursors</t>
  </si>
  <si>
    <t>Replacing cursors using joins</t>
  </si>
  <si>
    <t>List all tables in a sql server database using a query</t>
  </si>
  <si>
    <t>5:37</t>
  </si>
  <si>
    <t>Writing re runnable sql server scripts</t>
  </si>
  <si>
    <t>10:36</t>
  </si>
  <si>
    <t>Alter database table columns without dropping table</t>
  </si>
  <si>
    <t>4:05</t>
  </si>
  <si>
    <t>Optional parameters in sql server stored procedures</t>
  </si>
  <si>
    <t>27:51</t>
  </si>
  <si>
    <t>Merge</t>
  </si>
  <si>
    <t>7:13</t>
  </si>
  <si>
    <t>sql server concurrent transactions</t>
  </si>
  <si>
    <t>7:33</t>
  </si>
  <si>
    <t>sql server dirty read example</t>
  </si>
  <si>
    <t>8:49</t>
  </si>
  <si>
    <t>sql server lost update problem</t>
  </si>
  <si>
    <t>Non repeatable read example</t>
  </si>
  <si>
    <t>5:44</t>
  </si>
  <si>
    <t>Phantom reads example</t>
  </si>
  <si>
    <t>6:37</t>
  </si>
  <si>
    <t>Snapshot isolation level</t>
  </si>
  <si>
    <t>9:15</t>
  </si>
  <si>
    <t>Read committed snapshot isolation level</t>
  </si>
  <si>
    <t>6:57</t>
  </si>
  <si>
    <t>Difference between snapshot isolation and read committed snapshot</t>
  </si>
  <si>
    <t>SQL Server deadlock example</t>
  </si>
  <si>
    <t>5:13</t>
  </si>
  <si>
    <t>SQL Server deadlock victim selection</t>
  </si>
  <si>
    <t>7:49</t>
  </si>
  <si>
    <t>Logging deadlocks</t>
  </si>
  <si>
    <t>4:24</t>
  </si>
  <si>
    <t>SQL Server deadlock analysis and prevention</t>
  </si>
  <si>
    <t>8:57</t>
  </si>
  <si>
    <t>Capturing deadlocks in sql profiler</t>
  </si>
  <si>
    <t>10:20</t>
  </si>
  <si>
    <t>SQL Server deadlock error handling</t>
  </si>
  <si>
    <t>4:59</t>
  </si>
  <si>
    <t>Handling deadlocks in ado net</t>
  </si>
  <si>
    <t>10:26</t>
  </si>
  <si>
    <t>Retry logic for deadlock exceptions</t>
  </si>
  <si>
    <t>25:59</t>
  </si>
  <si>
    <t>How to find blocking queries</t>
  </si>
  <si>
    <t>7:34</t>
  </si>
  <si>
    <t>SQL Server except operator</t>
  </si>
  <si>
    <t>Difference between except and not</t>
  </si>
  <si>
    <t>4:40</t>
  </si>
  <si>
    <t>Intersect operator</t>
  </si>
  <si>
    <t>5:28</t>
  </si>
  <si>
    <t>Difference between union intersect and except</t>
  </si>
  <si>
    <t>3:49</t>
  </si>
  <si>
    <t>Cross apply and outer apply</t>
  </si>
  <si>
    <t>DDL Triggers</t>
  </si>
  <si>
    <t>12:30</t>
  </si>
  <si>
    <t>Server scoped ddl triggers</t>
  </si>
  <si>
    <t>5:57</t>
  </si>
  <si>
    <t>sql server trigger execution order</t>
  </si>
  <si>
    <t>6:42</t>
  </si>
  <si>
    <t>Audit table changes</t>
  </si>
  <si>
    <t>6:44</t>
  </si>
  <si>
    <t>Logon Triggers</t>
  </si>
  <si>
    <t>Select into</t>
  </si>
  <si>
    <t>Difference between where and having</t>
  </si>
  <si>
    <t>6:35</t>
  </si>
  <si>
    <t>Table valued parameters</t>
  </si>
  <si>
    <t>6:45</t>
  </si>
  <si>
    <t>Send datatable as parameter to stored procedure</t>
  </si>
  <si>
    <t>9:26</t>
  </si>
  <si>
    <t>Grouping Sets</t>
  </si>
  <si>
    <t>9:35</t>
  </si>
  <si>
    <t>Rollup</t>
  </si>
  <si>
    <t>Cube</t>
  </si>
  <si>
    <t>9:00</t>
  </si>
  <si>
    <t>7:41</t>
  </si>
  <si>
    <t>Difference between cube and rollup</t>
  </si>
  <si>
    <t>Grouping function</t>
  </si>
  <si>
    <t>GROUPING ID function</t>
  </si>
  <si>
    <t>Debugging sql server stored procedures</t>
  </si>
  <si>
    <t>Over clause</t>
  </si>
  <si>
    <t>Row Number function</t>
  </si>
  <si>
    <t>7:23</t>
  </si>
  <si>
    <t>Rank and Dense Rank</t>
  </si>
  <si>
    <t>10:07</t>
  </si>
  <si>
    <t>Difference between rank dense rank and row number</t>
  </si>
  <si>
    <t>4:42</t>
  </si>
  <si>
    <t>Calculate running total</t>
  </si>
  <si>
    <t>NTILE function</t>
  </si>
  <si>
    <t>5:09</t>
  </si>
  <si>
    <t>Lead and Lag functions</t>
  </si>
  <si>
    <t>FIRST VALUE function</t>
  </si>
  <si>
    <t>2:47</t>
  </si>
  <si>
    <t>Window functions</t>
  </si>
  <si>
    <t>10:59</t>
  </si>
  <si>
    <t>Difference between rows and range</t>
  </si>
  <si>
    <t>5:51</t>
  </si>
  <si>
    <t>LAST VALUE function</t>
  </si>
  <si>
    <t>5:34</t>
  </si>
  <si>
    <t>UNPIVOT</t>
  </si>
  <si>
    <t>4:32</t>
  </si>
  <si>
    <t>Reverse PIVOT table</t>
  </si>
  <si>
    <t>Choose function</t>
  </si>
  <si>
    <t>5:31</t>
  </si>
  <si>
    <t>IIF function</t>
  </si>
  <si>
    <t>3:59</t>
  </si>
  <si>
    <t>TRY PARSE function</t>
  </si>
  <si>
    <t>TRY CONVERT function</t>
  </si>
  <si>
    <t>7:45</t>
  </si>
  <si>
    <t>EOMONTH function</t>
  </si>
  <si>
    <t>5:45</t>
  </si>
  <si>
    <t>DATEFROMPARTS function</t>
  </si>
  <si>
    <t>3:53</t>
  </si>
  <si>
    <t>Difference between DateTime and SmallDateTime</t>
  </si>
  <si>
    <t>8:44</t>
  </si>
  <si>
    <t>DateTime2FromParts function</t>
  </si>
  <si>
    <t>5:27</t>
  </si>
  <si>
    <t>Difference between DateTime and DateTime2</t>
  </si>
  <si>
    <t>10:41</t>
  </si>
  <si>
    <t>Offset fetch next</t>
  </si>
  <si>
    <t>9:03</t>
  </si>
  <si>
    <t>Identifying object dependencies</t>
  </si>
  <si>
    <t>sys dm sql referencing entities</t>
  </si>
  <si>
    <t>8:04</t>
  </si>
  <si>
    <t>sp depends</t>
  </si>
  <si>
    <t>5:08</t>
  </si>
  <si>
    <t>Sequence object</t>
  </si>
  <si>
    <t>Difference between sequence and identity</t>
  </si>
  <si>
    <t>Guid</t>
  </si>
  <si>
    <t>9:28</t>
  </si>
  <si>
    <t>How to check GUID is null or empty</t>
  </si>
  <si>
    <t>24:76</t>
  </si>
  <si>
    <t>19 tim</t>
  </si>
  <si>
    <t>20 tim</t>
  </si>
  <si>
    <t>21 tim</t>
  </si>
  <si>
    <t>22 tim</t>
  </si>
  <si>
    <t>23 tim</t>
  </si>
  <si>
    <t>24 tim</t>
  </si>
  <si>
    <t>2017-03-21</t>
  </si>
  <si>
    <t>2017-03-22</t>
  </si>
  <si>
    <t>2017-03-23</t>
  </si>
  <si>
    <t>2017-03-24</t>
  </si>
  <si>
    <t>2017-03-25</t>
  </si>
  <si>
    <t>2017-03-26</t>
  </si>
  <si>
    <t>Ajax</t>
  </si>
  <si>
    <t>2017-03-29</t>
  </si>
  <si>
    <t>2017-03-30</t>
  </si>
  <si>
    <t>Dynamic SQL in SQL Server</t>
  </si>
  <si>
    <t>Paging</t>
  </si>
  <si>
    <t>2017-04-01</t>
  </si>
  <si>
    <t>Implement search web page using ASP NET and Stored Procedure</t>
  </si>
  <si>
    <t>10:53</t>
  </si>
  <si>
    <t>ASP NET Web API facebook authentication</t>
  </si>
  <si>
    <t>Attribute routing in ASP NET Web API 2</t>
  </si>
  <si>
    <t>RoutePrefix attribute in Web API</t>
  </si>
  <si>
    <t>06:41</t>
  </si>
  <si>
    <t>Web API attribute routing constraints</t>
  </si>
  <si>
    <t>07:13</t>
  </si>
  <si>
    <t>Generating links using route names in asp net web api</t>
  </si>
  <si>
    <t>07:26</t>
  </si>
  <si>
    <t>IHttpActionResult vs HttpResponseMessage</t>
  </si>
  <si>
    <t>08:55</t>
  </si>
  <si>
    <t>08:59</t>
  </si>
  <si>
    <t>13:59</t>
  </si>
  <si>
    <t>Web API versioning using querystring parameter</t>
  </si>
  <si>
    <t>Web API versioning using a custom header</t>
  </si>
  <si>
    <t>06:53</t>
  </si>
  <si>
    <t>Web API versioning using accept header</t>
  </si>
  <si>
    <t>04:50</t>
  </si>
  <si>
    <t>Web API versioning using custom media types</t>
  </si>
  <si>
    <t>2017-05-16</t>
  </si>
  <si>
    <t>2017-05-17</t>
  </si>
  <si>
    <t>2017-05-20</t>
  </si>
  <si>
    <t>2017-05-24</t>
  </si>
  <si>
    <t>Important sections</t>
  </si>
  <si>
    <t>Good jQuery example</t>
  </si>
  <si>
    <t>2017-06-04</t>
  </si>
  <si>
    <t>2017-06-05</t>
  </si>
  <si>
    <t>2017-06-11</t>
  </si>
  <si>
    <t>2018-09-16</t>
  </si>
  <si>
    <t>2018-09-17</t>
  </si>
  <si>
    <t>2018-09-18</t>
  </si>
  <si>
    <t>2018-09-20</t>
  </si>
  <si>
    <t>2018-09-22</t>
  </si>
  <si>
    <t>2018-09-23</t>
  </si>
  <si>
    <t>2018-09-24</t>
  </si>
  <si>
    <t>2018-09-25</t>
  </si>
  <si>
    <t>2018-09-26</t>
  </si>
  <si>
    <t>2018-09-27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</si>
</sst>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1CE77"/>
        <bgColor indexed="64"/>
      </patternFill>
    </fill>
    <fill>
      <patternFill patternType="solid">
        <fgColor rgb="FFFB85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DDEFB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6F1B0"/>
        <bgColor indexed="64"/>
      </patternFill>
    </fill>
    <fill>
      <patternFill patternType="solid">
        <fgColor rgb="FF49E03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3" borderId="10" xfId="0" applyFont="1" applyFill="1" applyBorder="1"/>
    <xf numFmtId="20" fontId="1" fillId="4" borderId="3" xfId="0" applyNumberFormat="1" applyFont="1" applyFill="1" applyBorder="1"/>
    <xf numFmtId="20" fontId="1" fillId="4" borderId="1" xfId="0" applyNumberFormat="1" applyFont="1" applyFill="1" applyBorder="1"/>
    <xf numFmtId="20" fontId="1" fillId="4" borderId="11" xfId="0" applyNumberFormat="1" applyFont="1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11" xfId="0" applyFill="1" applyBorder="1"/>
    <xf numFmtId="0" fontId="1" fillId="6" borderId="3" xfId="0" applyFont="1" applyFill="1" applyBorder="1"/>
    <xf numFmtId="0" fontId="1" fillId="6" borderId="1" xfId="0" applyFont="1" applyFill="1" applyBorder="1"/>
    <xf numFmtId="0" fontId="1" fillId="6" borderId="11" xfId="0" applyFont="1" applyFill="1" applyBorder="1"/>
    <xf numFmtId="0" fontId="0" fillId="7" borderId="7" xfId="0" applyFill="1" applyBorder="1"/>
    <xf numFmtId="0" fontId="0" fillId="7" borderId="8" xfId="0" applyFill="1" applyBorder="1"/>
    <xf numFmtId="1" fontId="1" fillId="7" borderId="8" xfId="0" applyNumberFormat="1" applyFont="1" applyFill="1" applyBorder="1"/>
    <xf numFmtId="2" fontId="1" fillId="7" borderId="8" xfId="0" applyNumberFormat="1" applyFont="1" applyFill="1" applyBorder="1"/>
    <xf numFmtId="0" fontId="1" fillId="7" borderId="9" xfId="0" applyFont="1" applyFill="1" applyBorder="1"/>
    <xf numFmtId="20" fontId="0" fillId="0" borderId="0" xfId="0" applyNumberFormat="1"/>
    <xf numFmtId="2" fontId="1" fillId="0" borderId="0" xfId="0" applyNumberFormat="1" applyFont="1"/>
    <xf numFmtId="20" fontId="1" fillId="4" borderId="11" xfId="0" quotePrefix="1" applyNumberFormat="1" applyFont="1" applyFill="1" applyBorder="1" applyAlignment="1">
      <alignment horizontal="right"/>
    </xf>
    <xf numFmtId="0" fontId="0" fillId="0" borderId="0" xfId="0" quotePrefix="1"/>
    <xf numFmtId="0" fontId="0" fillId="7" borderId="13" xfId="0" applyFill="1" applyBorder="1"/>
    <xf numFmtId="0" fontId="1" fillId="3" borderId="1" xfId="0" applyFont="1" applyFill="1" applyBorder="1"/>
    <xf numFmtId="49" fontId="1" fillId="4" borderId="11" xfId="0" quotePrefix="1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right"/>
    </xf>
    <xf numFmtId="49" fontId="0" fillId="7" borderId="8" xfId="0" applyNumberFormat="1" applyFill="1" applyBorder="1" applyAlignment="1">
      <alignment horizontal="right"/>
    </xf>
    <xf numFmtId="49" fontId="1" fillId="4" borderId="11" xfId="0" applyNumberFormat="1" applyFont="1" applyFill="1" applyBorder="1" applyAlignment="1">
      <alignment horizontal="right"/>
    </xf>
    <xf numFmtId="20" fontId="1" fillId="4" borderId="1" xfId="0" quotePrefix="1" applyNumberFormat="1" applyFont="1" applyFill="1" applyBorder="1" applyAlignment="1">
      <alignment horizontal="right"/>
    </xf>
    <xf numFmtId="20" fontId="1" fillId="4" borderId="1" xfId="0" applyNumberFormat="1" applyFont="1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20" fontId="1" fillId="4" borderId="1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49" fontId="1" fillId="4" borderId="1" xfId="0" quotePrefix="1" applyNumberFormat="1" applyFont="1" applyFill="1" applyBorder="1" applyAlignment="1">
      <alignment horizontal="right"/>
    </xf>
    <xf numFmtId="20" fontId="1" fillId="4" borderId="3" xfId="0" quotePrefix="1" applyNumberFormat="1" applyFont="1" applyFill="1" applyBorder="1" applyAlignment="1">
      <alignment horizontal="right"/>
    </xf>
    <xf numFmtId="0" fontId="1" fillId="3" borderId="7" xfId="0" applyFont="1" applyFill="1" applyBorder="1"/>
    <xf numFmtId="0" fontId="1" fillId="6" borderId="8" xfId="0" applyFont="1" applyFill="1" applyBorder="1"/>
    <xf numFmtId="0" fontId="0" fillId="5" borderId="8" xfId="0" applyFill="1" applyBorder="1"/>
    <xf numFmtId="0" fontId="1" fillId="2" borderId="9" xfId="0" applyFont="1" applyFill="1" applyBorder="1"/>
    <xf numFmtId="20" fontId="1" fillId="4" borderId="8" xfId="0" quotePrefix="1" applyNumberFormat="1" applyFont="1" applyFill="1" applyBorder="1" applyAlignment="1">
      <alignment horizontal="right"/>
    </xf>
    <xf numFmtId="0" fontId="1" fillId="6" borderId="1" xfId="0" applyNumberFormat="1" applyFont="1" applyFill="1" applyBorder="1"/>
    <xf numFmtId="0" fontId="1" fillId="0" borderId="14" xfId="0" applyFont="1" applyBorder="1"/>
    <xf numFmtId="0" fontId="1" fillId="0" borderId="15" xfId="0" applyFont="1" applyBorder="1"/>
    <xf numFmtId="0" fontId="0" fillId="8" borderId="10" xfId="0" applyFill="1" applyBorder="1"/>
    <xf numFmtId="1" fontId="0" fillId="8" borderId="12" xfId="0" applyNumberFormat="1" applyFill="1" applyBorder="1"/>
    <xf numFmtId="0" fontId="0" fillId="8" borderId="5" xfId="0" applyFill="1" applyBorder="1"/>
    <xf numFmtId="1" fontId="0" fillId="8" borderId="6" xfId="0" applyNumberFormat="1" applyFill="1" applyBorder="1"/>
    <xf numFmtId="0" fontId="1" fillId="8" borderId="5" xfId="0" applyFont="1" applyFill="1" applyBorder="1"/>
    <xf numFmtId="1" fontId="1" fillId="8" borderId="6" xfId="0" applyNumberFormat="1" applyFont="1" applyFill="1" applyBorder="1"/>
    <xf numFmtId="0" fontId="0" fillId="9" borderId="5" xfId="0" applyFill="1" applyBorder="1"/>
    <xf numFmtId="1" fontId="0" fillId="9" borderId="6" xfId="0" applyNumberFormat="1" applyFill="1" applyBorder="1"/>
    <xf numFmtId="0" fontId="0" fillId="9" borderId="5" xfId="0" applyNumberFormat="1" applyFill="1" applyBorder="1"/>
    <xf numFmtId="0" fontId="0" fillId="9" borderId="1" xfId="0" applyNumberFormat="1" applyFill="1" applyBorder="1"/>
    <xf numFmtId="1" fontId="0" fillId="9" borderId="1" xfId="0" applyNumberFormat="1" applyFill="1" applyBorder="1"/>
    <xf numFmtId="0" fontId="0" fillId="9" borderId="1" xfId="0" applyFill="1" applyBorder="1"/>
    <xf numFmtId="0" fontId="1" fillId="9" borderId="1" xfId="0" applyFont="1" applyFill="1" applyBorder="1"/>
    <xf numFmtId="1" fontId="1" fillId="9" borderId="1" xfId="0" applyNumberFormat="1" applyFont="1" applyFill="1" applyBorder="1"/>
    <xf numFmtId="0" fontId="0" fillId="0" borderId="0" xfId="0" applyAlignment="1">
      <alignment horizontal="center"/>
    </xf>
    <xf numFmtId="0" fontId="1" fillId="0" borderId="0" xfId="0" quotePrefix="1" applyFont="1"/>
    <xf numFmtId="0" fontId="0" fillId="9" borderId="5" xfId="0" applyFont="1" applyFill="1" applyBorder="1"/>
    <xf numFmtId="1" fontId="1" fillId="9" borderId="6" xfId="0" applyNumberFormat="1" applyFont="1" applyFill="1" applyBorder="1"/>
    <xf numFmtId="0" fontId="0" fillId="9" borderId="2" xfId="0" applyFill="1" applyBorder="1"/>
    <xf numFmtId="1" fontId="0" fillId="9" borderId="4" xfId="0" applyNumberFormat="1" applyFill="1" applyBorder="1"/>
    <xf numFmtId="1" fontId="0" fillId="9" borderId="6" xfId="0" applyNumberFormat="1" applyFont="1" applyFill="1" applyBorder="1"/>
    <xf numFmtId="0" fontId="1" fillId="9" borderId="5" xfId="0" applyFont="1" applyFill="1" applyBorder="1"/>
    <xf numFmtId="0" fontId="1" fillId="9" borderId="5" xfId="0" applyNumberFormat="1" applyFont="1" applyFill="1" applyBorder="1"/>
    <xf numFmtId="0" fontId="1" fillId="9" borderId="7" xfId="0" applyFont="1" applyFill="1" applyBorder="1"/>
    <xf numFmtId="1" fontId="1" fillId="9" borderId="9" xfId="0" applyNumberFormat="1" applyFont="1" applyFill="1" applyBorder="1"/>
    <xf numFmtId="0" fontId="1" fillId="0" borderId="16" xfId="0" applyFont="1" applyBorder="1"/>
    <xf numFmtId="1" fontId="0" fillId="9" borderId="1" xfId="0" applyNumberFormat="1" applyFont="1" applyFill="1" applyBorder="1"/>
    <xf numFmtId="1" fontId="0" fillId="8" borderId="1" xfId="0" applyNumberFormat="1" applyFill="1" applyBorder="1"/>
    <xf numFmtId="1" fontId="1" fillId="8" borderId="1" xfId="0" applyNumberFormat="1" applyFont="1" applyFill="1" applyBorder="1"/>
    <xf numFmtId="1" fontId="0" fillId="0" borderId="1" xfId="0" applyNumberFormat="1" applyFill="1" applyBorder="1"/>
    <xf numFmtId="0" fontId="0" fillId="0" borderId="0" xfId="0" applyFill="1"/>
    <xf numFmtId="0" fontId="0" fillId="8" borderId="2" xfId="0" applyFill="1" applyBorder="1"/>
    <xf numFmtId="1" fontId="0" fillId="8" borderId="3" xfId="0" applyNumberFormat="1" applyFill="1" applyBorder="1"/>
    <xf numFmtId="0" fontId="0" fillId="0" borderId="5" xfId="0" applyFill="1" applyBorder="1"/>
    <xf numFmtId="1" fontId="0" fillId="8" borderId="4" xfId="0" applyNumberFormat="1" applyFill="1" applyBorder="1" applyAlignment="1">
      <alignment horizontal="right"/>
    </xf>
    <xf numFmtId="1" fontId="0" fillId="8" borderId="6" xfId="0" applyNumberFormat="1" applyFill="1" applyBorder="1" applyAlignment="1">
      <alignment horizontal="right"/>
    </xf>
    <xf numFmtId="1" fontId="0" fillId="9" borderId="6" xfId="0" applyNumberFormat="1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9" borderId="6" xfId="0" applyFill="1" applyBorder="1" applyAlignment="1">
      <alignment horizontal="right"/>
    </xf>
    <xf numFmtId="0" fontId="0" fillId="8" borderId="5" xfId="0" applyNumberFormat="1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8" borderId="5" xfId="0" applyFont="1" applyFill="1" applyBorder="1"/>
    <xf numFmtId="1" fontId="0" fillId="8" borderId="1" xfId="0" applyNumberFormat="1" applyFont="1" applyFill="1" applyBorder="1"/>
    <xf numFmtId="0" fontId="0" fillId="8" borderId="5" xfId="0" applyNumberFormat="1" applyFont="1" applyFill="1" applyBorder="1"/>
    <xf numFmtId="0" fontId="0" fillId="0" borderId="0" xfId="0" applyFont="1" applyFill="1" applyAlignment="1">
      <alignment horizontal="center"/>
    </xf>
    <xf numFmtId="0" fontId="0" fillId="8" borderId="7" xfId="0" applyFill="1" applyBorder="1"/>
    <xf numFmtId="1" fontId="0" fillId="8" borderId="8" xfId="0" applyNumberFormat="1" applyFont="1" applyFill="1" applyBorder="1"/>
    <xf numFmtId="0" fontId="0" fillId="8" borderId="9" xfId="0" applyFill="1" applyBorder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8" borderId="6" xfId="0" applyNumberFormat="1" applyFont="1" applyFill="1" applyBorder="1"/>
    <xf numFmtId="0" fontId="1" fillId="8" borderId="5" xfId="0" applyNumberFormat="1" applyFont="1" applyFill="1" applyBorder="1"/>
    <xf numFmtId="0" fontId="0" fillId="9" borderId="7" xfId="0" applyFont="1" applyFill="1" applyBorder="1"/>
    <xf numFmtId="1" fontId="0" fillId="9" borderId="9" xfId="0" applyNumberFormat="1" applyFont="1" applyFill="1" applyBorder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0" fontId="1" fillId="4" borderId="3" xfId="0" applyNumberFormat="1" applyFont="1" applyFill="1" applyBorder="1" applyAlignment="1">
      <alignment horizontal="right"/>
    </xf>
    <xf numFmtId="20" fontId="0" fillId="7" borderId="8" xfId="0" applyNumberFormat="1" applyFill="1" applyBorder="1" applyAlignment="1">
      <alignment horizontal="right"/>
    </xf>
    <xf numFmtId="9" fontId="1" fillId="0" borderId="0" xfId="1" applyFont="1"/>
    <xf numFmtId="0" fontId="0" fillId="0" borderId="0" xfId="0" quotePrefix="1" applyAlignment="1">
      <alignment horizontal="center"/>
    </xf>
    <xf numFmtId="0" fontId="1" fillId="7" borderId="5" xfId="0" applyFont="1" applyFill="1" applyBorder="1"/>
    <xf numFmtId="0" fontId="0" fillId="0" borderId="0" xfId="0" quotePrefix="1" applyAlignment="1">
      <alignment horizontal="left"/>
    </xf>
    <xf numFmtId="0" fontId="0" fillId="0" borderId="0" xfId="0" applyFont="1"/>
    <xf numFmtId="9" fontId="0" fillId="0" borderId="0" xfId="1" quotePrefix="1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NumberFormat="1" applyFont="1"/>
    <xf numFmtId="9" fontId="0" fillId="0" borderId="0" xfId="0" applyNumberFormat="1"/>
    <xf numFmtId="0" fontId="1" fillId="0" borderId="0" xfId="0" applyFont="1" applyFill="1"/>
    <xf numFmtId="0" fontId="1" fillId="10" borderId="1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1" fillId="10" borderId="5" xfId="0" applyFont="1" applyFill="1" applyBorder="1"/>
    <xf numFmtId="20" fontId="1" fillId="10" borderId="6" xfId="0" applyNumberFormat="1" applyFont="1" applyFill="1" applyBorder="1"/>
    <xf numFmtId="0" fontId="1" fillId="10" borderId="6" xfId="0" quotePrefix="1" applyFont="1" applyFill="1" applyBorder="1" applyAlignment="1">
      <alignment horizontal="right"/>
    </xf>
    <xf numFmtId="0" fontId="1" fillId="10" borderId="6" xfId="0" applyFont="1" applyFill="1" applyBorder="1" applyAlignment="1">
      <alignment horizontal="right"/>
    </xf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9" xfId="0" quotePrefix="1" applyFont="1" applyFill="1" applyBorder="1" applyAlignment="1">
      <alignment horizontal="right"/>
    </xf>
    <xf numFmtId="2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Fill="1" applyAlignment="1">
      <alignment horizontal="left"/>
    </xf>
    <xf numFmtId="0" fontId="0" fillId="9" borderId="1" xfId="0" applyFont="1" applyFill="1" applyBorder="1"/>
    <xf numFmtId="1" fontId="1" fillId="8" borderId="12" xfId="0" applyNumberFormat="1" applyFont="1" applyFill="1" applyBorder="1"/>
    <xf numFmtId="0" fontId="1" fillId="0" borderId="0" xfId="0" applyFont="1" applyFill="1" applyBorder="1" applyAlignment="1">
      <alignment horizontal="center"/>
    </xf>
    <xf numFmtId="9" fontId="0" fillId="0" borderId="0" xfId="1" applyFont="1"/>
    <xf numFmtId="0" fontId="0" fillId="8" borderId="10" xfId="0" applyFont="1" applyFill="1" applyBorder="1"/>
    <xf numFmtId="1" fontId="0" fillId="8" borderId="12" xfId="0" applyNumberFormat="1" applyFont="1" applyFill="1" applyBorder="1"/>
    <xf numFmtId="0" fontId="0" fillId="9" borderId="5" xfId="0" applyNumberFormat="1" applyFont="1" applyFill="1" applyBorder="1"/>
    <xf numFmtId="0" fontId="0" fillId="9" borderId="1" xfId="0" applyNumberFormat="1" applyFont="1" applyFill="1" applyBorder="1"/>
    <xf numFmtId="9" fontId="2" fillId="0" borderId="0" xfId="1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NumberFormat="1" applyFont="1" applyFill="1" applyBorder="1"/>
    <xf numFmtId="9" fontId="2" fillId="0" borderId="0" xfId="1" applyFont="1" applyFill="1" applyBorder="1"/>
    <xf numFmtId="9" fontId="2" fillId="0" borderId="0" xfId="0" applyNumberFormat="1" applyFont="1" applyFill="1" applyBorder="1"/>
    <xf numFmtId="0" fontId="0" fillId="8" borderId="2" xfId="0" applyFont="1" applyFill="1" applyBorder="1"/>
    <xf numFmtId="1" fontId="0" fillId="8" borderId="4" xfId="0" applyNumberFormat="1" applyFont="1" applyFill="1" applyBorder="1"/>
    <xf numFmtId="0" fontId="0" fillId="8" borderId="7" xfId="0" applyFont="1" applyFill="1" applyBorder="1"/>
    <xf numFmtId="1" fontId="0" fillId="8" borderId="9" xfId="0" applyNumberFormat="1" applyFont="1" applyFill="1" applyBorder="1"/>
    <xf numFmtId="1" fontId="0" fillId="8" borderId="17" xfId="0" applyNumberFormat="1" applyFont="1" applyFill="1" applyBorder="1"/>
    <xf numFmtId="0" fontId="0" fillId="0" borderId="0" xfId="0" quotePrefix="1" applyAlignment="1"/>
    <xf numFmtId="164" fontId="0" fillId="0" borderId="0" xfId="0" applyNumberFormat="1"/>
    <xf numFmtId="0" fontId="0" fillId="0" borderId="0" xfId="0" applyAlignment="1"/>
    <xf numFmtId="0" fontId="0" fillId="0" borderId="0" xfId="0" applyNumberFormat="1"/>
    <xf numFmtId="0" fontId="0" fillId="0" borderId="0" xfId="0" quotePrefix="1" applyNumberFormat="1" applyAlignment="1">
      <alignment horizontal="left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9E030"/>
      <color rgb="FFF6F1B0"/>
      <color rgb="FF9DDEFB"/>
      <color rgb="FF99FFCC"/>
      <color rgb="FFCCFFFF"/>
      <color rgb="FFCCFFCC"/>
      <color rgb="FFFB8585"/>
      <color rgb="FFD3F11F"/>
      <color rgb="FFF1CE7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8"/>
  <sheetViews>
    <sheetView workbookViewId="0"/>
  </sheetViews>
  <sheetFormatPr defaultRowHeight="15" x14ac:dyDescent="0.25"/>
  <cols>
    <col min="3" max="3" width="23.85546875" customWidth="1"/>
    <col min="4" max="4" width="17" bestFit="1" customWidth="1"/>
    <col min="5" max="5" width="12.5703125" customWidth="1"/>
  </cols>
  <sheetData>
    <row r="1" spans="3:5" ht="15.75" thickBot="1" x14ac:dyDescent="0.3"/>
    <row r="2" spans="3:5" x14ac:dyDescent="0.25">
      <c r="C2" s="123" t="s">
        <v>1303</v>
      </c>
      <c r="D2" s="124" t="s">
        <v>1304</v>
      </c>
      <c r="E2" s="125" t="s">
        <v>1305</v>
      </c>
    </row>
    <row r="3" spans="3:5" x14ac:dyDescent="0.25">
      <c r="C3" s="126" t="s">
        <v>1306</v>
      </c>
      <c r="D3" s="122">
        <v>100</v>
      </c>
      <c r="E3" s="127">
        <v>0.75624999999999998</v>
      </c>
    </row>
    <row r="4" spans="3:5" x14ac:dyDescent="0.25">
      <c r="C4" s="126" t="s">
        <v>1307</v>
      </c>
      <c r="D4" s="122">
        <v>75</v>
      </c>
      <c r="E4" s="127">
        <v>0.53055555555555556</v>
      </c>
    </row>
    <row r="5" spans="3:5" x14ac:dyDescent="0.25">
      <c r="C5" s="126" t="s">
        <v>1309</v>
      </c>
      <c r="D5" s="122">
        <v>113</v>
      </c>
      <c r="E5" s="128" t="s">
        <v>1308</v>
      </c>
    </row>
    <row r="6" spans="3:5" x14ac:dyDescent="0.25">
      <c r="C6" s="126" t="s">
        <v>1311</v>
      </c>
      <c r="D6" s="122">
        <v>102</v>
      </c>
      <c r="E6" s="128" t="s">
        <v>1310</v>
      </c>
    </row>
    <row r="7" spans="3:5" x14ac:dyDescent="0.25">
      <c r="C7" s="126" t="s">
        <v>1312</v>
      </c>
      <c r="D7" s="122">
        <v>172</v>
      </c>
      <c r="E7" s="128" t="s">
        <v>1313</v>
      </c>
    </row>
    <row r="8" spans="3:5" x14ac:dyDescent="0.25">
      <c r="C8" s="126" t="s">
        <v>1315</v>
      </c>
      <c r="D8" s="122">
        <v>28</v>
      </c>
      <c r="E8" s="128" t="s">
        <v>1314</v>
      </c>
    </row>
    <row r="9" spans="3:5" x14ac:dyDescent="0.25">
      <c r="C9" s="126" t="s">
        <v>1316</v>
      </c>
      <c r="D9" s="122">
        <v>21</v>
      </c>
      <c r="E9" s="128" t="s">
        <v>840</v>
      </c>
    </row>
    <row r="10" spans="3:5" x14ac:dyDescent="0.25">
      <c r="C10" s="126" t="s">
        <v>1317</v>
      </c>
      <c r="D10" s="122">
        <v>53</v>
      </c>
      <c r="E10" s="128" t="s">
        <v>1091</v>
      </c>
    </row>
    <row r="11" spans="3:5" x14ac:dyDescent="0.25">
      <c r="C11" s="126" t="s">
        <v>1318</v>
      </c>
      <c r="D11" s="122">
        <v>25</v>
      </c>
      <c r="E11" s="128" t="s">
        <v>1319</v>
      </c>
    </row>
    <row r="12" spans="3:5" x14ac:dyDescent="0.25">
      <c r="C12" s="126" t="s">
        <v>1321</v>
      </c>
      <c r="D12" s="122">
        <v>52</v>
      </c>
      <c r="E12" s="128" t="s">
        <v>1320</v>
      </c>
    </row>
    <row r="13" spans="3:5" x14ac:dyDescent="0.25">
      <c r="C13" s="126" t="s">
        <v>1323</v>
      </c>
      <c r="D13" s="122">
        <v>7</v>
      </c>
      <c r="E13" s="128" t="s">
        <v>1322</v>
      </c>
    </row>
    <row r="14" spans="3:5" x14ac:dyDescent="0.25">
      <c r="C14" s="126" t="s">
        <v>1325</v>
      </c>
      <c r="D14" s="122">
        <v>53</v>
      </c>
      <c r="E14" s="128" t="s">
        <v>1324</v>
      </c>
    </row>
    <row r="15" spans="3:5" x14ac:dyDescent="0.25">
      <c r="C15" s="126" t="s">
        <v>1326</v>
      </c>
      <c r="D15" s="122">
        <v>137</v>
      </c>
      <c r="E15" s="129" t="s">
        <v>1575</v>
      </c>
    </row>
    <row r="16" spans="3:5" x14ac:dyDescent="0.25">
      <c r="C16" s="126" t="s">
        <v>1328</v>
      </c>
      <c r="D16" s="122">
        <v>52</v>
      </c>
      <c r="E16" s="128" t="s">
        <v>1327</v>
      </c>
    </row>
    <row r="17" spans="3:5" x14ac:dyDescent="0.25">
      <c r="C17" s="126" t="s">
        <v>1329</v>
      </c>
      <c r="D17" s="122">
        <v>7</v>
      </c>
      <c r="E17" s="128" t="s">
        <v>1330</v>
      </c>
    </row>
    <row r="18" spans="3:5" ht="15.75" thickBot="1" x14ac:dyDescent="0.3">
      <c r="C18" s="130" t="s">
        <v>1331</v>
      </c>
      <c r="D18" s="131">
        <v>13</v>
      </c>
      <c r="E18" s="132" t="s">
        <v>1332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3"/>
  <sheetViews>
    <sheetView tabSelected="1" topLeftCell="A53" workbookViewId="0">
      <selection activeCell="K67" sqref="K67"/>
    </sheetView>
  </sheetViews>
  <sheetFormatPr defaultRowHeight="15" x14ac:dyDescent="0.25"/>
  <cols>
    <col min="1" max="1" width="20.42578125" bestFit="1" customWidth="1"/>
    <col min="2" max="2" width="6" customWidth="1"/>
    <col min="3" max="3" width="6.140625" customWidth="1"/>
    <col min="7" max="7" width="75" style="1" customWidth="1"/>
    <col min="9" max="9" width="5.5703125" style="120" customWidth="1"/>
    <col min="10" max="10" width="5.5703125" style="158" customWidth="1"/>
    <col min="11" max="14" width="4.7109375" style="158" customWidth="1"/>
    <col min="15" max="16" width="4.7109375" customWidth="1"/>
    <col min="17" max="17" width="4.7109375" style="158" customWidth="1"/>
    <col min="18" max="19" width="4.7109375" customWidth="1"/>
    <col min="20" max="20" width="4.7109375" style="63" customWidth="1"/>
    <col min="21" max="22" width="4.7109375" customWidth="1"/>
    <col min="23" max="27" width="4.7109375" style="63" customWidth="1"/>
  </cols>
  <sheetData>
    <row r="1" spans="3:27" x14ac:dyDescent="0.25">
      <c r="G1" s="116">
        <f>SUM(E4:E13)+SUM(E15:E24)+SUM(E26:E35)+SUM(E37:E46)+SUM(E48:E57)+SUM(E59:E68)+SUM(E70:E79)+SUM(E81:E90)+SUM(E92:E101)+SUM(E103:E112)</f>
        <v>65120</v>
      </c>
    </row>
    <row r="2" spans="3:27" x14ac:dyDescent="0.25">
      <c r="C2" s="1" t="s">
        <v>41</v>
      </c>
      <c r="F2" s="23">
        <f>F14+F25+F36+F47+F58+F69+F80+F91+F102+F113</f>
        <v>18.088888888888889</v>
      </c>
    </row>
    <row r="3" spans="3:27" ht="15.75" thickBot="1" x14ac:dyDescent="0.3">
      <c r="C3" s="1"/>
      <c r="F3" s="23"/>
      <c r="J3" s="159" t="s">
        <v>1632</v>
      </c>
      <c r="K3" s="159" t="s">
        <v>1631</v>
      </c>
      <c r="L3" s="159" t="s">
        <v>1630</v>
      </c>
      <c r="M3" s="159" t="s">
        <v>1629</v>
      </c>
      <c r="N3" s="159" t="s">
        <v>1628</v>
      </c>
      <c r="O3" s="159" t="s">
        <v>1627</v>
      </c>
      <c r="P3" s="159" t="s">
        <v>1626</v>
      </c>
      <c r="Q3" s="159" t="s">
        <v>1625</v>
      </c>
      <c r="R3" s="115" t="s">
        <v>1624</v>
      </c>
      <c r="S3" s="115" t="s">
        <v>1623</v>
      </c>
      <c r="T3" s="115" t="s">
        <v>1357</v>
      </c>
      <c r="U3" s="115" t="s">
        <v>1352</v>
      </c>
      <c r="V3" s="115" t="s">
        <v>1340</v>
      </c>
      <c r="W3" s="115" t="s">
        <v>1337</v>
      </c>
      <c r="X3" s="115" t="s">
        <v>1335</v>
      </c>
      <c r="Y3" s="115" t="s">
        <v>1333</v>
      </c>
      <c r="Z3" s="115" t="s">
        <v>1334</v>
      </c>
      <c r="AA3" s="115" t="s">
        <v>1146</v>
      </c>
    </row>
    <row r="4" spans="3:27" x14ac:dyDescent="0.25">
      <c r="C4" s="5">
        <v>1</v>
      </c>
      <c r="D4" s="8">
        <v>9.3055555555555558E-2</v>
      </c>
      <c r="E4" s="14">
        <f>2*60+14</f>
        <v>134</v>
      </c>
      <c r="F4" s="11"/>
      <c r="G4" s="2" t="s">
        <v>0</v>
      </c>
      <c r="I4" s="119">
        <f>E4/G1</f>
        <v>2.0577395577395579E-3</v>
      </c>
      <c r="J4" s="160"/>
      <c r="K4" s="160"/>
      <c r="L4" s="160"/>
      <c r="M4" s="160"/>
      <c r="N4" s="160"/>
      <c r="Q4" s="160"/>
      <c r="S4">
        <v>1</v>
      </c>
      <c r="AA4" s="63">
        <v>1</v>
      </c>
    </row>
    <row r="5" spans="3:27" x14ac:dyDescent="0.25">
      <c r="C5" s="6">
        <v>2</v>
      </c>
      <c r="D5" s="9">
        <v>0.26527777777777778</v>
      </c>
      <c r="E5" s="15">
        <f>6*60+22</f>
        <v>382</v>
      </c>
      <c r="F5" s="12"/>
      <c r="G5" s="3" t="s">
        <v>1</v>
      </c>
      <c r="I5" s="119">
        <f t="shared" ref="I5:I13" si="0">(E5/$G$1)+I4</f>
        <v>7.9238329238329238E-3</v>
      </c>
      <c r="J5" s="160"/>
      <c r="K5" s="160"/>
      <c r="L5" s="160"/>
      <c r="M5" s="160"/>
      <c r="N5" s="160"/>
      <c r="Q5" s="160"/>
      <c r="S5">
        <v>1</v>
      </c>
      <c r="AA5" s="63">
        <v>1</v>
      </c>
    </row>
    <row r="6" spans="3:27" x14ac:dyDescent="0.25">
      <c r="C6" s="6">
        <v>3</v>
      </c>
      <c r="D6" s="9">
        <v>0.52013888888888882</v>
      </c>
      <c r="E6" s="15">
        <f>12*60+29</f>
        <v>749</v>
      </c>
      <c r="F6" s="12"/>
      <c r="G6" s="3" t="s">
        <v>2</v>
      </c>
      <c r="I6" s="119">
        <f t="shared" si="0"/>
        <v>1.9425675675675675E-2</v>
      </c>
      <c r="J6" s="160"/>
      <c r="K6" s="160"/>
      <c r="L6" s="160"/>
      <c r="M6" s="160"/>
      <c r="N6" s="160"/>
      <c r="Q6" s="160"/>
      <c r="S6">
        <v>1</v>
      </c>
      <c r="AA6" s="63">
        <v>1</v>
      </c>
    </row>
    <row r="7" spans="3:27" x14ac:dyDescent="0.25">
      <c r="C7" s="6">
        <v>4</v>
      </c>
      <c r="D7" s="9">
        <v>0.46180555555555558</v>
      </c>
      <c r="E7" s="15">
        <f>11*60+5</f>
        <v>665</v>
      </c>
      <c r="F7" s="12"/>
      <c r="G7" s="3" t="s">
        <v>3</v>
      </c>
      <c r="I7" s="119">
        <f t="shared" si="0"/>
        <v>2.9637592137592136E-2</v>
      </c>
      <c r="J7" s="160"/>
      <c r="K7" s="160"/>
      <c r="L7" s="160"/>
      <c r="M7" s="160"/>
      <c r="N7" s="160"/>
      <c r="Q7" s="160"/>
      <c r="S7">
        <v>1</v>
      </c>
      <c r="AA7" s="63">
        <v>1</v>
      </c>
    </row>
    <row r="8" spans="3:27" x14ac:dyDescent="0.25">
      <c r="C8" s="6">
        <v>5</v>
      </c>
      <c r="D8" s="9">
        <v>0.5625</v>
      </c>
      <c r="E8" s="15">
        <f>13*60+30</f>
        <v>810</v>
      </c>
      <c r="F8" s="12"/>
      <c r="G8" s="3" t="s">
        <v>4</v>
      </c>
      <c r="I8" s="119">
        <f t="shared" si="0"/>
        <v>4.2076167076167077E-2</v>
      </c>
      <c r="J8" s="160"/>
      <c r="K8" s="160"/>
      <c r="L8" s="160"/>
      <c r="M8" s="160"/>
      <c r="N8" s="160"/>
      <c r="Q8" s="160"/>
      <c r="S8">
        <v>1</v>
      </c>
      <c r="AA8" s="63">
        <v>1</v>
      </c>
    </row>
    <row r="9" spans="3:27" x14ac:dyDescent="0.25">
      <c r="C9" s="6">
        <v>6</v>
      </c>
      <c r="D9" s="9">
        <v>0.26250000000000001</v>
      </c>
      <c r="E9" s="15">
        <f>6*60+18</f>
        <v>378</v>
      </c>
      <c r="F9" s="12"/>
      <c r="G9" s="3" t="s">
        <v>5</v>
      </c>
      <c r="I9" s="119">
        <f t="shared" si="0"/>
        <v>4.7880835380835381E-2</v>
      </c>
      <c r="J9" s="160"/>
      <c r="K9" s="160"/>
      <c r="L9" s="160"/>
      <c r="M9" s="160"/>
      <c r="N9" s="160"/>
      <c r="Q9" s="160"/>
      <c r="S9">
        <v>1</v>
      </c>
      <c r="AA9" s="63">
        <v>1</v>
      </c>
    </row>
    <row r="10" spans="3:27" x14ac:dyDescent="0.25">
      <c r="C10" s="6">
        <v>7</v>
      </c>
      <c r="D10" s="9">
        <v>0.4680555555555555</v>
      </c>
      <c r="E10" s="15">
        <f>11*60+14</f>
        <v>674</v>
      </c>
      <c r="F10" s="12"/>
      <c r="G10" s="3" t="s">
        <v>6</v>
      </c>
      <c r="I10" s="119">
        <f t="shared" si="0"/>
        <v>5.8230958230958231E-2</v>
      </c>
      <c r="J10" s="160"/>
      <c r="K10" s="160"/>
      <c r="L10" s="160"/>
      <c r="M10" s="160"/>
      <c r="N10" s="160"/>
      <c r="Q10" s="160"/>
      <c r="S10">
        <v>1</v>
      </c>
      <c r="AA10" s="63">
        <v>1</v>
      </c>
    </row>
    <row r="11" spans="3:27" x14ac:dyDescent="0.25">
      <c r="C11" s="6">
        <v>8</v>
      </c>
      <c r="D11" s="9">
        <v>0.56111111111111112</v>
      </c>
      <c r="E11" s="15">
        <f>13*60+28</f>
        <v>808</v>
      </c>
      <c r="F11" s="12"/>
      <c r="G11" s="3" t="s">
        <v>7</v>
      </c>
      <c r="I11" s="119">
        <f t="shared" si="0"/>
        <v>7.063882063882064E-2</v>
      </c>
      <c r="J11" s="160"/>
      <c r="K11" s="160"/>
      <c r="L11" s="160"/>
      <c r="M11" s="160"/>
      <c r="N11" s="160"/>
      <c r="Q11" s="160"/>
      <c r="S11">
        <v>1</v>
      </c>
      <c r="AA11" s="63">
        <v>1</v>
      </c>
    </row>
    <row r="12" spans="3:27" x14ac:dyDescent="0.25">
      <c r="C12" s="6">
        <v>9</v>
      </c>
      <c r="D12" s="9">
        <v>0.54583333333333328</v>
      </c>
      <c r="E12" s="15">
        <f>13*60+6</f>
        <v>786</v>
      </c>
      <c r="F12" s="12"/>
      <c r="G12" s="3" t="s">
        <v>8</v>
      </c>
      <c r="I12" s="119">
        <f t="shared" si="0"/>
        <v>8.2708845208845208E-2</v>
      </c>
      <c r="J12" s="160"/>
      <c r="K12" s="160"/>
      <c r="L12" s="160"/>
      <c r="M12" s="160"/>
      <c r="N12" s="160"/>
      <c r="Q12" s="160"/>
      <c r="S12">
        <v>1</v>
      </c>
      <c r="AA12" s="63">
        <v>1</v>
      </c>
    </row>
    <row r="13" spans="3:27" x14ac:dyDescent="0.25">
      <c r="C13" s="6">
        <v>10</v>
      </c>
      <c r="D13" s="9">
        <v>0.82291666666666663</v>
      </c>
      <c r="E13" s="15">
        <f>19*60+45</f>
        <v>1185</v>
      </c>
      <c r="F13" s="12"/>
      <c r="G13" s="3" t="s">
        <v>9</v>
      </c>
      <c r="I13" s="119">
        <f t="shared" si="0"/>
        <v>0.10090601965601965</v>
      </c>
      <c r="J13" s="160"/>
      <c r="K13" s="160"/>
      <c r="L13" s="160"/>
      <c r="M13" s="160"/>
      <c r="N13" s="160"/>
      <c r="Q13" s="160"/>
      <c r="S13">
        <v>1</v>
      </c>
      <c r="AA13" s="63">
        <v>1</v>
      </c>
    </row>
    <row r="14" spans="3:27" ht="15.75" thickBot="1" x14ac:dyDescent="0.3">
      <c r="C14" s="17"/>
      <c r="D14" s="18"/>
      <c r="E14" s="19">
        <f>SUM(E4:E13)/60</f>
        <v>109.51666666666667</v>
      </c>
      <c r="F14" s="20">
        <f>E14/60</f>
        <v>1.8252777777777778</v>
      </c>
      <c r="G14" s="21"/>
      <c r="I14" s="119"/>
      <c r="J14" s="160"/>
      <c r="K14" s="160"/>
      <c r="L14" s="160"/>
      <c r="M14" s="160"/>
      <c r="N14" s="160"/>
      <c r="Q14" s="160"/>
    </row>
    <row r="15" spans="3:27" x14ac:dyDescent="0.25">
      <c r="C15" s="7">
        <v>11</v>
      </c>
      <c r="D15" s="10">
        <v>0.68055555555555547</v>
      </c>
      <c r="E15" s="16">
        <f>16*60+20</f>
        <v>980</v>
      </c>
      <c r="F15" s="13"/>
      <c r="G15" s="4" t="s">
        <v>10</v>
      </c>
      <c r="I15" s="119">
        <f>(E15/$G$1)+I13</f>
        <v>0.11595515970515971</v>
      </c>
      <c r="J15" s="160"/>
      <c r="K15" s="160"/>
      <c r="L15" s="160"/>
      <c r="M15" s="160"/>
      <c r="N15" s="160"/>
      <c r="Q15" s="160"/>
      <c r="S15">
        <v>1</v>
      </c>
      <c r="Z15" s="63">
        <v>1</v>
      </c>
    </row>
    <row r="16" spans="3:27" x14ac:dyDescent="0.25">
      <c r="C16" s="6">
        <v>12</v>
      </c>
      <c r="D16" s="9">
        <v>0.44375000000000003</v>
      </c>
      <c r="E16" s="15">
        <f>10*60+39</f>
        <v>639</v>
      </c>
      <c r="F16" s="12"/>
      <c r="G16" s="3" t="s">
        <v>11</v>
      </c>
      <c r="I16" s="119">
        <f t="shared" ref="I16:I24" si="1">(E16/$G$1)+I15</f>
        <v>0.12576781326781328</v>
      </c>
      <c r="J16" s="160"/>
      <c r="K16" s="160"/>
      <c r="L16" s="160"/>
      <c r="M16" s="160"/>
      <c r="N16" s="160"/>
      <c r="Q16" s="160"/>
      <c r="S16">
        <v>1</v>
      </c>
      <c r="Z16" s="63">
        <v>1</v>
      </c>
    </row>
    <row r="17" spans="3:27" x14ac:dyDescent="0.25">
      <c r="C17" s="6">
        <v>13</v>
      </c>
      <c r="D17" s="9">
        <v>0.44722222222222219</v>
      </c>
      <c r="E17" s="15">
        <f>10*60+44</f>
        <v>644</v>
      </c>
      <c r="F17" s="12"/>
      <c r="G17" s="3" t="s">
        <v>12</v>
      </c>
      <c r="I17" s="119">
        <f t="shared" si="1"/>
        <v>0.13565724815724817</v>
      </c>
      <c r="J17" s="160"/>
      <c r="K17" s="160"/>
      <c r="L17" s="160"/>
      <c r="M17" s="160"/>
      <c r="N17" s="160"/>
      <c r="Q17" s="160"/>
      <c r="R17">
        <v>1</v>
      </c>
      <c r="Z17" s="63">
        <v>1</v>
      </c>
    </row>
    <row r="18" spans="3:27" x14ac:dyDescent="0.25">
      <c r="C18" s="6">
        <v>14</v>
      </c>
      <c r="D18" s="9">
        <v>0.26041666666666669</v>
      </c>
      <c r="E18" s="15">
        <f>6*60+15</f>
        <v>375</v>
      </c>
      <c r="F18" s="12"/>
      <c r="G18" s="3" t="s">
        <v>13</v>
      </c>
      <c r="I18" s="119">
        <f t="shared" si="1"/>
        <v>0.14141584766584767</v>
      </c>
      <c r="J18" s="160"/>
      <c r="K18" s="160"/>
      <c r="L18" s="160"/>
      <c r="M18" s="160"/>
      <c r="N18" s="160"/>
      <c r="Q18" s="160"/>
      <c r="R18">
        <v>1</v>
      </c>
      <c r="Z18" s="63">
        <v>1</v>
      </c>
    </row>
    <row r="19" spans="3:27" x14ac:dyDescent="0.25">
      <c r="C19" s="6">
        <v>15</v>
      </c>
      <c r="D19" s="9">
        <v>0.3527777777777778</v>
      </c>
      <c r="E19" s="15">
        <f>8*60+28</f>
        <v>508</v>
      </c>
      <c r="F19" s="12"/>
      <c r="G19" s="3" t="s">
        <v>14</v>
      </c>
      <c r="I19" s="119">
        <f t="shared" si="1"/>
        <v>0.14921683046683046</v>
      </c>
      <c r="J19" s="160"/>
      <c r="K19" s="160"/>
      <c r="L19" s="160"/>
      <c r="M19" s="160"/>
      <c r="N19" s="160"/>
      <c r="Q19" s="160"/>
      <c r="R19">
        <v>1</v>
      </c>
      <c r="Z19" s="63">
        <v>1</v>
      </c>
      <c r="AA19" s="118"/>
    </row>
    <row r="20" spans="3:27" x14ac:dyDescent="0.25">
      <c r="C20" s="6">
        <v>16</v>
      </c>
      <c r="D20" s="9">
        <v>0.61805555555555558</v>
      </c>
      <c r="E20" s="15">
        <f>14*60+50</f>
        <v>890</v>
      </c>
      <c r="F20" s="12"/>
      <c r="G20" s="3" t="s">
        <v>15</v>
      </c>
      <c r="I20" s="119">
        <f t="shared" si="1"/>
        <v>0.16288390663390662</v>
      </c>
      <c r="J20" s="160"/>
      <c r="K20" s="160"/>
      <c r="L20" s="160"/>
      <c r="M20" s="160"/>
      <c r="N20" s="160"/>
      <c r="Q20" s="160"/>
      <c r="R20">
        <v>1</v>
      </c>
      <c r="Z20" s="63">
        <v>1</v>
      </c>
      <c r="AA20" s="118"/>
    </row>
    <row r="21" spans="3:27" x14ac:dyDescent="0.25">
      <c r="C21" s="6">
        <v>17</v>
      </c>
      <c r="D21" s="9">
        <v>0.32777777777777778</v>
      </c>
      <c r="E21" s="15">
        <f>7*60+52</f>
        <v>472</v>
      </c>
      <c r="F21" s="12"/>
      <c r="G21" s="3" t="s">
        <v>16</v>
      </c>
      <c r="I21" s="119">
        <f t="shared" si="1"/>
        <v>0.17013206388206387</v>
      </c>
      <c r="J21" s="160"/>
      <c r="K21" s="160"/>
      <c r="L21" s="160"/>
      <c r="M21" s="160"/>
      <c r="N21" s="160"/>
      <c r="Q21" s="160"/>
      <c r="R21">
        <v>1</v>
      </c>
      <c r="Z21" s="63">
        <v>1</v>
      </c>
      <c r="AA21" s="118"/>
    </row>
    <row r="22" spans="3:27" x14ac:dyDescent="0.25">
      <c r="C22" s="6">
        <v>18</v>
      </c>
      <c r="D22" s="9">
        <v>0.35625000000000001</v>
      </c>
      <c r="E22" s="15">
        <f>8*60+33</f>
        <v>513</v>
      </c>
      <c r="F22" s="12"/>
      <c r="G22" s="3" t="s">
        <v>17</v>
      </c>
      <c r="I22" s="119">
        <f t="shared" si="1"/>
        <v>0.17800982800982801</v>
      </c>
      <c r="J22" s="160"/>
      <c r="K22" s="160"/>
      <c r="L22" s="160"/>
      <c r="M22" s="160"/>
      <c r="N22" s="160"/>
      <c r="Q22" s="160"/>
      <c r="R22">
        <v>1</v>
      </c>
      <c r="Z22" s="63">
        <v>1</v>
      </c>
      <c r="AA22" s="118"/>
    </row>
    <row r="23" spans="3:27" x14ac:dyDescent="0.25">
      <c r="C23" s="6">
        <v>19</v>
      </c>
      <c r="D23" s="9">
        <v>0.34791666666666665</v>
      </c>
      <c r="E23" s="15">
        <f>8*60+21</f>
        <v>501</v>
      </c>
      <c r="F23" s="12"/>
      <c r="G23" s="3" t="s">
        <v>18</v>
      </c>
      <c r="I23" s="119">
        <f t="shared" si="1"/>
        <v>0.18570331695331696</v>
      </c>
      <c r="J23" s="160"/>
      <c r="K23" s="160"/>
      <c r="L23" s="160"/>
      <c r="M23" s="160"/>
      <c r="N23" s="160"/>
      <c r="Q23" s="160"/>
      <c r="R23">
        <v>1</v>
      </c>
      <c r="Z23" s="63">
        <v>1</v>
      </c>
      <c r="AA23" s="118"/>
    </row>
    <row r="24" spans="3:27" x14ac:dyDescent="0.25">
      <c r="C24" s="6">
        <v>20</v>
      </c>
      <c r="D24" s="9">
        <v>0.42222222222222222</v>
      </c>
      <c r="E24" s="15">
        <f>10*60+8</f>
        <v>608</v>
      </c>
      <c r="F24" s="12"/>
      <c r="G24" s="3" t="s">
        <v>19</v>
      </c>
      <c r="I24" s="119">
        <f t="shared" si="1"/>
        <v>0.19503992628992631</v>
      </c>
      <c r="J24" s="160"/>
      <c r="K24" s="160"/>
      <c r="L24" s="160"/>
      <c r="M24" s="160"/>
      <c r="N24" s="160"/>
      <c r="Q24" s="160"/>
      <c r="R24">
        <v>1</v>
      </c>
      <c r="Z24" s="63">
        <v>1</v>
      </c>
      <c r="AA24" s="118"/>
    </row>
    <row r="25" spans="3:27" ht="15.75" thickBot="1" x14ac:dyDescent="0.3">
      <c r="C25" s="17"/>
      <c r="D25" s="18"/>
      <c r="E25" s="19">
        <f>SUM(E15:E24)/60</f>
        <v>102.16666666666667</v>
      </c>
      <c r="F25" s="20">
        <f>E25/60</f>
        <v>1.7027777777777779</v>
      </c>
      <c r="G25" s="21"/>
      <c r="I25" s="119"/>
      <c r="J25" s="160"/>
      <c r="K25" s="160"/>
      <c r="L25" s="160"/>
      <c r="M25" s="160"/>
      <c r="N25" s="160"/>
      <c r="Q25" s="160"/>
      <c r="AA25" s="118"/>
    </row>
    <row r="26" spans="3:27" x14ac:dyDescent="0.25">
      <c r="C26" s="5">
        <v>21</v>
      </c>
      <c r="D26" s="8">
        <v>0.34513888888888888</v>
      </c>
      <c r="E26" s="14">
        <f>8*60+17</f>
        <v>497</v>
      </c>
      <c r="F26" s="11"/>
      <c r="G26" s="2" t="s">
        <v>20</v>
      </c>
      <c r="I26" s="119">
        <f>(E26/$G$1)+I24</f>
        <v>0.2026719901719902</v>
      </c>
      <c r="J26" s="160"/>
      <c r="K26" s="160"/>
      <c r="L26" s="160"/>
      <c r="M26" s="160"/>
      <c r="N26" s="160"/>
      <c r="Q26" s="160">
        <v>1</v>
      </c>
      <c r="Z26" s="63">
        <v>1</v>
      </c>
      <c r="AA26" s="118"/>
    </row>
    <row r="27" spans="3:27" x14ac:dyDescent="0.25">
      <c r="C27" s="6">
        <v>22</v>
      </c>
      <c r="D27" s="9">
        <v>0.3</v>
      </c>
      <c r="E27" s="15">
        <f>7*60+12</f>
        <v>432</v>
      </c>
      <c r="F27" s="12"/>
      <c r="G27" s="3" t="s">
        <v>21</v>
      </c>
      <c r="I27" s="119">
        <f t="shared" ref="I27:I35" si="2">(E27/$G$1)+I26</f>
        <v>0.20930589680589684</v>
      </c>
      <c r="J27" s="160"/>
      <c r="K27" s="160"/>
      <c r="L27" s="160"/>
      <c r="M27" s="160"/>
      <c r="N27" s="160"/>
      <c r="Q27" s="160">
        <v>1</v>
      </c>
      <c r="Z27" s="63">
        <v>1</v>
      </c>
      <c r="AA27" s="118"/>
    </row>
    <row r="28" spans="3:27" x14ac:dyDescent="0.25">
      <c r="C28" s="6">
        <v>23</v>
      </c>
      <c r="D28" s="9">
        <v>0.33749999999999997</v>
      </c>
      <c r="E28" s="15">
        <f>8*60+6</f>
        <v>486</v>
      </c>
      <c r="F28" s="12"/>
      <c r="G28" s="3" t="s">
        <v>22</v>
      </c>
      <c r="I28" s="119">
        <f t="shared" si="2"/>
        <v>0.2167690417690418</v>
      </c>
      <c r="J28" s="160"/>
      <c r="K28" s="160"/>
      <c r="L28" s="160"/>
      <c r="M28" s="160"/>
      <c r="N28" s="160"/>
      <c r="Q28" s="160">
        <v>1</v>
      </c>
      <c r="Z28" s="63">
        <v>1</v>
      </c>
      <c r="AA28" s="118"/>
    </row>
    <row r="29" spans="3:27" x14ac:dyDescent="0.25">
      <c r="C29" s="6">
        <v>24</v>
      </c>
      <c r="D29" s="9">
        <v>0.3888888888888889</v>
      </c>
      <c r="E29" s="15">
        <f>9*60+20</f>
        <v>560</v>
      </c>
      <c r="F29" s="12"/>
      <c r="G29" s="3" t="s">
        <v>23</v>
      </c>
      <c r="I29" s="119">
        <f t="shared" si="2"/>
        <v>0.22536855036855039</v>
      </c>
      <c r="J29" s="160"/>
      <c r="K29" s="160"/>
      <c r="L29" s="160"/>
      <c r="M29" s="160"/>
      <c r="N29" s="160"/>
      <c r="Q29" s="160">
        <v>1</v>
      </c>
      <c r="Z29" s="63">
        <v>1</v>
      </c>
    </row>
    <row r="30" spans="3:27" x14ac:dyDescent="0.25">
      <c r="C30" s="6">
        <v>25</v>
      </c>
      <c r="D30" s="9">
        <v>0.43472222222222223</v>
      </c>
      <c r="E30" s="15">
        <f>10*60+26</f>
        <v>626</v>
      </c>
      <c r="F30" s="12"/>
      <c r="G30" s="3" t="s">
        <v>24</v>
      </c>
      <c r="I30" s="119">
        <f t="shared" si="2"/>
        <v>0.2349815724815725</v>
      </c>
      <c r="J30" s="160"/>
      <c r="K30" s="160"/>
      <c r="L30" s="160"/>
      <c r="M30" s="160"/>
      <c r="N30" s="160"/>
      <c r="Q30" s="160">
        <v>1</v>
      </c>
      <c r="Z30" s="63">
        <v>1</v>
      </c>
      <c r="AA30" s="118"/>
    </row>
    <row r="31" spans="3:27" x14ac:dyDescent="0.25">
      <c r="C31" s="6">
        <v>26</v>
      </c>
      <c r="D31" s="9">
        <v>0.33888888888888885</v>
      </c>
      <c r="E31" s="15">
        <f>8*60+8</f>
        <v>488</v>
      </c>
      <c r="F31" s="12"/>
      <c r="G31" s="3" t="s">
        <v>25</v>
      </c>
      <c r="I31" s="119">
        <f t="shared" si="2"/>
        <v>0.24247542997543001</v>
      </c>
      <c r="J31" s="160"/>
      <c r="K31" s="160"/>
      <c r="L31" s="160"/>
      <c r="M31" s="160"/>
      <c r="N31" s="160"/>
      <c r="P31">
        <v>1</v>
      </c>
      <c r="Q31" s="160"/>
      <c r="Z31" s="63">
        <v>1</v>
      </c>
      <c r="AA31" s="118"/>
    </row>
    <row r="32" spans="3:27" x14ac:dyDescent="0.25">
      <c r="C32" s="6">
        <v>27</v>
      </c>
      <c r="D32" s="9">
        <v>0.33124999999999999</v>
      </c>
      <c r="E32" s="15">
        <f>7*60+57</f>
        <v>477</v>
      </c>
      <c r="F32" s="12"/>
      <c r="G32" s="3" t="s">
        <v>26</v>
      </c>
      <c r="I32" s="119">
        <f t="shared" si="2"/>
        <v>0.24980036855036858</v>
      </c>
      <c r="J32" s="160"/>
      <c r="K32" s="160"/>
      <c r="L32" s="160"/>
      <c r="M32" s="160"/>
      <c r="N32" s="160"/>
      <c r="P32">
        <v>1</v>
      </c>
      <c r="Q32" s="160"/>
      <c r="Z32" s="63">
        <v>1</v>
      </c>
      <c r="AA32" s="118"/>
    </row>
    <row r="33" spans="3:27" x14ac:dyDescent="0.25">
      <c r="C33" s="6">
        <v>28</v>
      </c>
      <c r="D33" s="9">
        <v>0.63194444444444442</v>
      </c>
      <c r="E33" s="15">
        <f>15*60+10</f>
        <v>910</v>
      </c>
      <c r="F33" s="12"/>
      <c r="G33" s="3" t="s">
        <v>27</v>
      </c>
      <c r="I33" s="119">
        <f t="shared" si="2"/>
        <v>0.26377457002457005</v>
      </c>
      <c r="J33" s="160"/>
      <c r="K33" s="160"/>
      <c r="L33" s="160"/>
      <c r="M33" s="160"/>
      <c r="N33" s="160"/>
      <c r="P33">
        <v>1</v>
      </c>
      <c r="Q33" s="160"/>
      <c r="Z33" s="63">
        <v>1</v>
      </c>
      <c r="AA33" s="118"/>
    </row>
    <row r="34" spans="3:27" x14ac:dyDescent="0.25">
      <c r="C34" s="6">
        <v>29</v>
      </c>
      <c r="D34" s="9">
        <v>0.27847222222222223</v>
      </c>
      <c r="E34" s="15">
        <f>6*60+41</f>
        <v>401</v>
      </c>
      <c r="F34" s="12"/>
      <c r="G34" s="3" t="s">
        <v>28</v>
      </c>
      <c r="I34" s="119">
        <f t="shared" si="2"/>
        <v>0.26993243243243248</v>
      </c>
      <c r="J34" s="160"/>
      <c r="K34" s="160"/>
      <c r="L34" s="160"/>
      <c r="M34" s="160"/>
      <c r="N34" s="160"/>
      <c r="P34">
        <v>1</v>
      </c>
      <c r="Q34" s="160"/>
      <c r="Z34" s="63">
        <v>1</v>
      </c>
      <c r="AA34" s="118"/>
    </row>
    <row r="35" spans="3:27" x14ac:dyDescent="0.25">
      <c r="C35" s="6">
        <v>30</v>
      </c>
      <c r="D35" s="9">
        <v>0.31597222222222221</v>
      </c>
      <c r="E35" s="15">
        <f>7*60+35</f>
        <v>455</v>
      </c>
      <c r="F35" s="12"/>
      <c r="G35" s="3" t="s">
        <v>29</v>
      </c>
      <c r="I35" s="119">
        <f t="shared" si="2"/>
        <v>0.27691953316953322</v>
      </c>
      <c r="J35" s="160"/>
      <c r="K35" s="160"/>
      <c r="L35" s="160"/>
      <c r="M35" s="160"/>
      <c r="N35" s="160"/>
      <c r="P35">
        <v>1</v>
      </c>
      <c r="Q35" s="160"/>
      <c r="AA35" s="118"/>
    </row>
    <row r="36" spans="3:27" ht="15.75" thickBot="1" x14ac:dyDescent="0.3">
      <c r="C36" s="17"/>
      <c r="D36" s="18"/>
      <c r="E36" s="19">
        <f>SUM(E26:E35)/60</f>
        <v>88.86666666666666</v>
      </c>
      <c r="F36" s="20">
        <f>E36/60</f>
        <v>1.481111111111111</v>
      </c>
      <c r="G36" s="21"/>
      <c r="I36" s="119"/>
      <c r="J36" s="160"/>
      <c r="K36" s="160"/>
      <c r="L36" s="160"/>
      <c r="M36" s="160"/>
      <c r="N36" s="160"/>
      <c r="Q36" s="160"/>
      <c r="AA36" s="118"/>
    </row>
    <row r="37" spans="3:27" x14ac:dyDescent="0.25">
      <c r="C37" s="7">
        <v>31</v>
      </c>
      <c r="D37" s="10">
        <v>0.25625000000000003</v>
      </c>
      <c r="E37" s="16">
        <f>6*60+9</f>
        <v>369</v>
      </c>
      <c r="F37" s="13"/>
      <c r="G37" s="4" t="s">
        <v>30</v>
      </c>
      <c r="I37" s="119">
        <f>(E37/$G$1)+I35</f>
        <v>0.28258599508599513</v>
      </c>
      <c r="J37" s="160"/>
      <c r="K37" s="160"/>
      <c r="L37" s="160"/>
      <c r="M37" s="160"/>
      <c r="N37" s="160"/>
      <c r="P37">
        <v>1</v>
      </c>
      <c r="Q37" s="160"/>
      <c r="Z37" s="63">
        <v>1</v>
      </c>
      <c r="AA37" s="118"/>
    </row>
    <row r="38" spans="3:27" x14ac:dyDescent="0.25">
      <c r="C38" s="6">
        <v>32</v>
      </c>
      <c r="D38" s="9">
        <v>0.51388888888888895</v>
      </c>
      <c r="E38" s="15">
        <f>12*60+20</f>
        <v>740</v>
      </c>
      <c r="F38" s="12"/>
      <c r="G38" s="3" t="s">
        <v>31</v>
      </c>
      <c r="I38" s="119">
        <f t="shared" ref="I38:I46" si="3">(E38/$G$1)+I37</f>
        <v>0.29394963144963149</v>
      </c>
      <c r="J38" s="160"/>
      <c r="K38" s="160"/>
      <c r="L38" s="160"/>
      <c r="M38" s="160"/>
      <c r="N38" s="160"/>
      <c r="P38">
        <v>1</v>
      </c>
      <c r="Q38" s="160"/>
      <c r="Z38" s="63">
        <v>1</v>
      </c>
      <c r="AA38" s="118"/>
    </row>
    <row r="39" spans="3:27" x14ac:dyDescent="0.25">
      <c r="C39" s="6">
        <v>33</v>
      </c>
      <c r="D39" s="9">
        <v>0.46111111111111108</v>
      </c>
      <c r="E39" s="15">
        <f>11*60+4</f>
        <v>664</v>
      </c>
      <c r="F39" s="12"/>
      <c r="G39" s="3" t="s">
        <v>32</v>
      </c>
      <c r="I39" s="119">
        <f t="shared" si="3"/>
        <v>0.30414619164619167</v>
      </c>
      <c r="J39" s="160"/>
      <c r="K39" s="160"/>
      <c r="L39" s="160"/>
      <c r="M39" s="160"/>
      <c r="N39" s="160"/>
      <c r="O39">
        <v>1</v>
      </c>
      <c r="Q39" s="160"/>
      <c r="Z39" s="63">
        <v>1</v>
      </c>
      <c r="AA39" s="118"/>
    </row>
    <row r="40" spans="3:27" x14ac:dyDescent="0.25">
      <c r="C40" s="6">
        <v>34</v>
      </c>
      <c r="D40" s="9">
        <v>0.36874999999999997</v>
      </c>
      <c r="E40" s="15">
        <f>8*60+51</f>
        <v>531</v>
      </c>
      <c r="F40" s="12"/>
      <c r="G40" s="3" t="s">
        <v>33</v>
      </c>
      <c r="I40" s="119">
        <f t="shared" si="3"/>
        <v>0.31230036855036858</v>
      </c>
      <c r="J40" s="160"/>
      <c r="K40" s="160"/>
      <c r="L40" s="160"/>
      <c r="M40" s="160"/>
      <c r="N40" s="160"/>
      <c r="O40">
        <v>1</v>
      </c>
      <c r="Q40" s="160"/>
      <c r="Z40" s="63">
        <v>1</v>
      </c>
    </row>
    <row r="41" spans="3:27" x14ac:dyDescent="0.25">
      <c r="C41" s="6">
        <v>35</v>
      </c>
      <c r="D41" s="9">
        <v>0.36249999999999999</v>
      </c>
      <c r="E41" s="15">
        <f>8*60+42</f>
        <v>522</v>
      </c>
      <c r="F41" s="12"/>
      <c r="G41" s="3" t="s">
        <v>34</v>
      </c>
      <c r="I41" s="119">
        <f t="shared" si="3"/>
        <v>0.32031633906633911</v>
      </c>
      <c r="J41" s="160"/>
      <c r="K41" s="160"/>
      <c r="L41" s="160"/>
      <c r="M41" s="160"/>
      <c r="N41" s="160"/>
      <c r="O41">
        <v>1</v>
      </c>
      <c r="Q41" s="160"/>
      <c r="Z41" s="63">
        <v>1</v>
      </c>
    </row>
    <row r="42" spans="3:27" x14ac:dyDescent="0.25">
      <c r="C42" s="6">
        <v>36</v>
      </c>
      <c r="D42" s="9">
        <v>0.51458333333333328</v>
      </c>
      <c r="E42" s="15">
        <f>12*60+21</f>
        <v>741</v>
      </c>
      <c r="F42" s="12"/>
      <c r="G42" s="3" t="s">
        <v>35</v>
      </c>
      <c r="I42" s="119">
        <f t="shared" si="3"/>
        <v>0.33169533169533172</v>
      </c>
      <c r="J42" s="160"/>
      <c r="K42" s="160"/>
      <c r="L42" s="160"/>
      <c r="M42" s="160"/>
      <c r="N42" s="160"/>
      <c r="O42">
        <v>1</v>
      </c>
      <c r="Q42" s="160"/>
      <c r="Z42" s="63">
        <v>1</v>
      </c>
    </row>
    <row r="43" spans="3:27" x14ac:dyDescent="0.25">
      <c r="C43" s="6">
        <v>37</v>
      </c>
      <c r="D43" s="9">
        <v>0.52986111111111112</v>
      </c>
      <c r="E43" s="15">
        <f>12*60+43</f>
        <v>763</v>
      </c>
      <c r="F43" s="12"/>
      <c r="G43" s="3" t="s">
        <v>36</v>
      </c>
      <c r="I43" s="119">
        <f t="shared" si="3"/>
        <v>0.34341216216216219</v>
      </c>
      <c r="J43" s="160"/>
      <c r="K43" s="160"/>
      <c r="L43" s="160"/>
      <c r="M43" s="160"/>
      <c r="N43" s="160">
        <v>1</v>
      </c>
      <c r="Q43" s="160"/>
      <c r="Z43" s="63">
        <v>1</v>
      </c>
    </row>
    <row r="44" spans="3:27" x14ac:dyDescent="0.25">
      <c r="C44" s="6">
        <v>38</v>
      </c>
      <c r="D44" s="9">
        <v>0.66388888888888886</v>
      </c>
      <c r="E44" s="15">
        <f>15*60+56</f>
        <v>956</v>
      </c>
      <c r="F44" s="12"/>
      <c r="G44" s="3" t="s">
        <v>37</v>
      </c>
      <c r="I44" s="119">
        <f t="shared" si="3"/>
        <v>0.35809275184275186</v>
      </c>
      <c r="J44" s="160"/>
      <c r="K44" s="160"/>
      <c r="L44" s="160"/>
      <c r="M44" s="160"/>
      <c r="N44" s="160">
        <v>1</v>
      </c>
      <c r="Q44" s="160"/>
      <c r="Y44" s="63">
        <v>1</v>
      </c>
    </row>
    <row r="45" spans="3:27" x14ac:dyDescent="0.25">
      <c r="C45" s="6">
        <v>39</v>
      </c>
      <c r="D45" s="9">
        <v>0.59930555555555554</v>
      </c>
      <c r="E45" s="15">
        <f>14*60+23</f>
        <v>863</v>
      </c>
      <c r="F45" s="12"/>
      <c r="G45" s="3" t="s">
        <v>38</v>
      </c>
      <c r="I45" s="119">
        <f t="shared" si="3"/>
        <v>0.37134520884520883</v>
      </c>
      <c r="J45" s="160"/>
      <c r="K45" s="160"/>
      <c r="L45" s="160"/>
      <c r="M45" s="160"/>
      <c r="N45" s="160">
        <v>1</v>
      </c>
      <c r="Q45" s="160"/>
      <c r="Y45" s="63">
        <v>1</v>
      </c>
    </row>
    <row r="46" spans="3:27" x14ac:dyDescent="0.25">
      <c r="C46" s="6">
        <v>40</v>
      </c>
      <c r="D46" s="9">
        <v>0.59305555555555556</v>
      </c>
      <c r="E46" s="15">
        <f>14*60+14</f>
        <v>854</v>
      </c>
      <c r="F46" s="12"/>
      <c r="G46" s="3" t="s">
        <v>39</v>
      </c>
      <c r="I46" s="119">
        <f t="shared" si="3"/>
        <v>0.38445945945945942</v>
      </c>
      <c r="J46" s="160"/>
      <c r="K46" s="160"/>
      <c r="L46" s="160"/>
      <c r="M46" s="160"/>
      <c r="N46" s="160">
        <v>1</v>
      </c>
      <c r="Q46" s="160"/>
      <c r="Y46" s="63">
        <v>1</v>
      </c>
    </row>
    <row r="47" spans="3:27" ht="15.75" thickBot="1" x14ac:dyDescent="0.3">
      <c r="C47" s="17"/>
      <c r="D47" s="18"/>
      <c r="E47" s="19">
        <f>SUM(E37:E46)/60</f>
        <v>116.71666666666667</v>
      </c>
      <c r="F47" s="20">
        <f>E47/60</f>
        <v>1.9452777777777779</v>
      </c>
      <c r="G47" s="21"/>
      <c r="I47" s="119"/>
      <c r="J47" s="160"/>
      <c r="K47" s="160"/>
      <c r="L47" s="160"/>
      <c r="M47" s="160"/>
      <c r="N47" s="160"/>
      <c r="Q47" s="160"/>
    </row>
    <row r="48" spans="3:27" x14ac:dyDescent="0.25">
      <c r="C48" s="7">
        <v>41</v>
      </c>
      <c r="D48" s="10">
        <v>0.42638888888888887</v>
      </c>
      <c r="E48" s="16">
        <f>10*60+14</f>
        <v>614</v>
      </c>
      <c r="F48" s="13"/>
      <c r="G48" s="4" t="s">
        <v>40</v>
      </c>
      <c r="I48" s="119">
        <f>(E48/$G$1)+I46</f>
        <v>0.39388820638820632</v>
      </c>
      <c r="J48" s="160"/>
      <c r="K48" s="160"/>
      <c r="L48" s="160"/>
      <c r="M48" s="160"/>
      <c r="N48" s="160">
        <v>1</v>
      </c>
      <c r="Q48" s="160"/>
      <c r="Y48" s="63">
        <v>1</v>
      </c>
    </row>
    <row r="49" spans="1:28" x14ac:dyDescent="0.25">
      <c r="C49" s="6">
        <v>42</v>
      </c>
      <c r="D49" s="9">
        <v>0.34236111111111112</v>
      </c>
      <c r="E49" s="15">
        <f>8*60+13</f>
        <v>493</v>
      </c>
      <c r="F49" s="12"/>
      <c r="G49" s="3" t="s">
        <v>42</v>
      </c>
      <c r="I49" s="119">
        <f t="shared" ref="I49:I57" si="4">(E49/$G$1)+I48</f>
        <v>0.40145884520884512</v>
      </c>
      <c r="J49" s="160"/>
      <c r="K49" s="160"/>
      <c r="L49" s="160"/>
      <c r="M49" s="160"/>
      <c r="N49" s="160">
        <v>1</v>
      </c>
      <c r="Q49" s="160"/>
      <c r="Y49" s="63">
        <v>1</v>
      </c>
    </row>
    <row r="50" spans="1:28" x14ac:dyDescent="0.25">
      <c r="C50" s="6">
        <v>43</v>
      </c>
      <c r="D50" s="9">
        <v>0.43611111111111112</v>
      </c>
      <c r="E50" s="15">
        <f>10*60+28</f>
        <v>628</v>
      </c>
      <c r="F50" s="12"/>
      <c r="G50" s="3" t="s">
        <v>43</v>
      </c>
      <c r="I50" s="119">
        <f t="shared" si="4"/>
        <v>0.41110257985257975</v>
      </c>
      <c r="J50" s="160"/>
      <c r="K50" s="160"/>
      <c r="L50" s="160"/>
      <c r="M50" s="160"/>
      <c r="N50" s="160">
        <v>1</v>
      </c>
      <c r="Q50" s="160"/>
      <c r="Y50" s="63">
        <v>1</v>
      </c>
    </row>
    <row r="51" spans="1:28" x14ac:dyDescent="0.25">
      <c r="C51" s="6">
        <v>44</v>
      </c>
      <c r="D51" s="9">
        <v>0.35972222222222222</v>
      </c>
      <c r="E51" s="15">
        <f>8*60+38</f>
        <v>518</v>
      </c>
      <c r="F51" s="12"/>
      <c r="G51" s="3" t="s">
        <v>44</v>
      </c>
      <c r="I51" s="119">
        <f t="shared" si="4"/>
        <v>0.41905712530712519</v>
      </c>
      <c r="J51" s="160"/>
      <c r="K51" s="160"/>
      <c r="L51" s="160"/>
      <c r="M51" s="160"/>
      <c r="N51" s="160">
        <v>1</v>
      </c>
      <c r="Q51" s="160"/>
      <c r="Y51" s="63">
        <v>1</v>
      </c>
    </row>
    <row r="52" spans="1:28" x14ac:dyDescent="0.25">
      <c r="C52" s="6">
        <v>45</v>
      </c>
      <c r="D52" s="9">
        <v>0.58750000000000002</v>
      </c>
      <c r="E52" s="15">
        <f>14*60+6</f>
        <v>846</v>
      </c>
      <c r="F52" s="12"/>
      <c r="G52" s="3" t="s">
        <v>45</v>
      </c>
      <c r="I52" s="119">
        <f t="shared" si="4"/>
        <v>0.43204852579852571</v>
      </c>
      <c r="J52" s="160"/>
      <c r="K52" s="160"/>
      <c r="L52" s="160"/>
      <c r="M52" s="160"/>
      <c r="N52" s="160">
        <v>1</v>
      </c>
      <c r="Q52" s="160"/>
      <c r="Y52" s="63">
        <v>1</v>
      </c>
    </row>
    <row r="53" spans="1:28" x14ac:dyDescent="0.25">
      <c r="C53" s="6">
        <v>46</v>
      </c>
      <c r="D53" s="9">
        <v>0.40277777777777773</v>
      </c>
      <c r="E53" s="15">
        <f>9*60+40</f>
        <v>580</v>
      </c>
      <c r="F53" s="12"/>
      <c r="G53" s="3" t="s">
        <v>46</v>
      </c>
      <c r="I53" s="119">
        <f t="shared" si="4"/>
        <v>0.44095515970515964</v>
      </c>
      <c r="J53" s="160"/>
      <c r="K53" s="160"/>
      <c r="L53" s="160"/>
      <c r="M53" s="160"/>
      <c r="N53" s="160">
        <v>1</v>
      </c>
      <c r="Q53" s="160"/>
      <c r="Y53" s="63">
        <v>1</v>
      </c>
    </row>
    <row r="54" spans="1:28" x14ac:dyDescent="0.25">
      <c r="C54" s="6">
        <v>47</v>
      </c>
      <c r="D54" s="9">
        <v>0.32430555555555557</v>
      </c>
      <c r="E54" s="15">
        <f>7*60+47</f>
        <v>467</v>
      </c>
      <c r="F54" s="12"/>
      <c r="G54" s="3" t="s">
        <v>47</v>
      </c>
      <c r="I54" s="119">
        <f t="shared" si="4"/>
        <v>0.44812653562653554</v>
      </c>
      <c r="J54" s="160"/>
      <c r="K54" s="160"/>
      <c r="L54" s="160"/>
      <c r="M54" s="160">
        <v>1</v>
      </c>
      <c r="N54" s="160"/>
      <c r="Q54" s="160"/>
      <c r="Y54" s="63">
        <v>1</v>
      </c>
    </row>
    <row r="55" spans="1:28" x14ac:dyDescent="0.25">
      <c r="C55" s="6">
        <v>48</v>
      </c>
      <c r="D55" s="9">
        <v>0.47986111111111113</v>
      </c>
      <c r="E55" s="15">
        <f>11*60+31</f>
        <v>691</v>
      </c>
      <c r="F55" s="12"/>
      <c r="G55" s="3" t="s">
        <v>48</v>
      </c>
      <c r="I55" s="119">
        <f t="shared" si="4"/>
        <v>0.45873771498771487</v>
      </c>
      <c r="J55" s="160"/>
      <c r="K55" s="160"/>
      <c r="L55" s="160"/>
      <c r="M55" s="160">
        <v>1</v>
      </c>
      <c r="N55" s="160"/>
      <c r="Q55" s="160"/>
      <c r="Y55" s="63">
        <v>1</v>
      </c>
    </row>
    <row r="56" spans="1:28" x14ac:dyDescent="0.25">
      <c r="C56" s="6">
        <v>49</v>
      </c>
      <c r="D56" s="9">
        <v>0.375</v>
      </c>
      <c r="E56" s="15">
        <f>9*60</f>
        <v>540</v>
      </c>
      <c r="F56" s="12"/>
      <c r="G56" s="3" t="s">
        <v>49</v>
      </c>
      <c r="I56" s="119">
        <f t="shared" si="4"/>
        <v>0.46703009828009817</v>
      </c>
      <c r="J56" s="160"/>
      <c r="K56" s="160"/>
      <c r="L56" s="160"/>
      <c r="M56" s="160">
        <v>1</v>
      </c>
      <c r="N56" s="160"/>
      <c r="Q56" s="160"/>
      <c r="Y56" s="63">
        <v>1</v>
      </c>
    </row>
    <row r="57" spans="1:28" x14ac:dyDescent="0.25">
      <c r="C57" s="6">
        <v>50</v>
      </c>
      <c r="D57" s="9">
        <v>0.18333333333333335</v>
      </c>
      <c r="E57" s="15">
        <f>4*60+24</f>
        <v>264</v>
      </c>
      <c r="F57" s="12"/>
      <c r="G57" s="3" t="s">
        <v>50</v>
      </c>
      <c r="I57" s="119">
        <f t="shared" si="4"/>
        <v>0.47108415233415224</v>
      </c>
      <c r="J57" s="160"/>
      <c r="K57" s="160"/>
      <c r="L57" s="160"/>
      <c r="M57" s="160">
        <v>1</v>
      </c>
      <c r="N57" s="160"/>
      <c r="Q57" s="160"/>
      <c r="Y57" s="63">
        <v>1</v>
      </c>
    </row>
    <row r="58" spans="1:28" ht="15.75" thickBot="1" x14ac:dyDescent="0.3">
      <c r="C58" s="17"/>
      <c r="D58" s="18"/>
      <c r="E58" s="19">
        <f>SUM(E48:E57)/60</f>
        <v>94.016666666666666</v>
      </c>
      <c r="F58" s="20">
        <f>E58/60</f>
        <v>1.5669444444444445</v>
      </c>
      <c r="G58" s="21"/>
      <c r="I58" s="119"/>
      <c r="J58" s="160"/>
      <c r="K58" s="160"/>
      <c r="L58" s="160"/>
      <c r="M58" s="160"/>
      <c r="N58" s="160"/>
      <c r="Q58" s="160"/>
    </row>
    <row r="59" spans="1:28" x14ac:dyDescent="0.25">
      <c r="C59" s="7">
        <v>51</v>
      </c>
      <c r="D59" s="10">
        <v>0.30416666666666664</v>
      </c>
      <c r="E59" s="16">
        <f>7*60+18</f>
        <v>438</v>
      </c>
      <c r="F59" s="13"/>
      <c r="G59" s="4" t="s">
        <v>51</v>
      </c>
      <c r="I59" s="119">
        <f>(E59/$G$1)+I57</f>
        <v>0.47781019656019647</v>
      </c>
      <c r="J59" s="160"/>
      <c r="K59" s="160"/>
      <c r="L59" s="160">
        <v>1</v>
      </c>
      <c r="M59" s="160"/>
      <c r="N59" s="160"/>
      <c r="Q59" s="160"/>
      <c r="Y59" s="63">
        <v>1</v>
      </c>
    </row>
    <row r="60" spans="1:28" x14ac:dyDescent="0.25">
      <c r="C60" s="6">
        <v>52</v>
      </c>
      <c r="D60" s="9">
        <v>0.49722222222222223</v>
      </c>
      <c r="E60" s="15">
        <f>11*60+56</f>
        <v>716</v>
      </c>
      <c r="F60" s="12"/>
      <c r="G60" s="3" t="s">
        <v>52</v>
      </c>
      <c r="I60" s="119">
        <f t="shared" ref="I60:I68" si="5">(E60/$G$1)+I59</f>
        <v>0.48880528255528244</v>
      </c>
      <c r="J60" s="160"/>
      <c r="K60" s="160"/>
      <c r="L60" s="160">
        <v>1</v>
      </c>
      <c r="M60" s="160"/>
      <c r="N60" s="160"/>
      <c r="Q60" s="160"/>
      <c r="Y60" s="63">
        <v>1</v>
      </c>
    </row>
    <row r="61" spans="1:28" x14ac:dyDescent="0.25">
      <c r="C61" s="7">
        <v>53</v>
      </c>
      <c r="D61" s="9">
        <v>0.20416666666666669</v>
      </c>
      <c r="E61" s="15">
        <f>4*60+54</f>
        <v>294</v>
      </c>
      <c r="F61" s="12"/>
      <c r="G61" s="3" t="s">
        <v>53</v>
      </c>
      <c r="I61" s="119">
        <f t="shared" si="5"/>
        <v>0.49332002457002444</v>
      </c>
      <c r="J61" s="160"/>
      <c r="K61" s="160">
        <v>1</v>
      </c>
      <c r="L61" s="160"/>
      <c r="M61" s="160"/>
      <c r="N61" s="160"/>
      <c r="Q61" s="160"/>
      <c r="Y61" s="63">
        <v>1</v>
      </c>
    </row>
    <row r="62" spans="1:28" x14ac:dyDescent="0.25">
      <c r="C62" s="6">
        <v>54</v>
      </c>
      <c r="D62" s="9">
        <v>0.46111111111111108</v>
      </c>
      <c r="E62" s="15">
        <f>11*60+4</f>
        <v>664</v>
      </c>
      <c r="F62" s="12"/>
      <c r="G62" s="3" t="s">
        <v>54</v>
      </c>
      <c r="I62" s="119">
        <f t="shared" si="5"/>
        <v>0.50351658476658467</v>
      </c>
      <c r="J62" s="160"/>
      <c r="K62" s="160">
        <v>1</v>
      </c>
      <c r="L62" s="160"/>
      <c r="M62" s="160"/>
      <c r="N62" s="160"/>
      <c r="Q62" s="160"/>
      <c r="Y62" s="63">
        <v>1</v>
      </c>
    </row>
    <row r="63" spans="1:28" x14ac:dyDescent="0.25">
      <c r="A63" t="s">
        <v>1318</v>
      </c>
      <c r="C63" s="7">
        <v>55</v>
      </c>
      <c r="D63" s="9">
        <v>0.5493055555555556</v>
      </c>
      <c r="E63" s="15">
        <f>13*60+11</f>
        <v>791</v>
      </c>
      <c r="F63" s="12"/>
      <c r="G63" s="3" t="s">
        <v>55</v>
      </c>
      <c r="I63" s="119">
        <f t="shared" si="5"/>
        <v>0.51566339066339062</v>
      </c>
      <c r="J63" s="160">
        <v>1</v>
      </c>
      <c r="K63" s="160"/>
      <c r="L63" s="160"/>
      <c r="M63" s="160"/>
      <c r="N63" s="160"/>
      <c r="Q63" s="160"/>
      <c r="Y63" s="63">
        <v>1</v>
      </c>
    </row>
    <row r="64" spans="1:28" x14ac:dyDescent="0.25">
      <c r="C64" s="6">
        <v>56</v>
      </c>
      <c r="D64" s="9">
        <v>0.49305555555555558</v>
      </c>
      <c r="E64" s="15">
        <f>11*60+50</f>
        <v>710</v>
      </c>
      <c r="F64" s="12"/>
      <c r="G64" s="3" t="s">
        <v>56</v>
      </c>
      <c r="I64" s="119">
        <f t="shared" si="5"/>
        <v>0.52656633906633898</v>
      </c>
      <c r="J64" s="160">
        <v>1</v>
      </c>
      <c r="K64" s="160"/>
      <c r="L64" s="160"/>
      <c r="M64" s="160"/>
      <c r="N64" s="160"/>
      <c r="Q64" s="160"/>
      <c r="Y64" s="63">
        <v>1</v>
      </c>
      <c r="AB64" s="23"/>
    </row>
    <row r="65" spans="1:28" x14ac:dyDescent="0.25">
      <c r="C65" s="7">
        <v>57</v>
      </c>
      <c r="D65" s="9">
        <v>0.46111111111111108</v>
      </c>
      <c r="E65" s="15">
        <f>11*60+4</f>
        <v>664</v>
      </c>
      <c r="F65" s="12"/>
      <c r="G65" s="3" t="s">
        <v>57</v>
      </c>
      <c r="I65" s="119">
        <f t="shared" si="5"/>
        <v>0.53676289926289922</v>
      </c>
      <c r="J65" s="160">
        <v>1</v>
      </c>
      <c r="K65" s="160"/>
      <c r="L65" s="160"/>
      <c r="M65" s="160"/>
      <c r="N65" s="160"/>
      <c r="Q65" s="160"/>
      <c r="Y65" s="63">
        <v>1</v>
      </c>
    </row>
    <row r="66" spans="1:28" x14ac:dyDescent="0.25">
      <c r="C66" s="6">
        <v>58</v>
      </c>
      <c r="D66" s="9">
        <v>0.4513888888888889</v>
      </c>
      <c r="E66" s="15">
        <f>10*60+50</f>
        <v>650</v>
      </c>
      <c r="F66" s="12"/>
      <c r="G66" s="3" t="s">
        <v>58</v>
      </c>
      <c r="I66" s="119">
        <f t="shared" si="5"/>
        <v>0.54674447174447172</v>
      </c>
      <c r="J66" s="160"/>
      <c r="K66" s="160"/>
      <c r="L66" s="160"/>
      <c r="M66" s="160"/>
      <c r="N66" s="160"/>
      <c r="Q66" s="160"/>
      <c r="Y66" s="63">
        <v>1</v>
      </c>
    </row>
    <row r="67" spans="1:28" x14ac:dyDescent="0.25">
      <c r="A67" t="s">
        <v>1318</v>
      </c>
      <c r="C67" s="7">
        <v>59</v>
      </c>
      <c r="D67" s="9">
        <v>0.69097222222222221</v>
      </c>
      <c r="E67" s="15">
        <f>16*60+35</f>
        <v>995</v>
      </c>
      <c r="F67" s="12"/>
      <c r="G67" s="3" t="s">
        <v>60</v>
      </c>
      <c r="I67" s="119">
        <f t="shared" si="5"/>
        <v>0.5620239557739557</v>
      </c>
      <c r="J67" s="160"/>
      <c r="K67" s="160"/>
      <c r="L67" s="160"/>
      <c r="M67" s="160"/>
      <c r="N67" s="160"/>
      <c r="Q67" s="160"/>
      <c r="Y67" s="63">
        <v>1</v>
      </c>
    </row>
    <row r="68" spans="1:28" x14ac:dyDescent="0.25">
      <c r="C68" s="6">
        <v>60</v>
      </c>
      <c r="D68" s="9">
        <v>0.70000000000000007</v>
      </c>
      <c r="E68" s="15">
        <f>16*60+48</f>
        <v>1008</v>
      </c>
      <c r="F68" s="12"/>
      <c r="G68" s="3" t="s">
        <v>59</v>
      </c>
      <c r="I68" s="119">
        <f t="shared" si="5"/>
        <v>0.57750307125307121</v>
      </c>
      <c r="J68" s="160"/>
      <c r="K68" s="160"/>
      <c r="L68" s="160"/>
      <c r="M68" s="160"/>
      <c r="N68" s="160"/>
      <c r="Q68" s="160"/>
      <c r="Y68" s="63">
        <v>1</v>
      </c>
    </row>
    <row r="69" spans="1:28" ht="15.75" thickBot="1" x14ac:dyDescent="0.3">
      <c r="C69" s="17"/>
      <c r="D69" s="18"/>
      <c r="E69" s="19">
        <f>SUM(E59:E68)/60</f>
        <v>115.5</v>
      </c>
      <c r="F69" s="20">
        <f>E69/60</f>
        <v>1.925</v>
      </c>
      <c r="G69" s="21"/>
      <c r="I69" s="119"/>
      <c r="J69" s="160"/>
      <c r="K69" s="160"/>
      <c r="L69" s="160"/>
      <c r="M69" s="160"/>
      <c r="N69" s="160"/>
      <c r="Q69" s="160"/>
      <c r="AB69" s="133"/>
    </row>
    <row r="70" spans="1:28" x14ac:dyDescent="0.25">
      <c r="C70" s="7">
        <v>61</v>
      </c>
      <c r="D70" s="10">
        <v>0.3833333333333333</v>
      </c>
      <c r="E70" s="16">
        <f>9*60+12</f>
        <v>552</v>
      </c>
      <c r="F70" s="13"/>
      <c r="G70" s="4" t="s">
        <v>61</v>
      </c>
      <c r="I70" s="119">
        <f>(E70/$G$1)+I68</f>
        <v>0.58597972972972967</v>
      </c>
      <c r="J70" s="160"/>
      <c r="K70" s="160"/>
      <c r="L70" s="160"/>
      <c r="M70" s="160"/>
      <c r="N70" s="160"/>
      <c r="Q70" s="160"/>
      <c r="X70" s="63">
        <v>1</v>
      </c>
    </row>
    <row r="71" spans="1:28" x14ac:dyDescent="0.25">
      <c r="A71" t="s">
        <v>1318</v>
      </c>
      <c r="C71" s="6">
        <v>62</v>
      </c>
      <c r="D71" s="9">
        <v>0.72986111111111107</v>
      </c>
      <c r="E71" s="15">
        <f>17*60+31</f>
        <v>1051</v>
      </c>
      <c r="F71" s="12"/>
      <c r="G71" s="3" t="s">
        <v>62</v>
      </c>
      <c r="I71" s="119">
        <f t="shared" ref="I71:I79" si="6">(E71/$G$1)+I70</f>
        <v>0.60211916461916459</v>
      </c>
      <c r="J71" s="160"/>
      <c r="K71" s="160"/>
      <c r="L71" s="160"/>
      <c r="M71" s="160"/>
      <c r="N71" s="160"/>
      <c r="Q71" s="160"/>
      <c r="X71" s="63">
        <v>1</v>
      </c>
    </row>
    <row r="72" spans="1:28" x14ac:dyDescent="0.25">
      <c r="C72" s="6">
        <v>63</v>
      </c>
      <c r="D72" s="9">
        <v>0.65416666666666667</v>
      </c>
      <c r="E72" s="15">
        <f>15*60+42</f>
        <v>942</v>
      </c>
      <c r="F72" s="12"/>
      <c r="G72" s="3" t="s">
        <v>63</v>
      </c>
      <c r="I72" s="119">
        <f t="shared" si="6"/>
        <v>0.61658476658476657</v>
      </c>
      <c r="J72" s="160"/>
      <c r="K72" s="160"/>
      <c r="L72" s="160"/>
      <c r="M72" s="160"/>
      <c r="N72" s="160"/>
      <c r="Q72" s="160"/>
      <c r="X72" s="63">
        <v>1</v>
      </c>
    </row>
    <row r="73" spans="1:28" x14ac:dyDescent="0.25">
      <c r="C73" s="6">
        <v>64</v>
      </c>
      <c r="D73" s="9">
        <v>0.68958333333333333</v>
      </c>
      <c r="E73" s="15">
        <f>16*60+33</f>
        <v>993</v>
      </c>
      <c r="F73" s="12"/>
      <c r="G73" s="3" t="s">
        <v>64</v>
      </c>
      <c r="I73" s="119">
        <f t="shared" si="6"/>
        <v>0.63183353808353804</v>
      </c>
      <c r="J73" s="160"/>
      <c r="K73" s="160"/>
      <c r="L73" s="160"/>
      <c r="M73" s="160"/>
      <c r="N73" s="160"/>
      <c r="Q73" s="160"/>
      <c r="X73" s="63">
        <v>1</v>
      </c>
    </row>
    <row r="74" spans="1:28" x14ac:dyDescent="0.25">
      <c r="A74" t="s">
        <v>1318</v>
      </c>
      <c r="C74" s="6">
        <v>65</v>
      </c>
      <c r="D74" s="9">
        <v>0.68194444444444446</v>
      </c>
      <c r="E74" s="15">
        <f>16*60+22</f>
        <v>982</v>
      </c>
      <c r="F74" s="12"/>
      <c r="G74" s="3" t="s">
        <v>65</v>
      </c>
      <c r="I74" s="119">
        <f t="shared" si="6"/>
        <v>0.6469133906633906</v>
      </c>
      <c r="J74" s="160"/>
      <c r="K74" s="160"/>
      <c r="L74" s="160"/>
      <c r="M74" s="160"/>
      <c r="N74" s="160"/>
      <c r="Q74" s="160"/>
    </row>
    <row r="75" spans="1:28" x14ac:dyDescent="0.25">
      <c r="A75" t="s">
        <v>1619</v>
      </c>
      <c r="C75" s="6">
        <v>66</v>
      </c>
      <c r="D75" s="9">
        <v>0.82291666666666663</v>
      </c>
      <c r="E75" s="15">
        <f>19*60+45</f>
        <v>1185</v>
      </c>
      <c r="F75" s="12"/>
      <c r="G75" s="3" t="s">
        <v>66</v>
      </c>
      <c r="I75" s="119">
        <f t="shared" si="6"/>
        <v>0.6651105651105651</v>
      </c>
      <c r="J75" s="160"/>
      <c r="K75" s="160"/>
      <c r="L75" s="160"/>
      <c r="M75" s="160"/>
      <c r="N75" s="160"/>
      <c r="Q75" s="160"/>
      <c r="X75" s="63">
        <v>1</v>
      </c>
    </row>
    <row r="76" spans="1:28" x14ac:dyDescent="0.25">
      <c r="C76" s="6">
        <v>67</v>
      </c>
      <c r="D76" s="9">
        <v>0.41111111111111115</v>
      </c>
      <c r="E76" s="15">
        <f>9*60+52</f>
        <v>592</v>
      </c>
      <c r="F76" s="12"/>
      <c r="G76" s="3" t="s">
        <v>67</v>
      </c>
      <c r="I76" s="119">
        <f t="shared" si="6"/>
        <v>0.67420147420147414</v>
      </c>
      <c r="J76" s="160"/>
      <c r="K76" s="160"/>
      <c r="L76" s="160"/>
      <c r="M76" s="160"/>
      <c r="N76" s="160"/>
      <c r="Q76" s="160"/>
      <c r="X76" s="63">
        <v>1</v>
      </c>
    </row>
    <row r="77" spans="1:28" x14ac:dyDescent="0.25">
      <c r="C77" s="6">
        <v>68</v>
      </c>
      <c r="D77" s="9">
        <v>0.11944444444444445</v>
      </c>
      <c r="E77" s="15">
        <f>2*60+52</f>
        <v>172</v>
      </c>
      <c r="F77" s="12"/>
      <c r="G77" s="3" t="s">
        <v>68</v>
      </c>
      <c r="I77" s="119">
        <f t="shared" si="6"/>
        <v>0.67684275184275178</v>
      </c>
      <c r="J77" s="160"/>
      <c r="K77" s="160"/>
      <c r="L77" s="160"/>
      <c r="M77" s="160"/>
      <c r="N77" s="160"/>
      <c r="Q77" s="160"/>
      <c r="X77" s="63">
        <v>1</v>
      </c>
    </row>
    <row r="78" spans="1:28" x14ac:dyDescent="0.25">
      <c r="C78" s="6">
        <v>69</v>
      </c>
      <c r="D78" s="9">
        <v>9.1666666666666674E-2</v>
      </c>
      <c r="E78" s="15">
        <f>2*60+12</f>
        <v>132</v>
      </c>
      <c r="F78" s="12"/>
      <c r="G78" s="3" t="s">
        <v>69</v>
      </c>
      <c r="I78" s="119">
        <f t="shared" si="6"/>
        <v>0.67886977886977884</v>
      </c>
      <c r="J78" s="160"/>
      <c r="K78" s="160"/>
      <c r="L78" s="160"/>
      <c r="M78" s="160"/>
      <c r="N78" s="160"/>
      <c r="Q78" s="160"/>
      <c r="X78" s="63">
        <v>1</v>
      </c>
    </row>
    <row r="79" spans="1:28" x14ac:dyDescent="0.25">
      <c r="C79" s="6">
        <v>70</v>
      </c>
      <c r="D79" s="9">
        <v>0.30138888888888887</v>
      </c>
      <c r="E79" s="15">
        <f>7*60+14</f>
        <v>434</v>
      </c>
      <c r="F79" s="12"/>
      <c r="G79" s="3" t="s">
        <v>70</v>
      </c>
      <c r="I79" s="119">
        <f t="shared" si="6"/>
        <v>0.68553439803439797</v>
      </c>
      <c r="J79" s="160"/>
      <c r="K79" s="160"/>
      <c r="L79" s="160"/>
      <c r="M79" s="160"/>
      <c r="N79" s="160"/>
      <c r="Q79" s="160"/>
      <c r="X79" s="63">
        <v>1</v>
      </c>
    </row>
    <row r="80" spans="1:28" ht="15.75" thickBot="1" x14ac:dyDescent="0.3">
      <c r="C80" s="17"/>
      <c r="D80" s="18"/>
      <c r="E80" s="19">
        <f>SUM(E70:E79)/60</f>
        <v>117.25</v>
      </c>
      <c r="F80" s="20">
        <f>E80/60</f>
        <v>1.9541666666666666</v>
      </c>
      <c r="G80" s="21"/>
      <c r="I80" s="119"/>
      <c r="J80" s="160"/>
      <c r="K80" s="160"/>
      <c r="L80" s="160"/>
      <c r="M80" s="160"/>
      <c r="N80" s="160"/>
      <c r="Q80" s="160"/>
      <c r="AB80" s="133"/>
    </row>
    <row r="81" spans="3:23" x14ac:dyDescent="0.25">
      <c r="C81" s="7">
        <v>71</v>
      </c>
      <c r="D81" s="10">
        <v>0.50069444444444444</v>
      </c>
      <c r="E81" s="16">
        <f>12*60+1</f>
        <v>721</v>
      </c>
      <c r="F81" s="13"/>
      <c r="G81" s="4" t="s">
        <v>71</v>
      </c>
      <c r="I81" s="119">
        <f>(E81/$G$1)+I79</f>
        <v>0.69660626535626524</v>
      </c>
      <c r="J81" s="160"/>
      <c r="K81" s="160"/>
      <c r="L81" s="160"/>
      <c r="M81" s="160"/>
      <c r="N81" s="160"/>
      <c r="Q81" s="160"/>
      <c r="W81" s="63">
        <v>1</v>
      </c>
    </row>
    <row r="82" spans="3:23" x14ac:dyDescent="0.25">
      <c r="C82" s="6">
        <v>72</v>
      </c>
      <c r="D82" s="9">
        <v>0.42291666666666666</v>
      </c>
      <c r="E82" s="15">
        <f>10*60+9</f>
        <v>609</v>
      </c>
      <c r="F82" s="12"/>
      <c r="G82" s="3" t="s">
        <v>72</v>
      </c>
      <c r="I82" s="119">
        <f t="shared" ref="I82:I90" si="7">(E82/$G$1)+I81</f>
        <v>0.70595823095823085</v>
      </c>
      <c r="J82" s="160"/>
      <c r="K82" s="160"/>
      <c r="L82" s="160"/>
      <c r="M82" s="160"/>
      <c r="N82" s="160"/>
      <c r="Q82" s="160"/>
      <c r="W82" s="63">
        <v>1</v>
      </c>
    </row>
    <row r="83" spans="3:23" x14ac:dyDescent="0.25">
      <c r="C83" s="6">
        <v>73</v>
      </c>
      <c r="D83" s="9">
        <v>0.48472222222222222</v>
      </c>
      <c r="E83" s="15">
        <f>11*60+38</f>
        <v>698</v>
      </c>
      <c r="F83" s="12"/>
      <c r="G83" s="3" t="s">
        <v>73</v>
      </c>
      <c r="I83" s="119">
        <f t="shared" si="7"/>
        <v>0.71667690417690411</v>
      </c>
      <c r="J83" s="160"/>
      <c r="K83" s="160"/>
      <c r="L83" s="160"/>
      <c r="M83" s="160"/>
      <c r="N83" s="160"/>
      <c r="Q83" s="160"/>
      <c r="V83">
        <v>1</v>
      </c>
    </row>
    <row r="84" spans="3:23" x14ac:dyDescent="0.25">
      <c r="C84" s="6">
        <v>74</v>
      </c>
      <c r="D84" s="9">
        <v>0.61388888888888882</v>
      </c>
      <c r="E84" s="15">
        <f>14*60+44</f>
        <v>884</v>
      </c>
      <c r="F84" s="12"/>
      <c r="G84" s="3" t="s">
        <v>74</v>
      </c>
      <c r="I84" s="119">
        <f t="shared" si="7"/>
        <v>0.73025184275184263</v>
      </c>
      <c r="J84" s="160"/>
      <c r="K84" s="160"/>
      <c r="L84" s="160"/>
      <c r="M84" s="160"/>
      <c r="N84" s="160"/>
      <c r="Q84" s="160"/>
      <c r="V84">
        <v>1</v>
      </c>
    </row>
    <row r="85" spans="3:23" x14ac:dyDescent="0.25">
      <c r="C85" s="6">
        <v>75</v>
      </c>
      <c r="D85" s="9">
        <v>0.19513888888888889</v>
      </c>
      <c r="E85" s="15">
        <f>4*60+41</f>
        <v>281</v>
      </c>
      <c r="F85" s="12"/>
      <c r="G85" s="3" t="s">
        <v>75</v>
      </c>
      <c r="I85" s="119">
        <f t="shared" si="7"/>
        <v>0.73456695331695321</v>
      </c>
      <c r="J85" s="160"/>
      <c r="K85" s="160"/>
      <c r="L85" s="160"/>
      <c r="M85" s="160"/>
      <c r="N85" s="160"/>
      <c r="Q85" s="160"/>
      <c r="V85">
        <v>1</v>
      </c>
    </row>
    <row r="86" spans="3:23" x14ac:dyDescent="0.25">
      <c r="C86" s="6">
        <v>76</v>
      </c>
      <c r="D86" s="9">
        <v>0.25486111111111109</v>
      </c>
      <c r="E86" s="15">
        <f>6*60+7</f>
        <v>367</v>
      </c>
      <c r="F86" s="12"/>
      <c r="G86" s="3" t="s">
        <v>76</v>
      </c>
      <c r="I86" s="119">
        <f t="shared" si="7"/>
        <v>0.74020270270270261</v>
      </c>
      <c r="J86" s="160"/>
      <c r="K86" s="160"/>
      <c r="L86" s="160"/>
      <c r="M86" s="160"/>
      <c r="N86" s="160"/>
      <c r="Q86" s="160"/>
      <c r="V86">
        <v>1</v>
      </c>
    </row>
    <row r="87" spans="3:23" x14ac:dyDescent="0.25">
      <c r="C87" s="6">
        <v>77</v>
      </c>
      <c r="D87" s="9">
        <v>0.86875000000000002</v>
      </c>
      <c r="E87" s="15">
        <f>20*60+51</f>
        <v>1251</v>
      </c>
      <c r="F87" s="12"/>
      <c r="G87" s="3" t="s">
        <v>77</v>
      </c>
      <c r="I87" s="119">
        <f t="shared" si="7"/>
        <v>0.75941339066339053</v>
      </c>
      <c r="J87" s="160"/>
      <c r="K87" s="160"/>
      <c r="L87" s="160"/>
      <c r="M87" s="160"/>
      <c r="N87" s="160"/>
      <c r="Q87" s="160"/>
      <c r="V87">
        <v>1</v>
      </c>
    </row>
    <row r="88" spans="3:23" x14ac:dyDescent="0.25">
      <c r="C88" s="6">
        <v>78</v>
      </c>
      <c r="D88" s="9">
        <v>0.32777777777777778</v>
      </c>
      <c r="E88" s="15">
        <f>7*60+52</f>
        <v>472</v>
      </c>
      <c r="F88" s="12"/>
      <c r="G88" s="3" t="s">
        <v>78</v>
      </c>
      <c r="I88" s="119">
        <f t="shared" si="7"/>
        <v>0.76666154791154772</v>
      </c>
      <c r="J88" s="160"/>
      <c r="K88" s="160"/>
      <c r="L88" s="160"/>
      <c r="M88" s="160"/>
      <c r="N88" s="160"/>
      <c r="Q88" s="160"/>
      <c r="V88">
        <v>1</v>
      </c>
    </row>
    <row r="89" spans="3:23" x14ac:dyDescent="0.25">
      <c r="C89" s="6">
        <v>79</v>
      </c>
      <c r="D89" s="9">
        <v>0.73541666666666661</v>
      </c>
      <c r="E89" s="15">
        <f>17*60+39</f>
        <v>1059</v>
      </c>
      <c r="F89" s="12"/>
      <c r="G89" s="3" t="s">
        <v>79</v>
      </c>
      <c r="I89" s="119">
        <f t="shared" si="7"/>
        <v>0.78292383292383272</v>
      </c>
      <c r="J89" s="160"/>
      <c r="K89" s="160"/>
      <c r="L89" s="160"/>
      <c r="M89" s="160"/>
      <c r="N89" s="160"/>
      <c r="Q89" s="160"/>
      <c r="V89">
        <v>1</v>
      </c>
    </row>
    <row r="90" spans="3:23" x14ac:dyDescent="0.25">
      <c r="C90" s="6">
        <v>80</v>
      </c>
      <c r="D90" s="9">
        <v>0.42222222222222222</v>
      </c>
      <c r="E90" s="15">
        <f>10*60+8</f>
        <v>608</v>
      </c>
      <c r="F90" s="12"/>
      <c r="G90" s="3" t="s">
        <v>80</v>
      </c>
      <c r="I90" s="119">
        <f t="shared" si="7"/>
        <v>0.79226044226044201</v>
      </c>
      <c r="J90" s="160"/>
      <c r="K90" s="160"/>
      <c r="L90" s="160"/>
      <c r="M90" s="160"/>
      <c r="N90" s="160"/>
      <c r="Q90" s="160"/>
      <c r="V90">
        <v>1</v>
      </c>
    </row>
    <row r="91" spans="3:23" ht="15.75" thickBot="1" x14ac:dyDescent="0.3">
      <c r="C91" s="17"/>
      <c r="D91" s="18"/>
      <c r="E91" s="19">
        <f>SUM(E81:E90)/60</f>
        <v>115.83333333333333</v>
      </c>
      <c r="F91" s="20">
        <f>E91/60</f>
        <v>1.9305555555555556</v>
      </c>
      <c r="G91" s="21"/>
      <c r="I91" s="119"/>
      <c r="J91" s="160"/>
      <c r="K91" s="160"/>
      <c r="L91" s="160"/>
      <c r="M91" s="160"/>
      <c r="N91" s="160"/>
      <c r="Q91" s="160"/>
    </row>
    <row r="92" spans="3:23" x14ac:dyDescent="0.25">
      <c r="C92" s="7">
        <v>81</v>
      </c>
      <c r="D92" s="10">
        <v>0.42638888888888887</v>
      </c>
      <c r="E92" s="16">
        <f>10*60+14</f>
        <v>614</v>
      </c>
      <c r="F92" s="13"/>
      <c r="G92" s="4" t="s">
        <v>81</v>
      </c>
      <c r="I92" s="119">
        <f>(E92/$G$1)+I90</f>
        <v>0.80168918918918897</v>
      </c>
      <c r="J92" s="160"/>
      <c r="K92" s="160"/>
      <c r="L92" s="160"/>
      <c r="M92" s="160"/>
      <c r="N92" s="160"/>
      <c r="Q92" s="160"/>
      <c r="U92">
        <v>1</v>
      </c>
    </row>
    <row r="93" spans="3:23" x14ac:dyDescent="0.25">
      <c r="C93" s="6">
        <v>82</v>
      </c>
      <c r="D93" s="9">
        <v>0.4777777777777778</v>
      </c>
      <c r="E93" s="15">
        <f>11*60+28</f>
        <v>688</v>
      </c>
      <c r="F93" s="12"/>
      <c r="G93" s="3" t="s">
        <v>82</v>
      </c>
      <c r="I93" s="119">
        <f t="shared" ref="I93:I101" si="8">(E93/$G$1)+I92</f>
        <v>0.81225429975429952</v>
      </c>
      <c r="J93" s="160"/>
      <c r="K93" s="160"/>
      <c r="L93" s="160"/>
      <c r="M93" s="160"/>
      <c r="N93" s="160"/>
      <c r="Q93" s="160"/>
      <c r="U93">
        <v>1</v>
      </c>
    </row>
    <row r="94" spans="3:23" x14ac:dyDescent="0.25">
      <c r="C94" s="6">
        <v>83</v>
      </c>
      <c r="D94" s="9">
        <v>0.34236111111111112</v>
      </c>
      <c r="E94" s="15">
        <f>8*60+13</f>
        <v>493</v>
      </c>
      <c r="F94" s="12"/>
      <c r="G94" s="3" t="s">
        <v>83</v>
      </c>
      <c r="I94" s="119">
        <f t="shared" si="8"/>
        <v>0.81982493857493832</v>
      </c>
      <c r="J94" s="160"/>
      <c r="K94" s="160"/>
      <c r="L94" s="160"/>
      <c r="M94" s="160"/>
      <c r="N94" s="160"/>
      <c r="Q94" s="160"/>
      <c r="U94">
        <v>1</v>
      </c>
    </row>
    <row r="95" spans="3:23" x14ac:dyDescent="0.25">
      <c r="C95" s="6">
        <v>84</v>
      </c>
      <c r="D95" s="9">
        <v>0.38472222222222219</v>
      </c>
      <c r="E95" s="15">
        <f>9*60+14</f>
        <v>554</v>
      </c>
      <c r="F95" s="12"/>
      <c r="G95" s="3" t="s">
        <v>84</v>
      </c>
      <c r="I95" s="119">
        <f t="shared" si="8"/>
        <v>0.8283323095823093</v>
      </c>
      <c r="J95" s="160"/>
      <c r="K95" s="160"/>
      <c r="L95" s="160"/>
      <c r="M95" s="160"/>
      <c r="N95" s="160"/>
      <c r="Q95" s="160"/>
      <c r="U95">
        <v>1</v>
      </c>
    </row>
    <row r="96" spans="3:23" x14ac:dyDescent="0.25">
      <c r="C96" s="6">
        <v>85</v>
      </c>
      <c r="D96" s="9">
        <v>0.34027777777777773</v>
      </c>
      <c r="E96" s="15">
        <f>8*60+10</f>
        <v>490</v>
      </c>
      <c r="F96" s="12"/>
      <c r="G96" s="3" t="s">
        <v>85</v>
      </c>
      <c r="I96" s="119">
        <f t="shared" si="8"/>
        <v>0.83585687960687938</v>
      </c>
      <c r="J96" s="160"/>
      <c r="K96" s="160"/>
      <c r="L96" s="160"/>
      <c r="M96" s="160"/>
      <c r="N96" s="160"/>
      <c r="Q96" s="160"/>
      <c r="U96">
        <v>1</v>
      </c>
    </row>
    <row r="97" spans="3:21" x14ac:dyDescent="0.25">
      <c r="C97" s="6">
        <v>86</v>
      </c>
      <c r="D97" s="9">
        <v>0.39652777777777781</v>
      </c>
      <c r="E97" s="15">
        <f>9*60+31</f>
        <v>571</v>
      </c>
      <c r="F97" s="12"/>
      <c r="G97" s="3" t="s">
        <v>86</v>
      </c>
      <c r="I97" s="119">
        <f t="shared" si="8"/>
        <v>0.84462530712530692</v>
      </c>
      <c r="J97" s="160"/>
      <c r="K97" s="160"/>
      <c r="L97" s="160"/>
      <c r="M97" s="160"/>
      <c r="N97" s="160"/>
      <c r="Q97" s="160"/>
      <c r="U97">
        <v>1</v>
      </c>
    </row>
    <row r="98" spans="3:21" x14ac:dyDescent="0.25">
      <c r="C98" s="6">
        <v>87</v>
      </c>
      <c r="D98" s="9">
        <v>0.40902777777777777</v>
      </c>
      <c r="E98" s="15">
        <f>9*60+49</f>
        <v>589</v>
      </c>
      <c r="F98" s="12"/>
      <c r="G98" s="3" t="s">
        <v>87</v>
      </c>
      <c r="I98" s="119">
        <f t="shared" si="8"/>
        <v>0.85367014742014724</v>
      </c>
      <c r="J98" s="160"/>
      <c r="K98" s="160"/>
      <c r="L98" s="160"/>
      <c r="M98" s="160"/>
      <c r="N98" s="160"/>
      <c r="Q98" s="160"/>
      <c r="T98" s="63">
        <v>1</v>
      </c>
    </row>
    <row r="99" spans="3:21" x14ac:dyDescent="0.25">
      <c r="C99" s="6">
        <v>88</v>
      </c>
      <c r="D99" s="9">
        <v>0.19097222222222221</v>
      </c>
      <c r="E99" s="15">
        <f>4*60+35</f>
        <v>275</v>
      </c>
      <c r="F99" s="12"/>
      <c r="G99" s="3" t="s">
        <v>88</v>
      </c>
      <c r="I99" s="119">
        <f t="shared" si="8"/>
        <v>0.85789312039312027</v>
      </c>
      <c r="J99" s="160"/>
      <c r="K99" s="160"/>
      <c r="L99" s="160"/>
      <c r="M99" s="160"/>
      <c r="N99" s="160"/>
      <c r="Q99" s="160"/>
      <c r="T99" s="63">
        <v>1</v>
      </c>
    </row>
    <row r="100" spans="3:21" x14ac:dyDescent="0.25">
      <c r="C100" s="6">
        <v>89</v>
      </c>
      <c r="D100" s="9">
        <v>0.50416666666666665</v>
      </c>
      <c r="E100" s="15">
        <f>12*60+6</f>
        <v>726</v>
      </c>
      <c r="F100" s="12"/>
      <c r="G100" s="3" t="s">
        <v>89</v>
      </c>
      <c r="I100" s="119">
        <f t="shared" si="8"/>
        <v>0.86904176904176889</v>
      </c>
      <c r="J100" s="160"/>
      <c r="K100" s="160"/>
      <c r="L100" s="160"/>
      <c r="M100" s="160"/>
      <c r="N100" s="160"/>
      <c r="Q100" s="160"/>
      <c r="T100" s="63">
        <v>1</v>
      </c>
    </row>
    <row r="101" spans="3:21" x14ac:dyDescent="0.25">
      <c r="C101" s="6">
        <v>90</v>
      </c>
      <c r="D101" s="9">
        <v>0.34791666666666665</v>
      </c>
      <c r="E101" s="15">
        <f>8*60+21</f>
        <v>501</v>
      </c>
      <c r="F101" s="12"/>
      <c r="G101" s="3" t="s">
        <v>90</v>
      </c>
      <c r="I101" s="119">
        <f t="shared" si="8"/>
        <v>0.87673525798525787</v>
      </c>
      <c r="J101" s="160"/>
      <c r="K101" s="160"/>
      <c r="L101" s="160"/>
      <c r="M101" s="160"/>
      <c r="N101" s="160"/>
      <c r="Q101" s="160"/>
      <c r="T101" s="63">
        <v>1</v>
      </c>
    </row>
    <row r="102" spans="3:21" ht="15.75" thickBot="1" x14ac:dyDescent="0.3">
      <c r="C102" s="17"/>
      <c r="D102" s="18"/>
      <c r="E102" s="19">
        <f>SUM(E92:E101)/60</f>
        <v>91.683333333333337</v>
      </c>
      <c r="F102" s="20">
        <f>E102/60</f>
        <v>1.5280555555555557</v>
      </c>
      <c r="G102" s="21"/>
      <c r="I102" s="119"/>
      <c r="J102" s="160"/>
      <c r="K102" s="160"/>
      <c r="L102" s="160"/>
      <c r="M102" s="160"/>
      <c r="N102" s="160"/>
      <c r="Q102" s="160"/>
    </row>
    <row r="103" spans="3:21" x14ac:dyDescent="0.25">
      <c r="C103" s="7">
        <v>91</v>
      </c>
      <c r="D103" s="24" t="s">
        <v>91</v>
      </c>
      <c r="E103" s="16">
        <f>32*60+59</f>
        <v>1979</v>
      </c>
      <c r="F103" s="13"/>
      <c r="G103" s="4" t="s">
        <v>161</v>
      </c>
      <c r="I103" s="119">
        <f>(E103/$G$1)+I101</f>
        <v>0.90712530712530703</v>
      </c>
      <c r="J103" s="160"/>
      <c r="K103" s="160"/>
      <c r="L103" s="160"/>
      <c r="M103" s="160"/>
      <c r="N103" s="160"/>
      <c r="Q103" s="160"/>
      <c r="T103" s="63">
        <v>1</v>
      </c>
    </row>
    <row r="104" spans="3:21" x14ac:dyDescent="0.25">
      <c r="C104" s="6">
        <v>92</v>
      </c>
      <c r="D104" s="9">
        <v>0.79722222222222217</v>
      </c>
      <c r="E104" s="15">
        <f>19*60+8</f>
        <v>1148</v>
      </c>
      <c r="F104" s="12"/>
      <c r="G104" s="3" t="s">
        <v>92</v>
      </c>
      <c r="I104" s="119">
        <f t="shared" ref="I104:I112" si="9">(E104/$G$1)+I103</f>
        <v>0.92475429975429968</v>
      </c>
      <c r="J104" s="160"/>
      <c r="K104" s="160"/>
      <c r="L104" s="160"/>
      <c r="M104" s="160"/>
      <c r="N104" s="160"/>
      <c r="Q104" s="160"/>
      <c r="T104" s="63">
        <v>1</v>
      </c>
    </row>
    <row r="105" spans="3:21" x14ac:dyDescent="0.25">
      <c r="C105" s="6">
        <v>93</v>
      </c>
      <c r="D105" s="9">
        <v>0.4284722222222222</v>
      </c>
      <c r="E105" s="15">
        <f>10*60+17</f>
        <v>617</v>
      </c>
      <c r="F105" s="12"/>
      <c r="G105" s="3" t="s">
        <v>93</v>
      </c>
      <c r="I105" s="119">
        <f t="shared" si="9"/>
        <v>0.93422911547911536</v>
      </c>
      <c r="J105" s="160"/>
      <c r="K105" s="160"/>
      <c r="L105" s="160"/>
      <c r="M105" s="160"/>
      <c r="N105" s="160"/>
      <c r="Q105" s="160"/>
      <c r="T105" s="63">
        <v>1</v>
      </c>
    </row>
    <row r="106" spans="3:21" x14ac:dyDescent="0.25">
      <c r="C106" s="6">
        <v>94</v>
      </c>
      <c r="D106" s="9">
        <v>0.26458333333333334</v>
      </c>
      <c r="E106" s="15">
        <f>6*60+21</f>
        <v>381</v>
      </c>
      <c r="F106" s="12"/>
      <c r="G106" s="3" t="s">
        <v>94</v>
      </c>
      <c r="I106" s="119">
        <f t="shared" si="9"/>
        <v>0.94007985257985249</v>
      </c>
      <c r="J106" s="160"/>
      <c r="K106" s="160"/>
      <c r="L106" s="160"/>
      <c r="M106" s="160"/>
      <c r="N106" s="160"/>
      <c r="Q106" s="160"/>
      <c r="T106" s="63">
        <v>1</v>
      </c>
    </row>
    <row r="107" spans="3:21" x14ac:dyDescent="0.25">
      <c r="C107" s="6">
        <v>95</v>
      </c>
      <c r="D107" s="9">
        <v>0.50763888888888886</v>
      </c>
      <c r="E107" s="15">
        <f>12*60+11</f>
        <v>731</v>
      </c>
      <c r="F107" s="12"/>
      <c r="G107" s="3" t="s">
        <v>95</v>
      </c>
      <c r="I107" s="119">
        <f t="shared" si="9"/>
        <v>0.95130528255528246</v>
      </c>
      <c r="J107" s="160"/>
      <c r="K107" s="160"/>
      <c r="L107" s="160"/>
      <c r="M107" s="160"/>
      <c r="N107" s="160"/>
      <c r="Q107" s="160"/>
      <c r="T107" s="63">
        <v>1</v>
      </c>
    </row>
    <row r="108" spans="3:21" x14ac:dyDescent="0.25">
      <c r="C108" s="6">
        <v>96</v>
      </c>
      <c r="D108" s="9">
        <v>0.14722222222222223</v>
      </c>
      <c r="E108" s="15">
        <f>3*60+32</f>
        <v>212</v>
      </c>
      <c r="F108" s="12"/>
      <c r="G108" s="3" t="s">
        <v>96</v>
      </c>
      <c r="I108" s="119">
        <f t="shared" si="9"/>
        <v>0.95456081081081068</v>
      </c>
      <c r="J108" s="160"/>
      <c r="K108" s="160"/>
      <c r="L108" s="160"/>
      <c r="M108" s="160"/>
      <c r="N108" s="160"/>
      <c r="Q108" s="160"/>
      <c r="T108" s="63">
        <v>1</v>
      </c>
    </row>
    <row r="109" spans="3:21" x14ac:dyDescent="0.25">
      <c r="C109" s="6">
        <v>97</v>
      </c>
      <c r="D109" s="9">
        <v>0.8618055555555556</v>
      </c>
      <c r="E109" s="15">
        <f>20*60+41</f>
        <v>1241</v>
      </c>
      <c r="F109" s="12"/>
      <c r="G109" s="3" t="s">
        <v>97</v>
      </c>
      <c r="I109" s="119">
        <f t="shared" si="9"/>
        <v>0.97361793611793601</v>
      </c>
      <c r="J109" s="160"/>
      <c r="K109" s="160"/>
      <c r="L109" s="160"/>
      <c r="M109" s="160"/>
      <c r="N109" s="160"/>
      <c r="Q109" s="160"/>
      <c r="T109" s="63">
        <v>1</v>
      </c>
    </row>
    <row r="110" spans="3:21" x14ac:dyDescent="0.25">
      <c r="C110" s="6">
        <v>98</v>
      </c>
      <c r="D110" s="9">
        <v>0.55555555555555558</v>
      </c>
      <c r="E110" s="15">
        <f>13*60+20</f>
        <v>800</v>
      </c>
      <c r="F110" s="12"/>
      <c r="G110" s="3" t="s">
        <v>98</v>
      </c>
      <c r="I110" s="119">
        <f t="shared" si="9"/>
        <v>0.98590294840294834</v>
      </c>
      <c r="J110" s="160"/>
      <c r="K110" s="160"/>
      <c r="L110" s="160"/>
      <c r="M110" s="160"/>
      <c r="N110" s="160"/>
      <c r="Q110" s="160"/>
      <c r="T110" s="63">
        <v>1</v>
      </c>
    </row>
    <row r="111" spans="3:21" x14ac:dyDescent="0.25">
      <c r="C111" s="6">
        <v>99</v>
      </c>
      <c r="D111" s="9">
        <v>0.36041666666666666</v>
      </c>
      <c r="E111" s="15">
        <f>8*60+39</f>
        <v>519</v>
      </c>
      <c r="F111" s="12"/>
      <c r="G111" s="3" t="s">
        <v>99</v>
      </c>
      <c r="I111" s="119">
        <f t="shared" si="9"/>
        <v>0.99387285012285009</v>
      </c>
      <c r="J111" s="160"/>
      <c r="K111" s="160"/>
      <c r="L111" s="160"/>
      <c r="M111" s="160"/>
      <c r="N111" s="160"/>
      <c r="Q111" s="160"/>
      <c r="T111" s="63">
        <v>1</v>
      </c>
    </row>
    <row r="112" spans="3:21" x14ac:dyDescent="0.25">
      <c r="C112" s="6">
        <v>100</v>
      </c>
      <c r="D112" s="9">
        <v>0.27708333333333335</v>
      </c>
      <c r="E112" s="15">
        <f>6*60+39</f>
        <v>399</v>
      </c>
      <c r="F112" s="12"/>
      <c r="G112" s="3" t="s">
        <v>100</v>
      </c>
      <c r="I112" s="119">
        <f t="shared" si="9"/>
        <v>1</v>
      </c>
      <c r="J112" s="160"/>
      <c r="K112" s="160"/>
      <c r="L112" s="160"/>
      <c r="M112" s="160"/>
      <c r="N112" s="160"/>
      <c r="Q112" s="160"/>
      <c r="T112" s="63">
        <v>1</v>
      </c>
    </row>
    <row r="113" spans="3:7" ht="15.75" thickBot="1" x14ac:dyDescent="0.3">
      <c r="C113" s="17"/>
      <c r="D113" s="18"/>
      <c r="E113" s="19">
        <f>SUM(E103:E112)/60</f>
        <v>133.78333333333333</v>
      </c>
      <c r="F113" s="20">
        <f>E113/60</f>
        <v>2.2297222222222222</v>
      </c>
      <c r="G113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M87"/>
  <sheetViews>
    <sheetView topLeftCell="A11" workbookViewId="0">
      <selection activeCell="G59" sqref="G59"/>
    </sheetView>
  </sheetViews>
  <sheetFormatPr defaultRowHeight="15" x14ac:dyDescent="0.25"/>
  <cols>
    <col min="3" max="3" width="6.140625" customWidth="1"/>
    <col min="7" max="7" width="75" style="1" customWidth="1"/>
    <col min="11" max="11" width="11.42578125" customWidth="1"/>
  </cols>
  <sheetData>
    <row r="2" spans="3:13" ht="15.75" thickBot="1" x14ac:dyDescent="0.3">
      <c r="C2" s="1" t="s">
        <v>41</v>
      </c>
      <c r="F2" s="23">
        <f>F14+F25+F36+F47+F58+F69+F80+F86</f>
        <v>12.435833333333333</v>
      </c>
    </row>
    <row r="3" spans="3:13" ht="15.75" thickBot="1" x14ac:dyDescent="0.3">
      <c r="C3" s="1"/>
      <c r="F3" s="23"/>
      <c r="I3" s="47" t="s">
        <v>735</v>
      </c>
      <c r="J3" s="74" t="s">
        <v>736</v>
      </c>
      <c r="K3" s="48" t="s">
        <v>782</v>
      </c>
      <c r="L3" s="90" t="s">
        <v>793</v>
      </c>
    </row>
    <row r="4" spans="3:13" x14ac:dyDescent="0.25">
      <c r="C4" s="5">
        <v>1</v>
      </c>
      <c r="D4" s="8">
        <v>0.60347222222222219</v>
      </c>
      <c r="E4" s="14">
        <f>14*60+29</f>
        <v>869</v>
      </c>
      <c r="F4" s="11"/>
      <c r="G4" s="2" t="s">
        <v>101</v>
      </c>
      <c r="I4" s="80">
        <f>E4</f>
        <v>869</v>
      </c>
      <c r="J4" s="81">
        <f>I4/60</f>
        <v>14.483333333333333</v>
      </c>
      <c r="K4" s="83" t="s">
        <v>784</v>
      </c>
      <c r="L4" s="92">
        <v>1</v>
      </c>
      <c r="M4" t="s">
        <v>783</v>
      </c>
    </row>
    <row r="5" spans="3:13" x14ac:dyDescent="0.25">
      <c r="C5" s="6">
        <v>2</v>
      </c>
      <c r="D5" s="9">
        <v>0.25625000000000003</v>
      </c>
      <c r="E5" s="15">
        <f>6*60+9</f>
        <v>369</v>
      </c>
      <c r="F5" s="12"/>
      <c r="G5" s="3" t="s">
        <v>102</v>
      </c>
      <c r="I5" s="51">
        <f>E5+I4</f>
        <v>1238</v>
      </c>
      <c r="J5" s="76">
        <f t="shared" ref="J5:J54" si="0">I5/60</f>
        <v>20.633333333333333</v>
      </c>
      <c r="K5" s="84" t="s">
        <v>784</v>
      </c>
      <c r="L5" s="63"/>
    </row>
    <row r="6" spans="3:13" x14ac:dyDescent="0.25">
      <c r="C6" s="6">
        <v>3</v>
      </c>
      <c r="D6" s="9">
        <v>0.28125</v>
      </c>
      <c r="E6" s="15">
        <f>6*60+45</f>
        <v>405</v>
      </c>
      <c r="F6" s="12"/>
      <c r="G6" s="3" t="s">
        <v>103</v>
      </c>
      <c r="I6" s="51">
        <f t="shared" ref="I6:I13" si="1">E6+I5</f>
        <v>1643</v>
      </c>
      <c r="J6" s="76">
        <f t="shared" si="0"/>
        <v>27.383333333333333</v>
      </c>
      <c r="K6" s="84" t="s">
        <v>784</v>
      </c>
      <c r="L6" s="63"/>
      <c r="M6" t="s">
        <v>785</v>
      </c>
    </row>
    <row r="7" spans="3:13" x14ac:dyDescent="0.25">
      <c r="C7" s="6">
        <v>4</v>
      </c>
      <c r="D7" s="9">
        <v>0.17708333333333334</v>
      </c>
      <c r="E7" s="15">
        <f>4*60+15</f>
        <v>255</v>
      </c>
      <c r="F7" s="12"/>
      <c r="G7" s="3" t="s">
        <v>104</v>
      </c>
      <c r="I7" s="51">
        <f t="shared" si="1"/>
        <v>1898</v>
      </c>
      <c r="J7" s="76">
        <f t="shared" si="0"/>
        <v>31.633333333333333</v>
      </c>
      <c r="K7" s="84" t="s">
        <v>786</v>
      </c>
      <c r="L7" s="63"/>
      <c r="M7" t="s">
        <v>787</v>
      </c>
    </row>
    <row r="8" spans="3:13" x14ac:dyDescent="0.25">
      <c r="C8" s="6">
        <v>5</v>
      </c>
      <c r="D8" s="9">
        <v>0.25069444444444444</v>
      </c>
      <c r="E8" s="15">
        <f>6*60+1</f>
        <v>361</v>
      </c>
      <c r="F8" s="12"/>
      <c r="G8" s="3" t="s">
        <v>105</v>
      </c>
      <c r="I8" s="51">
        <f t="shared" si="1"/>
        <v>2259</v>
      </c>
      <c r="J8" s="76">
        <f t="shared" si="0"/>
        <v>37.65</v>
      </c>
      <c r="K8" s="84" t="s">
        <v>784</v>
      </c>
      <c r="L8" s="63"/>
      <c r="M8" t="s">
        <v>788</v>
      </c>
    </row>
    <row r="9" spans="3:13" x14ac:dyDescent="0.25">
      <c r="C9" s="6">
        <v>6</v>
      </c>
      <c r="D9" s="9">
        <v>0.27013888888888887</v>
      </c>
      <c r="E9" s="15">
        <f>6*60+29</f>
        <v>389</v>
      </c>
      <c r="F9" s="12"/>
      <c r="G9" s="3" t="s">
        <v>106</v>
      </c>
      <c r="I9" s="51">
        <f t="shared" si="1"/>
        <v>2648</v>
      </c>
      <c r="J9" s="76">
        <f t="shared" si="0"/>
        <v>44.133333333333333</v>
      </c>
      <c r="K9" s="84" t="s">
        <v>784</v>
      </c>
      <c r="L9" s="63"/>
      <c r="M9" t="s">
        <v>789</v>
      </c>
    </row>
    <row r="10" spans="3:13" x14ac:dyDescent="0.25">
      <c r="C10" s="6">
        <v>7</v>
      </c>
      <c r="D10" s="9">
        <v>0.40208333333333335</v>
      </c>
      <c r="E10" s="15">
        <f>9*60+39</f>
        <v>579</v>
      </c>
      <c r="F10" s="12"/>
      <c r="G10" s="3" t="s">
        <v>107</v>
      </c>
      <c r="I10" s="51">
        <f t="shared" si="1"/>
        <v>3227</v>
      </c>
      <c r="J10" s="76">
        <f t="shared" si="0"/>
        <v>53.783333333333331</v>
      </c>
      <c r="K10" s="84" t="s">
        <v>784</v>
      </c>
      <c r="L10" s="63"/>
      <c r="M10" t="s">
        <v>790</v>
      </c>
    </row>
    <row r="11" spans="3:13" x14ac:dyDescent="0.25">
      <c r="C11" s="6">
        <v>8</v>
      </c>
      <c r="D11" s="9">
        <v>0.33194444444444443</v>
      </c>
      <c r="E11" s="15">
        <f>7*60+58</f>
        <v>478</v>
      </c>
      <c r="F11" s="12"/>
      <c r="G11" s="3" t="s">
        <v>108</v>
      </c>
      <c r="I11" s="53">
        <f t="shared" si="1"/>
        <v>3705</v>
      </c>
      <c r="J11" s="77">
        <f t="shared" si="0"/>
        <v>61.75</v>
      </c>
      <c r="K11" s="84" t="s">
        <v>784</v>
      </c>
      <c r="L11" s="63"/>
    </row>
    <row r="12" spans="3:13" x14ac:dyDescent="0.25">
      <c r="C12" s="6">
        <v>9</v>
      </c>
      <c r="D12" s="9">
        <v>0.71736111111111101</v>
      </c>
      <c r="E12" s="15">
        <f>17*60+13</f>
        <v>1033</v>
      </c>
      <c r="F12" s="12"/>
      <c r="G12" s="3" t="s">
        <v>109</v>
      </c>
      <c r="I12" s="55">
        <f t="shared" si="1"/>
        <v>4738</v>
      </c>
      <c r="J12" s="59">
        <f t="shared" si="0"/>
        <v>78.966666666666669</v>
      </c>
      <c r="K12" s="85" t="s">
        <v>784</v>
      </c>
      <c r="L12" s="92">
        <v>2</v>
      </c>
    </row>
    <row r="13" spans="3:13" x14ac:dyDescent="0.25">
      <c r="C13" s="6">
        <v>10</v>
      </c>
      <c r="D13" s="9">
        <v>0.4152777777777778</v>
      </c>
      <c r="E13" s="15">
        <f>9*60+58</f>
        <v>598</v>
      </c>
      <c r="F13" s="12"/>
      <c r="G13" s="3" t="s">
        <v>110</v>
      </c>
      <c r="I13" s="55">
        <f t="shared" si="1"/>
        <v>5336</v>
      </c>
      <c r="J13" s="59">
        <f t="shared" si="0"/>
        <v>88.933333333333337</v>
      </c>
      <c r="K13" s="85" t="s">
        <v>784</v>
      </c>
      <c r="L13" s="63"/>
    </row>
    <row r="14" spans="3:13" ht="15.75" thickBot="1" x14ac:dyDescent="0.3">
      <c r="C14" s="17"/>
      <c r="D14" s="18"/>
      <c r="E14" s="19">
        <f>SUM(E4:E13)/60</f>
        <v>88.933333333333337</v>
      </c>
      <c r="F14" s="20">
        <f>E14/60</f>
        <v>1.4822222222222223</v>
      </c>
      <c r="G14" s="21"/>
      <c r="I14" s="55"/>
      <c r="J14" s="59"/>
      <c r="K14" s="85"/>
      <c r="L14" s="63"/>
    </row>
    <row r="15" spans="3:13" x14ac:dyDescent="0.25">
      <c r="C15" s="7">
        <v>11</v>
      </c>
      <c r="D15" s="10">
        <v>0.35486111111111113</v>
      </c>
      <c r="E15" s="16">
        <f>8*60+31</f>
        <v>511</v>
      </c>
      <c r="F15" s="13"/>
      <c r="G15" s="4" t="s">
        <v>111</v>
      </c>
      <c r="I15" s="55">
        <f>E15+I13</f>
        <v>5847</v>
      </c>
      <c r="J15" s="59">
        <f t="shared" si="0"/>
        <v>97.45</v>
      </c>
      <c r="K15" s="85" t="s">
        <v>784</v>
      </c>
      <c r="L15" s="63"/>
    </row>
    <row r="16" spans="3:13" x14ac:dyDescent="0.25">
      <c r="C16" s="6">
        <v>12</v>
      </c>
      <c r="D16" s="9">
        <v>0.55625000000000002</v>
      </c>
      <c r="E16" s="15">
        <f>13*60+21</f>
        <v>801</v>
      </c>
      <c r="F16" s="12"/>
      <c r="G16" s="3" t="s">
        <v>112</v>
      </c>
      <c r="I16" s="55">
        <f>E16+I15</f>
        <v>6648</v>
      </c>
      <c r="J16" s="59">
        <f t="shared" si="0"/>
        <v>110.8</v>
      </c>
      <c r="K16" s="85" t="s">
        <v>784</v>
      </c>
      <c r="L16" s="63"/>
    </row>
    <row r="17" spans="3:13" x14ac:dyDescent="0.25">
      <c r="C17" s="6">
        <v>13</v>
      </c>
      <c r="D17" s="9">
        <v>0.24444444444444446</v>
      </c>
      <c r="E17" s="15">
        <f>5*60+52</f>
        <v>352</v>
      </c>
      <c r="F17" s="12"/>
      <c r="G17" s="3" t="s">
        <v>113</v>
      </c>
      <c r="I17" s="55">
        <f t="shared" ref="I17:I24" si="2">E17+I16</f>
        <v>7000</v>
      </c>
      <c r="J17" s="59">
        <f t="shared" si="0"/>
        <v>116.66666666666667</v>
      </c>
      <c r="K17" s="85" t="s">
        <v>784</v>
      </c>
      <c r="L17" s="63"/>
    </row>
    <row r="18" spans="3:13" x14ac:dyDescent="0.25">
      <c r="C18" s="6">
        <v>14</v>
      </c>
      <c r="D18" s="9">
        <v>0.3756944444444445</v>
      </c>
      <c r="E18" s="15">
        <f>9*60+1</f>
        <v>541</v>
      </c>
      <c r="F18" s="12"/>
      <c r="G18" s="3" t="s">
        <v>114</v>
      </c>
      <c r="I18" s="65">
        <f t="shared" si="2"/>
        <v>7541</v>
      </c>
      <c r="J18" s="75">
        <f t="shared" si="0"/>
        <v>125.68333333333334</v>
      </c>
      <c r="K18" s="85" t="s">
        <v>784</v>
      </c>
      <c r="L18" s="63"/>
    </row>
    <row r="19" spans="3:13" x14ac:dyDescent="0.25">
      <c r="C19" s="6">
        <v>15</v>
      </c>
      <c r="D19" s="9">
        <v>0.42986111111111108</v>
      </c>
      <c r="E19" s="15">
        <f>10*60+19</f>
        <v>619</v>
      </c>
      <c r="F19" s="12"/>
      <c r="G19" s="3" t="s">
        <v>115</v>
      </c>
      <c r="I19" s="51">
        <f t="shared" si="2"/>
        <v>8160</v>
      </c>
      <c r="J19" s="76">
        <f t="shared" si="0"/>
        <v>136</v>
      </c>
      <c r="K19" s="86" t="s">
        <v>784</v>
      </c>
      <c r="L19" s="93">
        <v>3</v>
      </c>
    </row>
    <row r="20" spans="3:13" x14ac:dyDescent="0.25">
      <c r="C20" s="6">
        <v>16</v>
      </c>
      <c r="D20" s="9">
        <v>0.48333333333333334</v>
      </c>
      <c r="E20" s="15">
        <f>11*60+36</f>
        <v>696</v>
      </c>
      <c r="F20" s="12"/>
      <c r="G20" s="3" t="s">
        <v>116</v>
      </c>
      <c r="I20" s="51">
        <f t="shared" si="2"/>
        <v>8856</v>
      </c>
      <c r="J20" s="76">
        <f t="shared" si="0"/>
        <v>147.6</v>
      </c>
      <c r="K20" s="86" t="s">
        <v>784</v>
      </c>
      <c r="L20" s="91"/>
      <c r="M20" t="s">
        <v>791</v>
      </c>
    </row>
    <row r="21" spans="3:13" x14ac:dyDescent="0.25">
      <c r="C21" s="6">
        <v>17</v>
      </c>
      <c r="D21" s="9">
        <v>0.38611111111111113</v>
      </c>
      <c r="E21" s="15">
        <f>9*60+16</f>
        <v>556</v>
      </c>
      <c r="F21" s="12"/>
      <c r="G21" s="3" t="s">
        <v>117</v>
      </c>
      <c r="I21" s="51">
        <f t="shared" si="2"/>
        <v>9412</v>
      </c>
      <c r="J21" s="76">
        <f t="shared" si="0"/>
        <v>156.86666666666667</v>
      </c>
      <c r="K21" s="86" t="s">
        <v>784</v>
      </c>
      <c r="L21" s="91"/>
    </row>
    <row r="22" spans="3:13" x14ac:dyDescent="0.25">
      <c r="C22" s="6">
        <v>18</v>
      </c>
      <c r="D22" s="9">
        <v>0.41736111111111113</v>
      </c>
      <c r="E22" s="15">
        <f>10*60+1</f>
        <v>601</v>
      </c>
      <c r="F22" s="12"/>
      <c r="G22" s="3" t="s">
        <v>118</v>
      </c>
      <c r="I22" s="51">
        <f t="shared" si="2"/>
        <v>10013</v>
      </c>
      <c r="J22" s="76">
        <f t="shared" si="0"/>
        <v>166.88333333333333</v>
      </c>
      <c r="K22" s="86" t="s">
        <v>784</v>
      </c>
      <c r="L22" s="91"/>
      <c r="M22" t="s">
        <v>792</v>
      </c>
    </row>
    <row r="23" spans="3:13" x14ac:dyDescent="0.25">
      <c r="C23" s="6">
        <v>19</v>
      </c>
      <c r="D23" s="9">
        <v>0.50069444444444444</v>
      </c>
      <c r="E23" s="15">
        <f>12*60+1</f>
        <v>721</v>
      </c>
      <c r="F23" s="12"/>
      <c r="G23" s="3" t="s">
        <v>119</v>
      </c>
      <c r="I23" s="51">
        <f t="shared" si="2"/>
        <v>10734</v>
      </c>
      <c r="J23" s="76">
        <f t="shared" si="0"/>
        <v>178.9</v>
      </c>
      <c r="K23" s="86" t="s">
        <v>784</v>
      </c>
      <c r="L23" s="91"/>
    </row>
    <row r="24" spans="3:13" x14ac:dyDescent="0.25">
      <c r="C24" s="6">
        <v>20</v>
      </c>
      <c r="D24" s="9">
        <v>0.37291666666666662</v>
      </c>
      <c r="E24" s="15">
        <f>8*60+57</f>
        <v>537</v>
      </c>
      <c r="F24" s="12"/>
      <c r="G24" s="3" t="s">
        <v>120</v>
      </c>
      <c r="I24" s="95">
        <f t="shared" si="2"/>
        <v>11271</v>
      </c>
      <c r="J24" s="96">
        <f t="shared" si="0"/>
        <v>187.85</v>
      </c>
      <c r="K24" s="86" t="s">
        <v>784</v>
      </c>
      <c r="L24" s="91"/>
    </row>
    <row r="25" spans="3:13" ht="15.75" thickBot="1" x14ac:dyDescent="0.3">
      <c r="C25" s="17"/>
      <c r="D25" s="18"/>
      <c r="E25" s="19">
        <f>SUM(E15:E24)/60</f>
        <v>98.916666666666671</v>
      </c>
      <c r="F25" s="20">
        <f>E25/60</f>
        <v>1.6486111111111112</v>
      </c>
      <c r="G25" s="21"/>
      <c r="I25" s="82"/>
      <c r="J25" s="78"/>
      <c r="K25" s="87"/>
      <c r="L25" s="91"/>
    </row>
    <row r="26" spans="3:13" x14ac:dyDescent="0.25">
      <c r="C26" s="5">
        <v>21</v>
      </c>
      <c r="D26" s="8">
        <v>0.3576388888888889</v>
      </c>
      <c r="E26" s="14">
        <f>8*60+35</f>
        <v>515</v>
      </c>
      <c r="F26" s="11"/>
      <c r="G26" s="2" t="s">
        <v>138</v>
      </c>
      <c r="I26" s="55">
        <f>E26+I24</f>
        <v>11786</v>
      </c>
      <c r="J26" s="59">
        <f t="shared" si="0"/>
        <v>196.43333333333334</v>
      </c>
      <c r="K26" s="88" t="s">
        <v>784</v>
      </c>
      <c r="L26" s="93">
        <v>4</v>
      </c>
    </row>
    <row r="27" spans="3:13" x14ac:dyDescent="0.25">
      <c r="C27" s="6">
        <v>22</v>
      </c>
      <c r="D27" s="9">
        <v>0.46458333333333335</v>
      </c>
      <c r="E27" s="15">
        <f>11*60+9</f>
        <v>669</v>
      </c>
      <c r="F27" s="12"/>
      <c r="G27" s="3" t="s">
        <v>139</v>
      </c>
      <c r="I27" s="55">
        <f>E27+I26</f>
        <v>12455</v>
      </c>
      <c r="J27" s="59">
        <f t="shared" si="0"/>
        <v>207.58333333333334</v>
      </c>
      <c r="K27" s="88" t="s">
        <v>786</v>
      </c>
      <c r="L27" s="91"/>
    </row>
    <row r="28" spans="3:13" x14ac:dyDescent="0.25">
      <c r="C28" s="6">
        <v>23</v>
      </c>
      <c r="D28" s="9">
        <v>0.5625</v>
      </c>
      <c r="E28" s="15">
        <f>13*60+30</f>
        <v>810</v>
      </c>
      <c r="F28" s="12"/>
      <c r="G28" s="3" t="s">
        <v>140</v>
      </c>
      <c r="I28" s="55">
        <f>E28+I27</f>
        <v>13265</v>
      </c>
      <c r="J28" s="59">
        <f t="shared" si="0"/>
        <v>221.08333333333334</v>
      </c>
      <c r="K28" s="88" t="s">
        <v>784</v>
      </c>
      <c r="L28" s="91"/>
    </row>
    <row r="29" spans="3:13" x14ac:dyDescent="0.25">
      <c r="C29" s="6">
        <v>24</v>
      </c>
      <c r="D29" s="9">
        <v>0.27916666666666667</v>
      </c>
      <c r="E29" s="15">
        <f>6*60+42</f>
        <v>402</v>
      </c>
      <c r="F29" s="12"/>
      <c r="G29" s="3" t="s">
        <v>141</v>
      </c>
      <c r="I29" s="65">
        <f>E29+I28</f>
        <v>13667</v>
      </c>
      <c r="J29" s="75">
        <f t="shared" si="0"/>
        <v>227.78333333333333</v>
      </c>
      <c r="K29" s="88" t="s">
        <v>784</v>
      </c>
      <c r="L29" s="91"/>
    </row>
    <row r="30" spans="3:13" x14ac:dyDescent="0.25">
      <c r="C30" s="6">
        <v>25</v>
      </c>
      <c r="D30" s="9">
        <v>0.45902777777777781</v>
      </c>
      <c r="E30" s="15">
        <f>11*60+1</f>
        <v>661</v>
      </c>
      <c r="F30" s="12"/>
      <c r="G30" s="3" t="s">
        <v>142</v>
      </c>
      <c r="I30" s="65">
        <f t="shared" ref="I30:I35" si="3">E30+I29</f>
        <v>14328</v>
      </c>
      <c r="J30" s="75">
        <f t="shared" si="0"/>
        <v>238.8</v>
      </c>
      <c r="K30" s="88" t="s">
        <v>784</v>
      </c>
      <c r="M30" s="94" t="s">
        <v>794</v>
      </c>
    </row>
    <row r="31" spans="3:13" x14ac:dyDescent="0.25">
      <c r="C31" s="6">
        <v>26</v>
      </c>
      <c r="D31" s="9">
        <v>0.51666666666666672</v>
      </c>
      <c r="E31" s="15">
        <f>12*60+24</f>
        <v>744</v>
      </c>
      <c r="F31" s="12"/>
      <c r="G31" s="3" t="s">
        <v>143</v>
      </c>
      <c r="I31" s="55">
        <f t="shared" si="3"/>
        <v>15072</v>
      </c>
      <c r="J31" s="59">
        <f t="shared" si="0"/>
        <v>251.2</v>
      </c>
      <c r="K31" s="88" t="s">
        <v>784</v>
      </c>
      <c r="M31" t="s">
        <v>795</v>
      </c>
    </row>
    <row r="32" spans="3:13" x14ac:dyDescent="0.25">
      <c r="C32" s="6">
        <v>27</v>
      </c>
      <c r="D32" s="9">
        <v>0.23750000000000002</v>
      </c>
      <c r="E32" s="15">
        <f>5*60+42</f>
        <v>342</v>
      </c>
      <c r="F32" s="12"/>
      <c r="G32" s="3" t="s">
        <v>144</v>
      </c>
      <c r="I32" s="51">
        <f t="shared" si="3"/>
        <v>15414</v>
      </c>
      <c r="J32" s="76">
        <f t="shared" si="0"/>
        <v>256.89999999999998</v>
      </c>
      <c r="K32" s="86" t="s">
        <v>796</v>
      </c>
      <c r="L32" s="93">
        <v>5</v>
      </c>
      <c r="M32" t="s">
        <v>797</v>
      </c>
    </row>
    <row r="33" spans="3:13" x14ac:dyDescent="0.25">
      <c r="C33" s="6">
        <v>28</v>
      </c>
      <c r="D33" s="9">
        <v>0.28958333333333336</v>
      </c>
      <c r="E33" s="15">
        <f>6*60+57</f>
        <v>417</v>
      </c>
      <c r="F33" s="12"/>
      <c r="G33" s="3" t="s">
        <v>145</v>
      </c>
      <c r="I33" s="51">
        <f t="shared" si="3"/>
        <v>15831</v>
      </c>
      <c r="J33" s="76">
        <f t="shared" si="0"/>
        <v>263.85000000000002</v>
      </c>
      <c r="K33" s="86" t="s">
        <v>796</v>
      </c>
      <c r="L33" s="91"/>
    </row>
    <row r="34" spans="3:13" x14ac:dyDescent="0.25">
      <c r="C34" s="6">
        <v>29</v>
      </c>
      <c r="D34" s="9">
        <v>0.42291666666666666</v>
      </c>
      <c r="E34" s="15">
        <f>10*60+9</f>
        <v>609</v>
      </c>
      <c r="F34" s="12"/>
      <c r="G34" s="3" t="s">
        <v>146</v>
      </c>
      <c r="I34" s="51">
        <f t="shared" si="3"/>
        <v>16440</v>
      </c>
      <c r="J34" s="76">
        <f t="shared" si="0"/>
        <v>274</v>
      </c>
      <c r="K34" s="86" t="s">
        <v>784</v>
      </c>
      <c r="L34" s="91"/>
    </row>
    <row r="35" spans="3:13" x14ac:dyDescent="0.25">
      <c r="C35" s="6">
        <v>30</v>
      </c>
      <c r="D35" s="9">
        <v>0.2388888888888889</v>
      </c>
      <c r="E35" s="15">
        <f>5*60+44</f>
        <v>344</v>
      </c>
      <c r="F35" s="12"/>
      <c r="G35" s="3" t="s">
        <v>147</v>
      </c>
      <c r="I35" s="51">
        <f t="shared" si="3"/>
        <v>16784</v>
      </c>
      <c r="J35" s="76">
        <f t="shared" si="0"/>
        <v>279.73333333333335</v>
      </c>
      <c r="K35" s="86" t="s">
        <v>784</v>
      </c>
      <c r="L35" s="91"/>
    </row>
    <row r="36" spans="3:13" ht="15.75" thickBot="1" x14ac:dyDescent="0.3">
      <c r="C36" s="17"/>
      <c r="D36" s="18"/>
      <c r="E36" s="19">
        <f>SUM(E26:E35)/60</f>
        <v>91.88333333333334</v>
      </c>
      <c r="F36" s="20">
        <f>E36/60</f>
        <v>1.5313888888888889</v>
      </c>
      <c r="G36" s="21"/>
      <c r="I36" s="82"/>
      <c r="J36" s="78"/>
      <c r="K36" s="87"/>
      <c r="L36" s="91"/>
    </row>
    <row r="37" spans="3:13" x14ac:dyDescent="0.25">
      <c r="C37" s="7">
        <v>31</v>
      </c>
      <c r="D37" s="10">
        <v>0.4291666666666667</v>
      </c>
      <c r="E37" s="16">
        <f>10*60+18</f>
        <v>618</v>
      </c>
      <c r="F37" s="13"/>
      <c r="G37" s="4" t="s">
        <v>432</v>
      </c>
      <c r="I37" s="89">
        <f>E37+I35</f>
        <v>17402</v>
      </c>
      <c r="J37" s="76">
        <f t="shared" si="0"/>
        <v>290.03333333333336</v>
      </c>
      <c r="K37" s="86" t="s">
        <v>784</v>
      </c>
      <c r="L37" s="91"/>
      <c r="M37" t="s">
        <v>798</v>
      </c>
    </row>
    <row r="38" spans="3:13" x14ac:dyDescent="0.25">
      <c r="C38" s="6">
        <v>32</v>
      </c>
      <c r="D38" s="9">
        <v>0.28958333333333336</v>
      </c>
      <c r="E38" s="15">
        <f>6*60+57</f>
        <v>417</v>
      </c>
      <c r="F38" s="12"/>
      <c r="G38" s="3" t="s">
        <v>433</v>
      </c>
      <c r="I38" s="97">
        <f>E38+I37</f>
        <v>17819</v>
      </c>
      <c r="J38" s="96">
        <f t="shared" si="0"/>
        <v>296.98333333333335</v>
      </c>
      <c r="K38" s="86" t="s">
        <v>786</v>
      </c>
      <c r="L38" s="91"/>
      <c r="M38" t="s">
        <v>799</v>
      </c>
    </row>
    <row r="39" spans="3:13" x14ac:dyDescent="0.25">
      <c r="C39" s="6">
        <v>33</v>
      </c>
      <c r="D39" s="9">
        <v>0.60277777777777775</v>
      </c>
      <c r="E39" s="15">
        <f>14*60+28</f>
        <v>868</v>
      </c>
      <c r="F39" s="12"/>
      <c r="G39" s="3" t="s">
        <v>434</v>
      </c>
      <c r="I39" s="89">
        <f t="shared" ref="I39:I46" si="4">E39+I38</f>
        <v>18687</v>
      </c>
      <c r="J39" s="76">
        <f t="shared" si="0"/>
        <v>311.45</v>
      </c>
      <c r="K39" s="86" t="s">
        <v>786</v>
      </c>
      <c r="M39" t="s">
        <v>800</v>
      </c>
    </row>
    <row r="40" spans="3:13" x14ac:dyDescent="0.25">
      <c r="C40" s="6">
        <v>34</v>
      </c>
      <c r="D40" s="9">
        <v>0.65763888888888888</v>
      </c>
      <c r="E40" s="15">
        <f>15*60+47</f>
        <v>947</v>
      </c>
      <c r="F40" s="12"/>
      <c r="G40" s="3" t="s">
        <v>435</v>
      </c>
      <c r="I40" s="57">
        <f t="shared" si="4"/>
        <v>19634</v>
      </c>
      <c r="J40" s="59">
        <f t="shared" si="0"/>
        <v>327.23333333333335</v>
      </c>
      <c r="K40" s="88" t="s">
        <v>786</v>
      </c>
      <c r="L40" s="93">
        <v>6</v>
      </c>
      <c r="M40" t="s">
        <v>801</v>
      </c>
    </row>
    <row r="41" spans="3:13" x14ac:dyDescent="0.25">
      <c r="C41" s="6">
        <v>35</v>
      </c>
      <c r="D41" s="9">
        <v>0.71666666666666667</v>
      </c>
      <c r="E41" s="15">
        <f>17*60+12</f>
        <v>1032</v>
      </c>
      <c r="F41" s="12"/>
      <c r="G41" s="3" t="s">
        <v>436</v>
      </c>
      <c r="I41" s="57">
        <f t="shared" si="4"/>
        <v>20666</v>
      </c>
      <c r="J41" s="59">
        <f t="shared" si="0"/>
        <v>344.43333333333334</v>
      </c>
      <c r="K41" s="88" t="s">
        <v>786</v>
      </c>
      <c r="L41" s="91"/>
      <c r="M41" s="25" t="s">
        <v>891</v>
      </c>
    </row>
    <row r="42" spans="3:13" x14ac:dyDescent="0.25">
      <c r="C42" s="6">
        <v>36</v>
      </c>
      <c r="D42" s="9">
        <v>0.71319444444444446</v>
      </c>
      <c r="E42" s="15">
        <f>17*60+7</f>
        <v>1027</v>
      </c>
      <c r="F42" s="12"/>
      <c r="G42" s="3" t="s">
        <v>437</v>
      </c>
      <c r="I42" s="57">
        <f t="shared" si="4"/>
        <v>21693</v>
      </c>
      <c r="J42" s="59">
        <f t="shared" si="0"/>
        <v>361.55</v>
      </c>
      <c r="K42" s="88" t="s">
        <v>786</v>
      </c>
      <c r="L42" s="91"/>
    </row>
    <row r="43" spans="3:13" x14ac:dyDescent="0.25">
      <c r="C43" s="6">
        <v>37</v>
      </c>
      <c r="D43" s="9">
        <v>0.42986111111111108</v>
      </c>
      <c r="E43" s="15">
        <f>10*60+19</f>
        <v>619</v>
      </c>
      <c r="F43" s="12"/>
      <c r="G43" s="3" t="s">
        <v>438</v>
      </c>
      <c r="I43" s="89">
        <f t="shared" si="4"/>
        <v>22312</v>
      </c>
      <c r="J43" s="76">
        <f t="shared" si="0"/>
        <v>371.86666666666667</v>
      </c>
      <c r="K43" s="86" t="s">
        <v>786</v>
      </c>
      <c r="L43" s="93">
        <v>7</v>
      </c>
      <c r="M43" t="s">
        <v>892</v>
      </c>
    </row>
    <row r="44" spans="3:13" x14ac:dyDescent="0.25">
      <c r="C44" s="6">
        <v>38</v>
      </c>
      <c r="D44" s="9">
        <v>0.49305555555555558</v>
      </c>
      <c r="E44" s="15">
        <f>11*60+50</f>
        <v>710</v>
      </c>
      <c r="F44" s="12"/>
      <c r="G44" s="3" t="s">
        <v>439</v>
      </c>
      <c r="I44" s="89">
        <f t="shared" si="4"/>
        <v>23022</v>
      </c>
      <c r="J44" s="76">
        <f t="shared" si="0"/>
        <v>383.7</v>
      </c>
      <c r="K44" s="86" t="s">
        <v>786</v>
      </c>
      <c r="L44" s="91"/>
      <c r="M44" t="s">
        <v>893</v>
      </c>
    </row>
    <row r="45" spans="3:13" x14ac:dyDescent="0.25">
      <c r="C45" s="6">
        <v>39</v>
      </c>
      <c r="D45" s="9">
        <v>0.47083333333333338</v>
      </c>
      <c r="E45" s="15">
        <f>11*60+18</f>
        <v>678</v>
      </c>
      <c r="F45" s="12"/>
      <c r="G45" s="3" t="s">
        <v>440</v>
      </c>
      <c r="I45" s="89">
        <f t="shared" si="4"/>
        <v>23700</v>
      </c>
      <c r="J45" s="76">
        <f t="shared" si="0"/>
        <v>395</v>
      </c>
      <c r="K45" s="86" t="s">
        <v>786</v>
      </c>
      <c r="L45" s="91"/>
    </row>
    <row r="46" spans="3:13" x14ac:dyDescent="0.25">
      <c r="C46" s="6">
        <v>40</v>
      </c>
      <c r="D46" s="9">
        <v>0.625</v>
      </c>
      <c r="E46" s="15">
        <f>15*60</f>
        <v>900</v>
      </c>
      <c r="F46" s="12"/>
      <c r="G46" s="3" t="s">
        <v>441</v>
      </c>
      <c r="I46" s="89">
        <f t="shared" si="4"/>
        <v>24600</v>
      </c>
      <c r="J46" s="76">
        <f t="shared" si="0"/>
        <v>410</v>
      </c>
      <c r="K46" s="86" t="s">
        <v>786</v>
      </c>
      <c r="L46" s="91"/>
    </row>
    <row r="47" spans="3:13" ht="15.75" thickBot="1" x14ac:dyDescent="0.3">
      <c r="C47" s="17"/>
      <c r="D47" s="18"/>
      <c r="E47" s="19">
        <f>SUM(E37:E46)/60</f>
        <v>130.26666666666668</v>
      </c>
      <c r="F47" s="20">
        <f>E47/60</f>
        <v>2.1711111111111112</v>
      </c>
      <c r="G47" s="21"/>
      <c r="I47" s="89"/>
      <c r="J47" s="76"/>
      <c r="K47" s="86"/>
      <c r="L47" s="91"/>
    </row>
    <row r="48" spans="3:13" x14ac:dyDescent="0.25">
      <c r="C48" s="7">
        <v>41</v>
      </c>
      <c r="D48" s="10">
        <v>0.54999999999999993</v>
      </c>
      <c r="E48" s="16">
        <f>13*60+12</f>
        <v>792</v>
      </c>
      <c r="F48" s="13"/>
      <c r="G48" s="4" t="s">
        <v>442</v>
      </c>
      <c r="I48" s="51">
        <f>E48+I46</f>
        <v>25392</v>
      </c>
      <c r="J48" s="76">
        <f t="shared" si="0"/>
        <v>423.2</v>
      </c>
      <c r="K48" s="86" t="s">
        <v>786</v>
      </c>
      <c r="L48" s="91"/>
    </row>
    <row r="49" spans="3:13" x14ac:dyDescent="0.25">
      <c r="C49" s="6">
        <v>42</v>
      </c>
      <c r="D49" s="9">
        <v>0.3576388888888889</v>
      </c>
      <c r="E49" s="15">
        <f>8*60+35</f>
        <v>515</v>
      </c>
      <c r="F49" s="12"/>
      <c r="G49" s="3" t="s">
        <v>443</v>
      </c>
      <c r="I49" s="51">
        <f>E49+I48</f>
        <v>25907</v>
      </c>
      <c r="J49" s="76">
        <f t="shared" si="0"/>
        <v>431.78333333333336</v>
      </c>
      <c r="K49" s="86" t="s">
        <v>786</v>
      </c>
      <c r="L49" s="91"/>
    </row>
    <row r="50" spans="3:13" x14ac:dyDescent="0.25">
      <c r="C50" s="6">
        <v>43</v>
      </c>
      <c r="D50" s="9">
        <v>0.24861111111111112</v>
      </c>
      <c r="E50" s="15">
        <f>5*60+58</f>
        <v>358</v>
      </c>
      <c r="F50" s="12"/>
      <c r="G50" s="3" t="s">
        <v>444</v>
      </c>
      <c r="I50" s="51">
        <f t="shared" ref="I50:I52" si="5">E50+I49</f>
        <v>26265</v>
      </c>
      <c r="J50" s="76">
        <f t="shared" si="0"/>
        <v>437.75</v>
      </c>
      <c r="K50" s="86" t="s">
        <v>786</v>
      </c>
      <c r="L50" s="91"/>
    </row>
    <row r="51" spans="3:13" x14ac:dyDescent="0.25">
      <c r="C51" s="6">
        <v>44</v>
      </c>
      <c r="D51" s="9">
        <v>0.47986111111111113</v>
      </c>
      <c r="E51" s="15">
        <f>11*60+31</f>
        <v>691</v>
      </c>
      <c r="F51" s="12"/>
      <c r="G51" s="3" t="s">
        <v>445</v>
      </c>
      <c r="I51" s="51">
        <f t="shared" si="5"/>
        <v>26956</v>
      </c>
      <c r="J51" s="76">
        <f t="shared" si="0"/>
        <v>449.26666666666665</v>
      </c>
      <c r="K51" s="86" t="s">
        <v>786</v>
      </c>
    </row>
    <row r="52" spans="3:13" x14ac:dyDescent="0.25">
      <c r="C52" s="6">
        <v>45</v>
      </c>
      <c r="D52" s="9">
        <v>0.29722222222222222</v>
      </c>
      <c r="E52" s="15">
        <f>7*60+8</f>
        <v>428</v>
      </c>
      <c r="F52" s="12"/>
      <c r="G52" s="3" t="s">
        <v>446</v>
      </c>
      <c r="I52" s="55">
        <f t="shared" si="5"/>
        <v>27384</v>
      </c>
      <c r="J52" s="59">
        <f t="shared" si="0"/>
        <v>456.4</v>
      </c>
      <c r="K52" s="88" t="s">
        <v>786</v>
      </c>
      <c r="L52" s="93">
        <v>8</v>
      </c>
    </row>
    <row r="53" spans="3:13" x14ac:dyDescent="0.25">
      <c r="C53" s="6">
        <v>46</v>
      </c>
      <c r="D53" s="9">
        <v>0.49513888888888885</v>
      </c>
      <c r="E53" s="15">
        <f>11*60+53</f>
        <v>713</v>
      </c>
      <c r="F53" s="12"/>
      <c r="G53" s="3" t="s">
        <v>447</v>
      </c>
      <c r="I53" s="55">
        <f>E53+I52</f>
        <v>28097</v>
      </c>
      <c r="J53" s="59">
        <f t="shared" si="0"/>
        <v>468.28333333333336</v>
      </c>
      <c r="K53" s="88" t="s">
        <v>796</v>
      </c>
      <c r="L53" s="91"/>
      <c r="M53" t="s">
        <v>894</v>
      </c>
    </row>
    <row r="54" spans="3:13" x14ac:dyDescent="0.25">
      <c r="C54" s="6">
        <v>47</v>
      </c>
      <c r="D54" s="9">
        <v>0.37777777777777777</v>
      </c>
      <c r="E54" s="15">
        <f>9*60+4</f>
        <v>544</v>
      </c>
      <c r="F54" s="12"/>
      <c r="G54" s="3" t="s">
        <v>448</v>
      </c>
      <c r="I54" s="65">
        <f t="shared" ref="I54" si="6">E54+I53</f>
        <v>28641</v>
      </c>
      <c r="J54" s="75">
        <f t="shared" si="0"/>
        <v>477.35</v>
      </c>
      <c r="K54" s="88" t="s">
        <v>786</v>
      </c>
      <c r="L54" s="91"/>
    </row>
    <row r="55" spans="3:13" x14ac:dyDescent="0.25">
      <c r="C55" s="6">
        <v>48</v>
      </c>
      <c r="D55" s="9">
        <v>0.51180555555555551</v>
      </c>
      <c r="E55" s="15">
        <f>12*60+17</f>
        <v>737</v>
      </c>
      <c r="F55" s="12"/>
      <c r="G55" s="3" t="s">
        <v>449</v>
      </c>
      <c r="I55" s="65">
        <f t="shared" ref="I55:I56" si="7">E55+I54</f>
        <v>29378</v>
      </c>
      <c r="J55" s="75">
        <f t="shared" ref="J55:J56" si="8">I55/60</f>
        <v>489.63333333333333</v>
      </c>
      <c r="K55" s="88" t="s">
        <v>786</v>
      </c>
      <c r="L55" s="91"/>
    </row>
    <row r="56" spans="3:13" x14ac:dyDescent="0.25">
      <c r="C56" s="6">
        <v>49</v>
      </c>
      <c r="D56" s="9">
        <v>0.31666666666666665</v>
      </c>
      <c r="E56" s="15">
        <f>7*60+36</f>
        <v>456</v>
      </c>
      <c r="F56" s="12"/>
      <c r="G56" s="3" t="s">
        <v>450</v>
      </c>
      <c r="I56" s="95">
        <f t="shared" si="7"/>
        <v>29834</v>
      </c>
      <c r="J56" s="96">
        <f t="shared" si="8"/>
        <v>497.23333333333335</v>
      </c>
      <c r="K56" s="86" t="s">
        <v>786</v>
      </c>
      <c r="L56" s="93">
        <v>9</v>
      </c>
    </row>
    <row r="57" spans="3:13" x14ac:dyDescent="0.25">
      <c r="C57" s="6">
        <v>50</v>
      </c>
      <c r="D57" s="9">
        <v>0.47222222222222227</v>
      </c>
      <c r="E57" s="15">
        <f>11*60+20</f>
        <v>680</v>
      </c>
      <c r="F57" s="12"/>
      <c r="G57" s="3" t="s">
        <v>451</v>
      </c>
      <c r="I57" s="95">
        <f t="shared" ref="I57" si="9">E57+I56</f>
        <v>30514</v>
      </c>
      <c r="J57" s="96">
        <f t="shared" ref="J57:J66" si="10">I57/60</f>
        <v>508.56666666666666</v>
      </c>
      <c r="K57" s="86" t="s">
        <v>786</v>
      </c>
      <c r="L57" s="91"/>
      <c r="M57" t="s">
        <v>895</v>
      </c>
    </row>
    <row r="58" spans="3:13" ht="15.75" thickBot="1" x14ac:dyDescent="0.3">
      <c r="C58" s="17"/>
      <c r="D58" s="18"/>
      <c r="E58" s="19">
        <f>SUM(E48:E57)/60</f>
        <v>98.566666666666663</v>
      </c>
      <c r="F58" s="20">
        <f>E58/60</f>
        <v>1.6427777777777777</v>
      </c>
      <c r="G58" s="21"/>
      <c r="I58" s="51"/>
      <c r="J58" s="96"/>
      <c r="K58" s="86"/>
      <c r="L58" s="91"/>
    </row>
    <row r="59" spans="3:13" x14ac:dyDescent="0.25">
      <c r="C59" s="7">
        <v>51</v>
      </c>
      <c r="D59" s="10">
        <v>0.23958333333333334</v>
      </c>
      <c r="E59" s="16">
        <f>5*60+45</f>
        <v>345</v>
      </c>
      <c r="F59" s="13"/>
      <c r="G59" s="4" t="s">
        <v>452</v>
      </c>
      <c r="I59" s="51">
        <f>E59+I57</f>
        <v>30859</v>
      </c>
      <c r="J59" s="96">
        <f t="shared" si="10"/>
        <v>514.31666666666672</v>
      </c>
      <c r="K59" s="86" t="s">
        <v>784</v>
      </c>
      <c r="L59" s="98"/>
    </row>
    <row r="60" spans="3:13" x14ac:dyDescent="0.25">
      <c r="C60" s="6">
        <v>52</v>
      </c>
      <c r="D60" s="9">
        <v>0.29375000000000001</v>
      </c>
      <c r="E60" s="15">
        <f>7*60+3</f>
        <v>423</v>
      </c>
      <c r="F60" s="12"/>
      <c r="G60" s="3" t="s">
        <v>453</v>
      </c>
      <c r="I60" s="51">
        <f>E59+I59</f>
        <v>31204</v>
      </c>
      <c r="J60" s="96">
        <f t="shared" si="10"/>
        <v>520.06666666666672</v>
      </c>
      <c r="K60" s="86" t="s">
        <v>786</v>
      </c>
      <c r="L60" s="91"/>
    </row>
    <row r="61" spans="3:13" x14ac:dyDescent="0.25">
      <c r="C61" s="7">
        <v>53</v>
      </c>
      <c r="D61" s="9">
        <v>0.35625000000000001</v>
      </c>
      <c r="E61" s="15">
        <f>8*60+33</f>
        <v>513</v>
      </c>
      <c r="F61" s="12"/>
      <c r="G61" s="3" t="s">
        <v>454</v>
      </c>
      <c r="I61" s="51">
        <f t="shared" ref="I61:I66" si="11">E60+I60</f>
        <v>31627</v>
      </c>
      <c r="J61" s="96">
        <f t="shared" si="10"/>
        <v>527.11666666666667</v>
      </c>
      <c r="K61" s="86" t="s">
        <v>786</v>
      </c>
      <c r="L61" s="91"/>
      <c r="M61" s="25" t="s">
        <v>896</v>
      </c>
    </row>
    <row r="62" spans="3:13" x14ac:dyDescent="0.25">
      <c r="C62" s="6">
        <v>54</v>
      </c>
      <c r="D62" s="9">
        <v>0.20694444444444446</v>
      </c>
      <c r="E62" s="15">
        <f>4*60+58</f>
        <v>298</v>
      </c>
      <c r="F62" s="12"/>
      <c r="G62" s="3" t="s">
        <v>455</v>
      </c>
      <c r="I62" s="51">
        <f t="shared" si="11"/>
        <v>32140</v>
      </c>
      <c r="J62" s="96">
        <f t="shared" si="10"/>
        <v>535.66666666666663</v>
      </c>
      <c r="K62" s="86" t="s">
        <v>786</v>
      </c>
      <c r="L62" s="91"/>
    </row>
    <row r="63" spans="3:13" x14ac:dyDescent="0.25">
      <c r="C63" s="7">
        <v>55</v>
      </c>
      <c r="D63" s="9">
        <v>0.4770833333333333</v>
      </c>
      <c r="E63" s="15">
        <f>11*60+27</f>
        <v>687</v>
      </c>
      <c r="F63" s="12"/>
      <c r="G63" s="3" t="s">
        <v>456</v>
      </c>
      <c r="I63" s="51">
        <f t="shared" si="11"/>
        <v>32438</v>
      </c>
      <c r="J63" s="96">
        <f t="shared" si="10"/>
        <v>540.63333333333333</v>
      </c>
      <c r="K63" s="86" t="s">
        <v>786</v>
      </c>
      <c r="L63" s="91"/>
      <c r="M63" t="s">
        <v>897</v>
      </c>
    </row>
    <row r="64" spans="3:13" x14ac:dyDescent="0.25">
      <c r="C64" s="6">
        <v>56</v>
      </c>
      <c r="D64" s="9">
        <v>0.36527777777777781</v>
      </c>
      <c r="E64" s="15">
        <f>8*60+46</f>
        <v>526</v>
      </c>
      <c r="F64" s="12"/>
      <c r="G64" s="3" t="s">
        <v>457</v>
      </c>
      <c r="I64" s="55">
        <f t="shared" si="11"/>
        <v>33125</v>
      </c>
      <c r="J64" s="75">
        <f t="shared" si="10"/>
        <v>552.08333333333337</v>
      </c>
      <c r="K64" s="88" t="s">
        <v>786</v>
      </c>
      <c r="L64" s="93">
        <v>10</v>
      </c>
    </row>
    <row r="65" spans="3:13" x14ac:dyDescent="0.25">
      <c r="C65" s="7">
        <v>57</v>
      </c>
      <c r="D65" s="9">
        <v>0.70763888888888893</v>
      </c>
      <c r="E65" s="15">
        <f>16*60+59</f>
        <v>1019</v>
      </c>
      <c r="F65" s="12"/>
      <c r="G65" s="3" t="s">
        <v>458</v>
      </c>
      <c r="I65" s="55">
        <f t="shared" si="11"/>
        <v>33651</v>
      </c>
      <c r="J65" s="75">
        <f t="shared" si="10"/>
        <v>560.85</v>
      </c>
      <c r="K65" s="88" t="s">
        <v>786</v>
      </c>
      <c r="L65" s="91"/>
      <c r="M65" t="s">
        <v>898</v>
      </c>
    </row>
    <row r="66" spans="3:13" x14ac:dyDescent="0.25">
      <c r="C66" s="6">
        <v>58</v>
      </c>
      <c r="D66" s="9">
        <v>0.40902777777777777</v>
      </c>
      <c r="E66" s="15">
        <f>9*60+49</f>
        <v>589</v>
      </c>
      <c r="F66" s="12"/>
      <c r="G66" s="3" t="s">
        <v>459</v>
      </c>
      <c r="I66" s="55">
        <f t="shared" si="11"/>
        <v>34670</v>
      </c>
      <c r="J66" s="75">
        <f t="shared" si="10"/>
        <v>577.83333333333337</v>
      </c>
      <c r="K66" s="88" t="s">
        <v>786</v>
      </c>
      <c r="L66" s="91"/>
      <c r="M66" t="s">
        <v>899</v>
      </c>
    </row>
    <row r="67" spans="3:13" x14ac:dyDescent="0.25">
      <c r="C67" s="7">
        <v>59</v>
      </c>
      <c r="D67" s="9">
        <v>0.41736111111111113</v>
      </c>
      <c r="E67" s="15">
        <f>10*60+1</f>
        <v>601</v>
      </c>
      <c r="F67" s="12"/>
      <c r="G67" s="3" t="s">
        <v>460</v>
      </c>
      <c r="I67" s="55">
        <f t="shared" ref="I67:I68" si="12">E66+I66</f>
        <v>35259</v>
      </c>
      <c r="J67" s="75">
        <f t="shared" ref="J67:J84" si="13">I67/60</f>
        <v>587.65</v>
      </c>
      <c r="K67" s="88" t="s">
        <v>786</v>
      </c>
      <c r="L67" s="91"/>
    </row>
    <row r="68" spans="3:13" x14ac:dyDescent="0.25">
      <c r="C68" s="6">
        <v>60</v>
      </c>
      <c r="D68" s="9">
        <v>0.21875</v>
      </c>
      <c r="E68" s="15">
        <f>5*60+15</f>
        <v>315</v>
      </c>
      <c r="F68" s="12"/>
      <c r="G68" s="3" t="s">
        <v>461</v>
      </c>
      <c r="I68" s="55">
        <f t="shared" si="12"/>
        <v>35860</v>
      </c>
      <c r="J68" s="75">
        <f t="shared" si="13"/>
        <v>597.66666666666663</v>
      </c>
      <c r="K68" s="88" t="s">
        <v>786</v>
      </c>
      <c r="L68" s="91"/>
    </row>
    <row r="69" spans="3:13" ht="15.75" thickBot="1" x14ac:dyDescent="0.3">
      <c r="C69" s="17"/>
      <c r="D69" s="18"/>
      <c r="E69" s="19">
        <f>SUM(E59:E68)/60</f>
        <v>88.6</v>
      </c>
      <c r="F69" s="20">
        <f>E69/60</f>
        <v>1.4766666666666666</v>
      </c>
      <c r="G69" s="21"/>
      <c r="I69" s="55"/>
      <c r="J69" s="75"/>
      <c r="K69" s="88"/>
      <c r="L69" s="91"/>
    </row>
    <row r="70" spans="3:13" x14ac:dyDescent="0.25">
      <c r="C70" s="7">
        <v>61</v>
      </c>
      <c r="D70" s="10">
        <v>0.3034722222222222</v>
      </c>
      <c r="E70" s="16">
        <f>7*60+17</f>
        <v>437</v>
      </c>
      <c r="F70" s="13"/>
      <c r="G70" s="4" t="s">
        <v>462</v>
      </c>
      <c r="I70" s="55">
        <f>E70+I68</f>
        <v>36297</v>
      </c>
      <c r="J70" s="75">
        <f t="shared" si="13"/>
        <v>604.95000000000005</v>
      </c>
      <c r="K70" s="88" t="s">
        <v>786</v>
      </c>
      <c r="L70" s="91"/>
    </row>
    <row r="71" spans="3:13" x14ac:dyDescent="0.25">
      <c r="C71" s="6">
        <v>62</v>
      </c>
      <c r="D71" s="9">
        <v>0.47291666666666665</v>
      </c>
      <c r="E71" s="15">
        <f>11*60+21</f>
        <v>681</v>
      </c>
      <c r="F71" s="12"/>
      <c r="G71" s="3" t="s">
        <v>463</v>
      </c>
      <c r="I71" s="51">
        <f>E71+I70</f>
        <v>36978</v>
      </c>
      <c r="J71" s="96">
        <f t="shared" si="13"/>
        <v>616.29999999999995</v>
      </c>
      <c r="K71" s="86" t="s">
        <v>786</v>
      </c>
      <c r="L71" s="93">
        <v>11</v>
      </c>
    </row>
    <row r="72" spans="3:13" x14ac:dyDescent="0.25">
      <c r="C72" s="6">
        <v>63</v>
      </c>
      <c r="D72" s="9">
        <v>0.3666666666666667</v>
      </c>
      <c r="E72" s="15">
        <f>8*60+48</f>
        <v>528</v>
      </c>
      <c r="F72" s="12"/>
      <c r="G72" s="3" t="s">
        <v>464</v>
      </c>
      <c r="I72" s="51">
        <f t="shared" ref="I72:I79" si="14">E72+I71</f>
        <v>37506</v>
      </c>
      <c r="J72" s="96">
        <f t="shared" si="13"/>
        <v>625.1</v>
      </c>
      <c r="K72" s="86" t="s">
        <v>796</v>
      </c>
      <c r="L72" s="91"/>
    </row>
    <row r="73" spans="3:13" x14ac:dyDescent="0.25">
      <c r="C73" s="6">
        <v>64</v>
      </c>
      <c r="D73" s="9">
        <v>0.40972222222222227</v>
      </c>
      <c r="E73" s="15">
        <f>9*60+50</f>
        <v>590</v>
      </c>
      <c r="F73" s="12"/>
      <c r="G73" s="3" t="s">
        <v>465</v>
      </c>
      <c r="I73" s="51">
        <f t="shared" si="14"/>
        <v>38096</v>
      </c>
      <c r="J73" s="96">
        <f t="shared" si="13"/>
        <v>634.93333333333328</v>
      </c>
      <c r="K73" s="86" t="s">
        <v>796</v>
      </c>
      <c r="L73" s="91"/>
    </row>
    <row r="74" spans="3:13" x14ac:dyDescent="0.25">
      <c r="C74" s="6">
        <v>65</v>
      </c>
      <c r="D74" s="9">
        <v>0.41319444444444442</v>
      </c>
      <c r="E74" s="15">
        <f>9*60+55</f>
        <v>595</v>
      </c>
      <c r="F74" s="12"/>
      <c r="G74" s="3" t="s">
        <v>466</v>
      </c>
      <c r="I74" s="51">
        <f t="shared" si="14"/>
        <v>38691</v>
      </c>
      <c r="J74" s="96">
        <f t="shared" si="13"/>
        <v>644.85</v>
      </c>
      <c r="K74" s="86" t="s">
        <v>796</v>
      </c>
      <c r="L74" s="91"/>
    </row>
    <row r="75" spans="3:13" x14ac:dyDescent="0.25">
      <c r="C75" s="6">
        <v>66</v>
      </c>
      <c r="D75" s="9">
        <v>0.43402777777777773</v>
      </c>
      <c r="E75" s="15">
        <f>10*60+25</f>
        <v>625</v>
      </c>
      <c r="F75" s="12"/>
      <c r="G75" s="3" t="s">
        <v>467</v>
      </c>
      <c r="I75" s="51">
        <f t="shared" si="14"/>
        <v>39316</v>
      </c>
      <c r="J75" s="96">
        <f t="shared" si="13"/>
        <v>655.26666666666665</v>
      </c>
      <c r="K75" s="86" t="s">
        <v>786</v>
      </c>
      <c r="L75" s="91"/>
    </row>
    <row r="76" spans="3:13" x14ac:dyDescent="0.25">
      <c r="C76" s="6">
        <v>67</v>
      </c>
      <c r="D76" s="9">
        <v>0.50347222222222221</v>
      </c>
      <c r="E76" s="15">
        <f>12*60+5</f>
        <v>725</v>
      </c>
      <c r="F76" s="12"/>
      <c r="G76" s="3" t="s">
        <v>468</v>
      </c>
      <c r="I76" s="51">
        <f t="shared" si="14"/>
        <v>40041</v>
      </c>
      <c r="J76" s="96">
        <f t="shared" si="13"/>
        <v>667.35</v>
      </c>
      <c r="K76" s="86" t="s">
        <v>786</v>
      </c>
      <c r="L76" s="91"/>
    </row>
    <row r="77" spans="3:13" x14ac:dyDescent="0.25">
      <c r="C77" s="6">
        <v>68</v>
      </c>
      <c r="D77" s="9">
        <v>0.64374999999999993</v>
      </c>
      <c r="E77" s="15">
        <f>15*60+27</f>
        <v>927</v>
      </c>
      <c r="F77" s="12"/>
      <c r="G77" s="3" t="s">
        <v>469</v>
      </c>
      <c r="I77" s="55">
        <f t="shared" si="14"/>
        <v>40968</v>
      </c>
      <c r="J77" s="75">
        <f t="shared" si="13"/>
        <v>682.8</v>
      </c>
      <c r="K77" s="88" t="s">
        <v>786</v>
      </c>
      <c r="L77" s="93">
        <v>12</v>
      </c>
    </row>
    <row r="78" spans="3:13" x14ac:dyDescent="0.25">
      <c r="C78" s="6">
        <v>69</v>
      </c>
      <c r="D78" s="9">
        <v>0.57847222222222217</v>
      </c>
      <c r="E78" s="15">
        <f>13*60+53</f>
        <v>833</v>
      </c>
      <c r="F78" s="12"/>
      <c r="G78" s="3" t="s">
        <v>470</v>
      </c>
      <c r="I78" s="55">
        <f t="shared" si="14"/>
        <v>41801</v>
      </c>
      <c r="J78" s="75">
        <f t="shared" si="13"/>
        <v>696.68333333333328</v>
      </c>
      <c r="K78" s="88" t="s">
        <v>786</v>
      </c>
      <c r="L78" s="91"/>
    </row>
    <row r="79" spans="3:13" x14ac:dyDescent="0.25">
      <c r="C79" s="6">
        <v>70</v>
      </c>
      <c r="D79" s="9">
        <v>0.42777777777777781</v>
      </c>
      <c r="E79" s="15">
        <f>10*60+16</f>
        <v>616</v>
      </c>
      <c r="F79" s="12"/>
      <c r="G79" s="3" t="s">
        <v>471</v>
      </c>
      <c r="I79" s="55">
        <f t="shared" si="14"/>
        <v>42417</v>
      </c>
      <c r="J79" s="75">
        <f t="shared" si="13"/>
        <v>706.95</v>
      </c>
      <c r="K79" s="88" t="s">
        <v>786</v>
      </c>
      <c r="L79" s="91"/>
    </row>
    <row r="80" spans="3:13" ht="15.75" thickBot="1" x14ac:dyDescent="0.3">
      <c r="C80" s="17"/>
      <c r="D80" s="18"/>
      <c r="E80" s="19">
        <f>SUM(E70:E79)/60</f>
        <v>109.28333333333333</v>
      </c>
      <c r="F80" s="20">
        <f>E80/60</f>
        <v>1.8213888888888889</v>
      </c>
      <c r="G80" s="21"/>
      <c r="I80" s="55"/>
      <c r="J80" s="75"/>
      <c r="K80" s="88"/>
      <c r="L80" s="91"/>
    </row>
    <row r="81" spans="3:12" x14ac:dyDescent="0.25">
      <c r="C81" s="7">
        <v>71</v>
      </c>
      <c r="D81" s="10">
        <v>0.31041666666666667</v>
      </c>
      <c r="E81" s="16">
        <f>7*60+27</f>
        <v>447</v>
      </c>
      <c r="F81" s="13"/>
      <c r="G81" s="4" t="s">
        <v>472</v>
      </c>
      <c r="I81" s="55">
        <f>E81+I79</f>
        <v>42864</v>
      </c>
      <c r="J81" s="75">
        <f t="shared" si="13"/>
        <v>714.4</v>
      </c>
      <c r="K81" s="88" t="s">
        <v>786</v>
      </c>
      <c r="L81" s="91"/>
    </row>
    <row r="82" spans="3:12" x14ac:dyDescent="0.25">
      <c r="C82" s="6">
        <v>72</v>
      </c>
      <c r="D82" s="9">
        <v>0.30833333333333335</v>
      </c>
      <c r="E82" s="15">
        <f>7*60+24</f>
        <v>444</v>
      </c>
      <c r="F82" s="12"/>
      <c r="G82" s="3" t="s">
        <v>473</v>
      </c>
      <c r="I82" s="55">
        <f>E82+I81</f>
        <v>43308</v>
      </c>
      <c r="J82" s="75">
        <f t="shared" si="13"/>
        <v>721.8</v>
      </c>
      <c r="K82" s="88" t="s">
        <v>786</v>
      </c>
      <c r="L82" s="91"/>
    </row>
    <row r="83" spans="3:12" x14ac:dyDescent="0.25">
      <c r="C83" s="6">
        <v>73</v>
      </c>
      <c r="D83" s="9">
        <v>0.38611111111111113</v>
      </c>
      <c r="E83" s="15">
        <f>9*60+16</f>
        <v>556</v>
      </c>
      <c r="F83" s="12"/>
      <c r="G83" s="3" t="s">
        <v>474</v>
      </c>
      <c r="I83" s="51">
        <f t="shared" ref="I83:I84" si="15">E83+I82</f>
        <v>43864</v>
      </c>
      <c r="J83" s="96">
        <f t="shared" si="13"/>
        <v>731.06666666666672</v>
      </c>
      <c r="K83" s="86" t="s">
        <v>786</v>
      </c>
      <c r="L83" s="93">
        <v>13</v>
      </c>
    </row>
    <row r="84" spans="3:12" x14ac:dyDescent="0.25">
      <c r="C84" s="6">
        <v>74</v>
      </c>
      <c r="D84" s="9">
        <v>0.24305555555555555</v>
      </c>
      <c r="E84" s="15">
        <f>6*60+50</f>
        <v>410</v>
      </c>
      <c r="F84" s="12"/>
      <c r="G84" s="3" t="s">
        <v>475</v>
      </c>
      <c r="I84" s="51">
        <f t="shared" si="15"/>
        <v>44274</v>
      </c>
      <c r="J84" s="96">
        <f t="shared" si="13"/>
        <v>737.9</v>
      </c>
      <c r="K84" s="86" t="s">
        <v>786</v>
      </c>
      <c r="L84" s="91"/>
    </row>
    <row r="85" spans="3:12" ht="15.75" thickBot="1" x14ac:dyDescent="0.3">
      <c r="C85" s="6">
        <v>75</v>
      </c>
      <c r="D85" s="9">
        <v>0.36458333333333331</v>
      </c>
      <c r="E85" s="15">
        <f>8*60+45</f>
        <v>525</v>
      </c>
      <c r="F85" s="12"/>
      <c r="G85" s="3" t="s">
        <v>476</v>
      </c>
      <c r="I85" s="99">
        <f t="shared" ref="I85" si="16">E85+I84</f>
        <v>44799</v>
      </c>
      <c r="J85" s="100">
        <f t="shared" ref="J85" si="17">I85/60</f>
        <v>746.65</v>
      </c>
      <c r="K85" s="101" t="s">
        <v>786</v>
      </c>
      <c r="L85" s="91"/>
    </row>
    <row r="86" spans="3:12" ht="15.75" thickBot="1" x14ac:dyDescent="0.3">
      <c r="C86" s="17"/>
      <c r="D86" s="18"/>
      <c r="E86" s="19">
        <f>SUM(E81:E85)/60</f>
        <v>39.700000000000003</v>
      </c>
      <c r="F86" s="20">
        <f>E86/60</f>
        <v>0.66166666666666674</v>
      </c>
      <c r="G86" s="21"/>
      <c r="I86" s="79"/>
      <c r="J86" s="79"/>
      <c r="K86" s="79"/>
      <c r="L86" s="91"/>
    </row>
    <row r="87" spans="3:12" x14ac:dyDescent="0.25">
      <c r="I87" s="79"/>
      <c r="J87" s="79"/>
      <c r="K87" s="79"/>
      <c r="L87" s="7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Y128"/>
  <sheetViews>
    <sheetView topLeftCell="A8" workbookViewId="0"/>
  </sheetViews>
  <sheetFormatPr defaultRowHeight="15" x14ac:dyDescent="0.25"/>
  <cols>
    <col min="3" max="3" width="6.140625" customWidth="1"/>
    <col min="7" max="7" width="75" style="1" customWidth="1"/>
    <col min="8" max="10" width="4.7109375" style="63" customWidth="1"/>
    <col min="11" max="11" width="4.7109375" customWidth="1"/>
    <col min="12" max="12" width="4.7109375" style="63" customWidth="1"/>
    <col min="13" max="13" width="4.7109375" style="93" customWidth="1"/>
    <col min="14" max="15" width="4.7109375" style="63" customWidth="1"/>
    <col min="16" max="16" width="4.7109375" style="98" customWidth="1"/>
    <col min="17" max="17" width="9.140625" style="92"/>
    <col min="21" max="21" width="4.7109375" style="63" customWidth="1"/>
    <col min="22" max="22" width="4.7109375" customWidth="1"/>
    <col min="23" max="23" width="4.7109375" style="63" customWidth="1"/>
  </cols>
  <sheetData>
    <row r="2" spans="3:25" ht="15.75" thickBot="1" x14ac:dyDescent="0.3">
      <c r="C2" s="1" t="s">
        <v>41</v>
      </c>
      <c r="F2" s="23">
        <f>F14+F25+F36+F47+F58+F69+F80+F91+F102+F113+F124+F128</f>
        <v>22.671944444444446</v>
      </c>
    </row>
    <row r="3" spans="3:25" ht="15.75" thickBot="1" x14ac:dyDescent="0.3">
      <c r="C3" s="1"/>
      <c r="F3" s="23"/>
      <c r="H3" s="135" t="s">
        <v>1356</v>
      </c>
      <c r="I3" s="135" t="s">
        <v>1354</v>
      </c>
      <c r="J3" s="135" t="s">
        <v>1353</v>
      </c>
      <c r="K3" s="135" t="s">
        <v>1351</v>
      </c>
      <c r="L3" s="135" t="s">
        <v>1344</v>
      </c>
      <c r="M3" s="135" t="s">
        <v>1340</v>
      </c>
      <c r="N3" s="135" t="s">
        <v>1337</v>
      </c>
      <c r="O3" s="135" t="s">
        <v>1336</v>
      </c>
      <c r="P3" s="135" t="s">
        <v>1335</v>
      </c>
      <c r="R3" s="47" t="s">
        <v>735</v>
      </c>
      <c r="S3" s="48" t="s">
        <v>736</v>
      </c>
      <c r="T3" s="48" t="s">
        <v>1338</v>
      </c>
      <c r="U3" s="103" t="s">
        <v>900</v>
      </c>
      <c r="V3" s="103" t="s">
        <v>907</v>
      </c>
      <c r="W3" s="103" t="s">
        <v>908</v>
      </c>
    </row>
    <row r="4" spans="3:25" x14ac:dyDescent="0.25">
      <c r="C4" s="5">
        <v>1</v>
      </c>
      <c r="D4" s="8">
        <v>0.71597222222222223</v>
      </c>
      <c r="E4" s="14">
        <f>17*60+11</f>
        <v>1031</v>
      </c>
      <c r="F4" s="11"/>
      <c r="G4" s="2" t="s">
        <v>121</v>
      </c>
      <c r="M4" s="138"/>
      <c r="P4" s="134">
        <v>1</v>
      </c>
      <c r="R4" s="49">
        <f>E4</f>
        <v>1031</v>
      </c>
      <c r="S4" s="50">
        <f>R4/60</f>
        <v>17.183333333333334</v>
      </c>
      <c r="T4" s="50">
        <f>S4/60</f>
        <v>0.28638888888888892</v>
      </c>
      <c r="U4" s="63" t="s">
        <v>780</v>
      </c>
      <c r="Y4">
        <f t="shared" ref="Y4:Y13" si="0">R4/(60*60)</f>
        <v>0.28638888888888892</v>
      </c>
    </row>
    <row r="5" spans="3:25" x14ac:dyDescent="0.25">
      <c r="C5" s="6">
        <v>2</v>
      </c>
      <c r="D5" s="9">
        <v>0.43263888888888885</v>
      </c>
      <c r="E5" s="15">
        <f>10*60+23</f>
        <v>623</v>
      </c>
      <c r="F5" s="12"/>
      <c r="G5" s="3" t="s">
        <v>122</v>
      </c>
      <c r="M5" s="138"/>
      <c r="P5" s="134">
        <v>1</v>
      </c>
      <c r="R5" s="51">
        <f t="shared" ref="R5:R13" si="1">E5+R4</f>
        <v>1654</v>
      </c>
      <c r="S5" s="52">
        <f t="shared" ref="S5:S29" si="2">R5/60</f>
        <v>27.566666666666666</v>
      </c>
      <c r="T5" s="50">
        <f t="shared" ref="T5:T68" si="3">S5/60</f>
        <v>0.45944444444444443</v>
      </c>
      <c r="U5" s="63" t="s">
        <v>780</v>
      </c>
      <c r="Y5">
        <f t="shared" si="0"/>
        <v>0.45944444444444443</v>
      </c>
    </row>
    <row r="6" spans="3:25" x14ac:dyDescent="0.25">
      <c r="C6" s="6">
        <v>3</v>
      </c>
      <c r="D6" s="9">
        <v>0.37986111111111115</v>
      </c>
      <c r="E6" s="15">
        <f>9*60+7</f>
        <v>547</v>
      </c>
      <c r="F6" s="12"/>
      <c r="G6" s="3" t="s">
        <v>123</v>
      </c>
      <c r="M6" s="138"/>
      <c r="P6" s="134">
        <v>1</v>
      </c>
      <c r="R6" s="51">
        <f t="shared" si="1"/>
        <v>2201</v>
      </c>
      <c r="S6" s="52">
        <f t="shared" si="2"/>
        <v>36.68333333333333</v>
      </c>
      <c r="T6" s="50">
        <f t="shared" si="3"/>
        <v>0.61138888888888887</v>
      </c>
      <c r="U6" s="63" t="s">
        <v>780</v>
      </c>
      <c r="Y6">
        <f t="shared" si="0"/>
        <v>0.61138888888888887</v>
      </c>
    </row>
    <row r="7" spans="3:25" x14ac:dyDescent="0.25">
      <c r="C7" s="6">
        <v>4</v>
      </c>
      <c r="D7" s="9">
        <v>0.45277777777777778</v>
      </c>
      <c r="E7" s="15">
        <f>10*60+52</f>
        <v>652</v>
      </c>
      <c r="F7" s="12"/>
      <c r="G7" s="3" t="s">
        <v>124</v>
      </c>
      <c r="M7" s="138"/>
      <c r="P7" s="134">
        <v>1</v>
      </c>
      <c r="R7" s="51">
        <f t="shared" si="1"/>
        <v>2853</v>
      </c>
      <c r="S7" s="52">
        <f t="shared" si="2"/>
        <v>47.55</v>
      </c>
      <c r="T7" s="50">
        <f t="shared" si="3"/>
        <v>0.79249999999999998</v>
      </c>
      <c r="U7" s="63" t="s">
        <v>780</v>
      </c>
      <c r="Y7">
        <f t="shared" si="0"/>
        <v>0.79249999999999998</v>
      </c>
    </row>
    <row r="8" spans="3:25" x14ac:dyDescent="0.25">
      <c r="C8" s="6">
        <v>5</v>
      </c>
      <c r="D8" s="9">
        <v>0.49513888888888885</v>
      </c>
      <c r="E8" s="15">
        <f>11*60+53</f>
        <v>713</v>
      </c>
      <c r="F8" s="12"/>
      <c r="G8" s="3" t="s">
        <v>125</v>
      </c>
      <c r="M8" s="138"/>
      <c r="P8" s="134">
        <v>1</v>
      </c>
      <c r="R8" s="51">
        <f t="shared" si="1"/>
        <v>3566</v>
      </c>
      <c r="S8" s="52">
        <f t="shared" si="2"/>
        <v>59.43333333333333</v>
      </c>
      <c r="T8" s="50">
        <f t="shared" si="3"/>
        <v>0.99055555555555552</v>
      </c>
      <c r="U8" s="63" t="s">
        <v>780</v>
      </c>
      <c r="Y8">
        <f t="shared" si="0"/>
        <v>0.99055555555555552</v>
      </c>
    </row>
    <row r="9" spans="3:25" x14ac:dyDescent="0.25">
      <c r="C9" s="6">
        <v>6</v>
      </c>
      <c r="D9" s="9">
        <v>0.45555555555555555</v>
      </c>
      <c r="E9" s="15">
        <f>10*60+56</f>
        <v>656</v>
      </c>
      <c r="F9" s="12"/>
      <c r="G9" s="3" t="s">
        <v>126</v>
      </c>
      <c r="M9" s="138"/>
      <c r="P9" s="134">
        <v>1</v>
      </c>
      <c r="Q9" s="92" t="s">
        <v>901</v>
      </c>
      <c r="R9" s="53">
        <f t="shared" si="1"/>
        <v>4222</v>
      </c>
      <c r="S9" s="54">
        <f t="shared" si="2"/>
        <v>70.36666666666666</v>
      </c>
      <c r="T9" s="137">
        <f t="shared" si="3"/>
        <v>1.1727777777777777</v>
      </c>
      <c r="U9" s="63" t="s">
        <v>780</v>
      </c>
      <c r="Y9">
        <f t="shared" si="0"/>
        <v>1.1727777777777777</v>
      </c>
    </row>
    <row r="10" spans="3:25" x14ac:dyDescent="0.25">
      <c r="C10" s="6">
        <v>7</v>
      </c>
      <c r="D10" s="9">
        <v>0.3444444444444445</v>
      </c>
      <c r="E10" s="15">
        <f>8*60+16</f>
        <v>496</v>
      </c>
      <c r="F10" s="12"/>
      <c r="G10" s="3" t="s">
        <v>127</v>
      </c>
      <c r="M10" s="138"/>
      <c r="P10" s="134">
        <v>1</v>
      </c>
      <c r="R10" s="51">
        <f t="shared" si="1"/>
        <v>4718</v>
      </c>
      <c r="S10" s="52">
        <f t="shared" si="2"/>
        <v>78.63333333333334</v>
      </c>
      <c r="T10" s="50">
        <f t="shared" si="3"/>
        <v>1.3105555555555557</v>
      </c>
      <c r="U10" s="63" t="s">
        <v>780</v>
      </c>
      <c r="Y10">
        <f t="shared" si="0"/>
        <v>1.3105555555555555</v>
      </c>
    </row>
    <row r="11" spans="3:25" x14ac:dyDescent="0.25">
      <c r="C11" s="6">
        <v>8</v>
      </c>
      <c r="D11" s="9">
        <v>0.3659722222222222</v>
      </c>
      <c r="E11" s="15">
        <f>8*60+47</f>
        <v>527</v>
      </c>
      <c r="F11" s="12"/>
      <c r="G11" s="3" t="s">
        <v>148</v>
      </c>
      <c r="M11" s="138"/>
      <c r="P11" s="134">
        <v>1</v>
      </c>
      <c r="R11" s="51">
        <f t="shared" si="1"/>
        <v>5245</v>
      </c>
      <c r="S11" s="52">
        <f t="shared" si="2"/>
        <v>87.416666666666671</v>
      </c>
      <c r="T11" s="50">
        <f t="shared" si="3"/>
        <v>1.4569444444444446</v>
      </c>
      <c r="U11" s="63" t="s">
        <v>780</v>
      </c>
      <c r="Y11">
        <f t="shared" si="0"/>
        <v>1.4569444444444444</v>
      </c>
    </row>
    <row r="12" spans="3:25" x14ac:dyDescent="0.25">
      <c r="C12" s="6">
        <v>9</v>
      </c>
      <c r="D12" s="9">
        <v>0.37638888888888888</v>
      </c>
      <c r="E12" s="15">
        <f>9*60+2</f>
        <v>542</v>
      </c>
      <c r="F12" s="12"/>
      <c r="G12" s="3" t="s">
        <v>149</v>
      </c>
      <c r="M12" s="138"/>
      <c r="P12" s="134">
        <v>1</v>
      </c>
      <c r="R12" s="51">
        <f t="shared" si="1"/>
        <v>5787</v>
      </c>
      <c r="S12" s="52">
        <f t="shared" si="2"/>
        <v>96.45</v>
      </c>
      <c r="T12" s="50">
        <f t="shared" si="3"/>
        <v>1.6075000000000002</v>
      </c>
      <c r="U12" s="63" t="s">
        <v>780</v>
      </c>
      <c r="Y12">
        <f t="shared" si="0"/>
        <v>1.6074999999999999</v>
      </c>
    </row>
    <row r="13" spans="3:25" x14ac:dyDescent="0.25">
      <c r="C13" s="6">
        <v>10</v>
      </c>
      <c r="D13" s="9">
        <v>0.26944444444444443</v>
      </c>
      <c r="E13" s="15">
        <f>6*60+28</f>
        <v>388</v>
      </c>
      <c r="F13" s="12"/>
      <c r="G13" s="3" t="s">
        <v>150</v>
      </c>
      <c r="M13" s="138"/>
      <c r="P13" s="134"/>
      <c r="R13" s="51">
        <f t="shared" si="1"/>
        <v>6175</v>
      </c>
      <c r="S13" s="52">
        <f t="shared" si="2"/>
        <v>102.91666666666667</v>
      </c>
      <c r="T13" s="50">
        <f t="shared" si="3"/>
        <v>1.7152777777777779</v>
      </c>
      <c r="U13" s="63" t="s">
        <v>780</v>
      </c>
      <c r="Y13">
        <f t="shared" si="0"/>
        <v>1.7152777777777777</v>
      </c>
    </row>
    <row r="14" spans="3:25" ht="15.75" thickBot="1" x14ac:dyDescent="0.3">
      <c r="C14" s="17"/>
      <c r="D14" s="18"/>
      <c r="E14" s="19">
        <f>SUM(E4:E13)/60</f>
        <v>102.91666666666667</v>
      </c>
      <c r="F14" s="20">
        <f>E14/60</f>
        <v>1.7152777777777779</v>
      </c>
      <c r="G14" s="21"/>
      <c r="M14" s="138"/>
      <c r="P14" s="134"/>
      <c r="R14" s="51"/>
      <c r="S14" s="52"/>
      <c r="T14" s="50"/>
    </row>
    <row r="15" spans="3:25" x14ac:dyDescent="0.25">
      <c r="C15" s="7">
        <v>11</v>
      </c>
      <c r="D15" s="10">
        <v>0.44027777777777777</v>
      </c>
      <c r="E15" s="16">
        <f>10*60+34</f>
        <v>634</v>
      </c>
      <c r="F15" s="13"/>
      <c r="G15" s="4" t="s">
        <v>151</v>
      </c>
      <c r="M15" s="138"/>
      <c r="P15" s="134">
        <v>1</v>
      </c>
      <c r="R15" s="51">
        <f>E15+R13</f>
        <v>6809</v>
      </c>
      <c r="S15" s="52">
        <f t="shared" si="2"/>
        <v>113.48333333333333</v>
      </c>
      <c r="T15" s="50">
        <f t="shared" si="3"/>
        <v>1.891388888888889</v>
      </c>
      <c r="V15" s="63" t="s">
        <v>780</v>
      </c>
      <c r="Y15">
        <f t="shared" ref="Y15:Y24" si="4">R15/(60*60)</f>
        <v>1.8913888888888888</v>
      </c>
    </row>
    <row r="16" spans="3:25" x14ac:dyDescent="0.25">
      <c r="C16" s="6">
        <v>12</v>
      </c>
      <c r="D16" s="9">
        <v>0.51458333333333328</v>
      </c>
      <c r="E16" s="15">
        <f>12*60+21</f>
        <v>741</v>
      </c>
      <c r="F16" s="12"/>
      <c r="G16" s="3" t="s">
        <v>152</v>
      </c>
      <c r="M16" s="138"/>
      <c r="P16" s="134">
        <v>1</v>
      </c>
      <c r="Q16" s="92" t="s">
        <v>902</v>
      </c>
      <c r="R16" s="53">
        <f t="shared" ref="R16:R24" si="5">E16+R15</f>
        <v>7550</v>
      </c>
      <c r="S16" s="54">
        <f t="shared" si="2"/>
        <v>125.83333333333333</v>
      </c>
      <c r="T16" s="137">
        <f t="shared" si="3"/>
        <v>2.0972222222222223</v>
      </c>
      <c r="V16" s="63" t="s">
        <v>780</v>
      </c>
      <c r="Y16">
        <f t="shared" si="4"/>
        <v>2.0972222222222223</v>
      </c>
    </row>
    <row r="17" spans="3:25" x14ac:dyDescent="0.25">
      <c r="C17" s="6">
        <v>13</v>
      </c>
      <c r="D17" s="9">
        <v>0.37708333333333338</v>
      </c>
      <c r="E17" s="15">
        <f>9*60+3</f>
        <v>543</v>
      </c>
      <c r="F17" s="12"/>
      <c r="G17" s="3" t="s">
        <v>153</v>
      </c>
      <c r="M17" s="138"/>
      <c r="P17" s="134">
        <v>1</v>
      </c>
      <c r="R17" s="51">
        <f t="shared" si="5"/>
        <v>8093</v>
      </c>
      <c r="S17" s="52">
        <f t="shared" si="2"/>
        <v>134.88333333333333</v>
      </c>
      <c r="T17" s="50">
        <f t="shared" si="3"/>
        <v>2.2480555555555553</v>
      </c>
      <c r="V17" s="63" t="s">
        <v>780</v>
      </c>
      <c r="Y17">
        <f t="shared" si="4"/>
        <v>2.2480555555555557</v>
      </c>
    </row>
    <row r="18" spans="3:25" x14ac:dyDescent="0.25">
      <c r="C18" s="6">
        <v>14</v>
      </c>
      <c r="D18" s="9">
        <v>0.31944444444444448</v>
      </c>
      <c r="E18" s="15">
        <f>7*60+40</f>
        <v>460</v>
      </c>
      <c r="F18" s="12"/>
      <c r="G18" s="3" t="s">
        <v>154</v>
      </c>
      <c r="M18" s="138"/>
      <c r="P18" s="134">
        <v>1</v>
      </c>
      <c r="R18" s="51">
        <f t="shared" si="5"/>
        <v>8553</v>
      </c>
      <c r="S18" s="52">
        <f t="shared" si="2"/>
        <v>142.55000000000001</v>
      </c>
      <c r="T18" s="50">
        <f t="shared" si="3"/>
        <v>2.3758333333333335</v>
      </c>
      <c r="V18" s="63" t="s">
        <v>780</v>
      </c>
      <c r="Y18">
        <f t="shared" si="4"/>
        <v>2.3758333333333335</v>
      </c>
    </row>
    <row r="19" spans="3:25" x14ac:dyDescent="0.25">
      <c r="C19" s="6">
        <v>15</v>
      </c>
      <c r="D19" s="9">
        <v>0.18611111111111112</v>
      </c>
      <c r="E19" s="15">
        <f>4*60+28</f>
        <v>268</v>
      </c>
      <c r="F19" s="12"/>
      <c r="G19" s="3" t="s">
        <v>155</v>
      </c>
      <c r="M19" s="138"/>
      <c r="P19" s="134">
        <v>1</v>
      </c>
      <c r="R19" s="51">
        <f t="shared" si="5"/>
        <v>8821</v>
      </c>
      <c r="S19" s="52">
        <f t="shared" si="2"/>
        <v>147.01666666666668</v>
      </c>
      <c r="T19" s="50">
        <f t="shared" si="3"/>
        <v>2.450277777777778</v>
      </c>
      <c r="V19" s="63" t="s">
        <v>780</v>
      </c>
      <c r="Y19">
        <f t="shared" si="4"/>
        <v>2.450277777777778</v>
      </c>
    </row>
    <row r="20" spans="3:25" x14ac:dyDescent="0.25">
      <c r="C20" s="6">
        <v>16</v>
      </c>
      <c r="D20" s="9">
        <v>0.65069444444444446</v>
      </c>
      <c r="E20" s="15">
        <f>15*60+17</f>
        <v>917</v>
      </c>
      <c r="F20" s="12"/>
      <c r="G20" s="3" t="s">
        <v>156</v>
      </c>
      <c r="M20" s="138"/>
      <c r="P20" s="134">
        <v>1</v>
      </c>
      <c r="R20" s="51">
        <f t="shared" si="5"/>
        <v>9738</v>
      </c>
      <c r="S20" s="52">
        <f t="shared" si="2"/>
        <v>162.30000000000001</v>
      </c>
      <c r="T20" s="50">
        <f t="shared" si="3"/>
        <v>2.7050000000000001</v>
      </c>
      <c r="V20" s="63" t="s">
        <v>780</v>
      </c>
      <c r="Y20">
        <f t="shared" si="4"/>
        <v>2.7050000000000001</v>
      </c>
    </row>
    <row r="21" spans="3:25" x14ac:dyDescent="0.25">
      <c r="C21" s="6">
        <v>17</v>
      </c>
      <c r="D21" s="9">
        <v>0.48541666666666666</v>
      </c>
      <c r="E21" s="15">
        <f>11*60+39</f>
        <v>699</v>
      </c>
      <c r="F21" s="12"/>
      <c r="G21" s="3" t="s">
        <v>157</v>
      </c>
      <c r="M21" s="138"/>
      <c r="P21" s="134">
        <v>1</v>
      </c>
      <c r="R21" s="51">
        <f t="shared" si="5"/>
        <v>10437</v>
      </c>
      <c r="S21" s="52">
        <f t="shared" si="2"/>
        <v>173.95</v>
      </c>
      <c r="T21" s="50">
        <f t="shared" si="3"/>
        <v>2.8991666666666664</v>
      </c>
      <c r="V21" s="63" t="s">
        <v>780</v>
      </c>
      <c r="Y21">
        <f t="shared" si="4"/>
        <v>2.8991666666666664</v>
      </c>
    </row>
    <row r="22" spans="3:25" x14ac:dyDescent="0.25">
      <c r="C22" s="6">
        <v>18</v>
      </c>
      <c r="D22" s="9">
        <v>0.4375</v>
      </c>
      <c r="E22" s="15">
        <f>10*60+30</f>
        <v>630</v>
      </c>
      <c r="F22" s="12"/>
      <c r="G22" s="3" t="s">
        <v>158</v>
      </c>
      <c r="M22" s="138"/>
      <c r="P22" s="134">
        <v>1</v>
      </c>
      <c r="Q22" s="92" t="s">
        <v>904</v>
      </c>
      <c r="R22" s="53">
        <f t="shared" si="5"/>
        <v>11067</v>
      </c>
      <c r="S22" s="54">
        <f t="shared" si="2"/>
        <v>184.45</v>
      </c>
      <c r="T22" s="137">
        <f t="shared" si="3"/>
        <v>3.0741666666666663</v>
      </c>
      <c r="V22" s="63" t="s">
        <v>780</v>
      </c>
      <c r="Y22">
        <f t="shared" si="4"/>
        <v>3.0741666666666667</v>
      </c>
    </row>
    <row r="23" spans="3:25" x14ac:dyDescent="0.25">
      <c r="C23" s="6">
        <v>19</v>
      </c>
      <c r="D23" s="9">
        <v>0.32430555555555557</v>
      </c>
      <c r="E23" s="15">
        <f>7*60+47</f>
        <v>467</v>
      </c>
      <c r="F23" s="12"/>
      <c r="G23" s="3" t="s">
        <v>159</v>
      </c>
      <c r="M23" s="138"/>
      <c r="O23" s="134">
        <v>1</v>
      </c>
      <c r="R23" s="51">
        <f t="shared" si="5"/>
        <v>11534</v>
      </c>
      <c r="S23" s="52">
        <f t="shared" si="2"/>
        <v>192.23333333333332</v>
      </c>
      <c r="T23" s="50">
        <f t="shared" si="3"/>
        <v>3.2038888888888888</v>
      </c>
      <c r="W23" s="63" t="s">
        <v>780</v>
      </c>
      <c r="Y23">
        <f t="shared" si="4"/>
        <v>3.2038888888888888</v>
      </c>
    </row>
    <row r="24" spans="3:25" x14ac:dyDescent="0.25">
      <c r="C24" s="6">
        <v>20</v>
      </c>
      <c r="D24" s="9">
        <v>0.38541666666666669</v>
      </c>
      <c r="E24" s="15">
        <f>9*60+15</f>
        <v>555</v>
      </c>
      <c r="F24" s="12"/>
      <c r="G24" s="3" t="s">
        <v>160</v>
      </c>
      <c r="M24" s="138"/>
      <c r="O24" s="134">
        <v>1</v>
      </c>
      <c r="R24" s="51">
        <f t="shared" si="5"/>
        <v>12089</v>
      </c>
      <c r="S24" s="52">
        <f t="shared" si="2"/>
        <v>201.48333333333332</v>
      </c>
      <c r="T24" s="50">
        <f t="shared" si="3"/>
        <v>3.3580555555555551</v>
      </c>
      <c r="W24" s="63" t="s">
        <v>780</v>
      </c>
      <c r="Y24">
        <f t="shared" si="4"/>
        <v>3.3580555555555556</v>
      </c>
    </row>
    <row r="25" spans="3:25" ht="15.75" thickBot="1" x14ac:dyDescent="0.3">
      <c r="C25" s="17"/>
      <c r="D25" s="18"/>
      <c r="E25" s="19">
        <f>SUM(E15:E24)/60</f>
        <v>98.566666666666663</v>
      </c>
      <c r="F25" s="20">
        <f>E25/60</f>
        <v>1.6427777777777777</v>
      </c>
      <c r="G25" s="21"/>
      <c r="M25" s="138"/>
      <c r="O25" s="134"/>
      <c r="R25" s="51"/>
      <c r="S25" s="52"/>
      <c r="T25" s="50"/>
    </row>
    <row r="26" spans="3:25" x14ac:dyDescent="0.25">
      <c r="C26" s="5">
        <v>21</v>
      </c>
      <c r="D26" s="8">
        <v>0.70416666666666661</v>
      </c>
      <c r="E26" s="14">
        <f>16*60+54</f>
        <v>1014</v>
      </c>
      <c r="F26" s="11"/>
      <c r="G26" s="2" t="s">
        <v>477</v>
      </c>
      <c r="M26" s="138"/>
      <c r="O26" s="134">
        <v>1</v>
      </c>
      <c r="R26" s="51">
        <f>E26+R24</f>
        <v>13103</v>
      </c>
      <c r="S26" s="52">
        <f t="shared" si="2"/>
        <v>218.38333333333333</v>
      </c>
      <c r="T26" s="50">
        <f t="shared" si="3"/>
        <v>3.6397222222222223</v>
      </c>
      <c r="W26" s="63" t="s">
        <v>780</v>
      </c>
      <c r="Y26">
        <f t="shared" ref="Y26:Y35" si="6">R26/(60*60)</f>
        <v>3.6397222222222223</v>
      </c>
    </row>
    <row r="27" spans="3:25" x14ac:dyDescent="0.25">
      <c r="C27" s="6">
        <v>22</v>
      </c>
      <c r="D27" s="9">
        <v>0.28541666666666665</v>
      </c>
      <c r="E27" s="15">
        <f>6*60+51</f>
        <v>411</v>
      </c>
      <c r="F27" s="12"/>
      <c r="G27" s="3" t="s">
        <v>478</v>
      </c>
      <c r="M27" s="138"/>
      <c r="O27" s="134">
        <v>1</v>
      </c>
      <c r="R27" s="51">
        <f t="shared" ref="R27:R35" si="7">E27+R26</f>
        <v>13514</v>
      </c>
      <c r="S27" s="52">
        <f t="shared" si="2"/>
        <v>225.23333333333332</v>
      </c>
      <c r="T27" s="50">
        <f t="shared" si="3"/>
        <v>3.7538888888888886</v>
      </c>
      <c r="Y27">
        <f t="shared" si="6"/>
        <v>3.7538888888888891</v>
      </c>
    </row>
    <row r="28" spans="3:25" x14ac:dyDescent="0.25">
      <c r="C28" s="6">
        <v>23</v>
      </c>
      <c r="D28" s="9">
        <v>0.34513888888888888</v>
      </c>
      <c r="E28" s="15">
        <f>8*60+17</f>
        <v>497</v>
      </c>
      <c r="F28" s="12"/>
      <c r="G28" s="3" t="s">
        <v>479</v>
      </c>
      <c r="M28" s="138"/>
      <c r="O28" s="134">
        <v>1</v>
      </c>
      <c r="R28" s="51">
        <f t="shared" si="7"/>
        <v>14011</v>
      </c>
      <c r="S28" s="52">
        <f t="shared" si="2"/>
        <v>233.51666666666668</v>
      </c>
      <c r="T28" s="50">
        <f t="shared" si="3"/>
        <v>3.8919444444444449</v>
      </c>
      <c r="Y28">
        <f t="shared" si="6"/>
        <v>3.8919444444444444</v>
      </c>
    </row>
    <row r="29" spans="3:25" x14ac:dyDescent="0.25">
      <c r="C29" s="6">
        <v>24</v>
      </c>
      <c r="D29" s="9">
        <v>0.29375000000000001</v>
      </c>
      <c r="E29" s="15">
        <f>7*60+3</f>
        <v>423</v>
      </c>
      <c r="F29" s="12"/>
      <c r="G29" s="3" t="s">
        <v>480</v>
      </c>
      <c r="M29" s="138"/>
      <c r="O29" s="134">
        <v>1</v>
      </c>
      <c r="Q29" s="92" t="s">
        <v>903</v>
      </c>
      <c r="R29" s="53">
        <f t="shared" si="7"/>
        <v>14434</v>
      </c>
      <c r="S29" s="54">
        <f t="shared" si="2"/>
        <v>240.56666666666666</v>
      </c>
      <c r="T29" s="50">
        <f t="shared" si="3"/>
        <v>4.0094444444444441</v>
      </c>
      <c r="U29" s="102"/>
      <c r="Y29">
        <f t="shared" si="6"/>
        <v>4.0094444444444441</v>
      </c>
    </row>
    <row r="30" spans="3:25" x14ac:dyDescent="0.25">
      <c r="C30" s="6">
        <v>25</v>
      </c>
      <c r="D30" s="9">
        <v>0.65625</v>
      </c>
      <c r="E30" s="15">
        <f>15*60+45</f>
        <v>945</v>
      </c>
      <c r="F30" s="12"/>
      <c r="G30" s="3" t="s">
        <v>481</v>
      </c>
      <c r="M30" s="138"/>
      <c r="O30" s="134">
        <v>1</v>
      </c>
      <c r="R30" s="55">
        <f t="shared" si="7"/>
        <v>15379</v>
      </c>
      <c r="S30" s="56">
        <f t="shared" ref="S30:S38" si="8">R30/60</f>
        <v>256.31666666666666</v>
      </c>
      <c r="T30" s="50">
        <f t="shared" si="3"/>
        <v>4.2719444444444443</v>
      </c>
      <c r="Y30">
        <f t="shared" si="6"/>
        <v>4.2719444444444443</v>
      </c>
    </row>
    <row r="31" spans="3:25" x14ac:dyDescent="0.25">
      <c r="C31" s="6">
        <v>26</v>
      </c>
      <c r="D31" s="9">
        <v>0.42499999999999999</v>
      </c>
      <c r="E31" s="15">
        <f>10*60+12</f>
        <v>612</v>
      </c>
      <c r="F31" s="12"/>
      <c r="G31" s="3" t="s">
        <v>482</v>
      </c>
      <c r="M31" s="138"/>
      <c r="O31" s="134">
        <v>1</v>
      </c>
      <c r="R31" s="55">
        <f t="shared" si="7"/>
        <v>15991</v>
      </c>
      <c r="S31" s="56">
        <f t="shared" si="8"/>
        <v>266.51666666666665</v>
      </c>
      <c r="T31" s="50">
        <f t="shared" si="3"/>
        <v>4.4419444444444443</v>
      </c>
      <c r="Y31">
        <f t="shared" si="6"/>
        <v>4.4419444444444443</v>
      </c>
    </row>
    <row r="32" spans="3:25" x14ac:dyDescent="0.25">
      <c r="C32" s="6">
        <v>27</v>
      </c>
      <c r="D32" s="9">
        <v>0.31805555555555554</v>
      </c>
      <c r="E32" s="15">
        <f>7*60+38</f>
        <v>458</v>
      </c>
      <c r="F32" s="12"/>
      <c r="G32" s="3" t="s">
        <v>483</v>
      </c>
      <c r="M32" s="138"/>
      <c r="O32" s="134">
        <v>1</v>
      </c>
      <c r="R32" s="55">
        <f t="shared" si="7"/>
        <v>16449</v>
      </c>
      <c r="S32" s="56">
        <f t="shared" si="8"/>
        <v>274.14999999999998</v>
      </c>
      <c r="T32" s="50">
        <f t="shared" si="3"/>
        <v>4.5691666666666659</v>
      </c>
      <c r="Y32">
        <f t="shared" si="6"/>
        <v>4.5691666666666668</v>
      </c>
    </row>
    <row r="33" spans="3:25" x14ac:dyDescent="0.25">
      <c r="C33" s="6">
        <v>28</v>
      </c>
      <c r="D33" s="9">
        <v>0.4916666666666667</v>
      </c>
      <c r="E33" s="15">
        <f>11*60+48</f>
        <v>708</v>
      </c>
      <c r="F33" s="12"/>
      <c r="G33" s="3" t="s">
        <v>484</v>
      </c>
      <c r="M33" s="138"/>
      <c r="O33" s="134">
        <v>1</v>
      </c>
      <c r="R33" s="55">
        <f t="shared" si="7"/>
        <v>17157</v>
      </c>
      <c r="S33" s="56">
        <f t="shared" si="8"/>
        <v>285.95</v>
      </c>
      <c r="T33" s="50">
        <f t="shared" si="3"/>
        <v>4.7658333333333331</v>
      </c>
      <c r="Y33">
        <f t="shared" si="6"/>
        <v>4.7658333333333331</v>
      </c>
    </row>
    <row r="34" spans="3:25" x14ac:dyDescent="0.25">
      <c r="C34" s="6">
        <v>29</v>
      </c>
      <c r="D34" s="9">
        <v>0.46527777777777773</v>
      </c>
      <c r="E34" s="15">
        <f>11*60+10</f>
        <v>670</v>
      </c>
      <c r="F34" s="12"/>
      <c r="G34" s="3" t="s">
        <v>485</v>
      </c>
      <c r="M34" s="138"/>
      <c r="O34" s="134">
        <v>1</v>
      </c>
      <c r="R34" s="55">
        <f t="shared" si="7"/>
        <v>17827</v>
      </c>
      <c r="S34" s="56">
        <f t="shared" si="8"/>
        <v>297.11666666666667</v>
      </c>
      <c r="T34" s="50">
        <f t="shared" si="3"/>
        <v>4.9519444444444449</v>
      </c>
      <c r="Y34">
        <f t="shared" si="6"/>
        <v>4.951944444444444</v>
      </c>
    </row>
    <row r="35" spans="3:25" x14ac:dyDescent="0.25">
      <c r="C35" s="6">
        <v>30</v>
      </c>
      <c r="D35" s="9">
        <v>0.51388888888888895</v>
      </c>
      <c r="E35" s="15">
        <f>12*60+20</f>
        <v>740</v>
      </c>
      <c r="F35" s="12"/>
      <c r="G35" s="3" t="s">
        <v>486</v>
      </c>
      <c r="M35" s="138"/>
      <c r="O35" s="134">
        <v>1</v>
      </c>
      <c r="Q35" s="92" t="s">
        <v>906</v>
      </c>
      <c r="R35" s="55">
        <f t="shared" si="7"/>
        <v>18567</v>
      </c>
      <c r="S35" s="56">
        <f t="shared" si="8"/>
        <v>309.45</v>
      </c>
      <c r="T35" s="50">
        <f t="shared" si="3"/>
        <v>5.1574999999999998</v>
      </c>
      <c r="Y35">
        <f t="shared" si="6"/>
        <v>5.1574999999999998</v>
      </c>
    </row>
    <row r="36" spans="3:25" ht="15.75" thickBot="1" x14ac:dyDescent="0.3">
      <c r="C36" s="17"/>
      <c r="D36" s="18"/>
      <c r="E36" s="19">
        <f>SUM(E26:E35)/60</f>
        <v>107.96666666666667</v>
      </c>
      <c r="F36" s="20">
        <f>E36/60</f>
        <v>1.7994444444444444</v>
      </c>
      <c r="G36" s="21"/>
      <c r="M36" s="138"/>
      <c r="O36" s="134"/>
      <c r="R36" s="55"/>
      <c r="S36" s="56"/>
      <c r="T36" s="50"/>
    </row>
    <row r="37" spans="3:25" x14ac:dyDescent="0.25">
      <c r="C37" s="7">
        <v>31</v>
      </c>
      <c r="D37" s="10">
        <v>0.49444444444444446</v>
      </c>
      <c r="E37" s="16">
        <f>11*60+52</f>
        <v>712</v>
      </c>
      <c r="F37" s="13"/>
      <c r="G37" s="4" t="s">
        <v>487</v>
      </c>
      <c r="M37" s="138"/>
      <c r="O37" s="134">
        <v>1</v>
      </c>
      <c r="R37" s="57">
        <f>E37+R35</f>
        <v>19279</v>
      </c>
      <c r="S37" s="56">
        <f t="shared" si="8"/>
        <v>321.31666666666666</v>
      </c>
      <c r="T37" s="50">
        <f t="shared" si="3"/>
        <v>5.3552777777777774</v>
      </c>
      <c r="Y37">
        <f t="shared" ref="Y37:Y54" si="9">R37/(60*60)</f>
        <v>5.3552777777777774</v>
      </c>
    </row>
    <row r="38" spans="3:25" x14ac:dyDescent="0.25">
      <c r="C38" s="6">
        <v>32</v>
      </c>
      <c r="D38" s="9">
        <v>0.35555555555555557</v>
      </c>
      <c r="E38" s="15">
        <f>8*60+32</f>
        <v>512</v>
      </c>
      <c r="F38" s="12"/>
      <c r="G38" s="3" t="s">
        <v>488</v>
      </c>
      <c r="M38" s="138"/>
      <c r="O38" s="134">
        <v>1</v>
      </c>
      <c r="R38" s="57">
        <f t="shared" ref="R38:R46" si="10">E38+R37</f>
        <v>19791</v>
      </c>
      <c r="S38" s="56">
        <f t="shared" si="8"/>
        <v>329.85</v>
      </c>
      <c r="T38" s="50">
        <f t="shared" si="3"/>
        <v>5.4975000000000005</v>
      </c>
      <c r="Y38">
        <f t="shared" si="9"/>
        <v>5.4974999999999996</v>
      </c>
    </row>
    <row r="39" spans="3:25" x14ac:dyDescent="0.25">
      <c r="C39" s="6">
        <v>33</v>
      </c>
      <c r="D39" s="9">
        <v>0.43888888888888888</v>
      </c>
      <c r="E39" s="15">
        <f>10*60+32</f>
        <v>632</v>
      </c>
      <c r="F39" s="12"/>
      <c r="G39" s="3" t="s">
        <v>489</v>
      </c>
      <c r="M39" s="138"/>
      <c r="O39" s="134">
        <v>1</v>
      </c>
      <c r="R39" s="57">
        <f t="shared" si="10"/>
        <v>20423</v>
      </c>
      <c r="S39" s="56">
        <f t="shared" ref="S39:S44" si="11">R39/60</f>
        <v>340.38333333333333</v>
      </c>
      <c r="T39" s="50">
        <f t="shared" si="3"/>
        <v>5.6730555555555551</v>
      </c>
      <c r="Y39">
        <f t="shared" si="9"/>
        <v>5.673055555555556</v>
      </c>
    </row>
    <row r="40" spans="3:25" x14ac:dyDescent="0.25">
      <c r="C40" s="6">
        <v>34</v>
      </c>
      <c r="D40" s="9">
        <v>0.36180555555555555</v>
      </c>
      <c r="E40" s="15">
        <f>8*60+41</f>
        <v>521</v>
      </c>
      <c r="F40" s="12"/>
      <c r="G40" s="3" t="s">
        <v>490</v>
      </c>
      <c r="M40" s="138"/>
      <c r="O40" s="134">
        <v>1</v>
      </c>
      <c r="R40" s="57">
        <f t="shared" si="10"/>
        <v>20944</v>
      </c>
      <c r="S40" s="56">
        <f t="shared" si="11"/>
        <v>349.06666666666666</v>
      </c>
      <c r="T40" s="50">
        <f t="shared" si="3"/>
        <v>5.8177777777777777</v>
      </c>
      <c r="Y40">
        <f t="shared" si="9"/>
        <v>5.8177777777777777</v>
      </c>
    </row>
    <row r="41" spans="3:25" x14ac:dyDescent="0.25">
      <c r="C41" s="6">
        <v>35</v>
      </c>
      <c r="D41" s="9">
        <v>0.26041666666666669</v>
      </c>
      <c r="E41" s="15">
        <f>6*60+15</f>
        <v>375</v>
      </c>
      <c r="F41" s="12"/>
      <c r="G41" s="3" t="s">
        <v>491</v>
      </c>
      <c r="M41" s="138"/>
      <c r="O41" s="134">
        <v>1</v>
      </c>
      <c r="R41" s="57">
        <f t="shared" si="10"/>
        <v>21319</v>
      </c>
      <c r="S41" s="56">
        <f t="shared" si="11"/>
        <v>355.31666666666666</v>
      </c>
      <c r="T41" s="50">
        <f t="shared" si="3"/>
        <v>5.9219444444444447</v>
      </c>
      <c r="Y41">
        <f t="shared" si="9"/>
        <v>5.9219444444444447</v>
      </c>
    </row>
    <row r="42" spans="3:25" x14ac:dyDescent="0.25">
      <c r="C42" s="6">
        <v>36</v>
      </c>
      <c r="D42" s="9">
        <v>0.38472222222222219</v>
      </c>
      <c r="E42" s="15">
        <f>9*60+14</f>
        <v>554</v>
      </c>
      <c r="F42" s="12"/>
      <c r="G42" s="3" t="s">
        <v>492</v>
      </c>
      <c r="M42" s="138"/>
      <c r="O42" s="134">
        <v>1</v>
      </c>
      <c r="Q42" s="92" t="s">
        <v>905</v>
      </c>
      <c r="R42" s="57">
        <f t="shared" si="10"/>
        <v>21873</v>
      </c>
      <c r="S42" s="56">
        <f t="shared" si="11"/>
        <v>364.55</v>
      </c>
      <c r="T42" s="50">
        <f t="shared" si="3"/>
        <v>6.0758333333333336</v>
      </c>
      <c r="Y42">
        <f t="shared" si="9"/>
        <v>6.0758333333333336</v>
      </c>
    </row>
    <row r="43" spans="3:25" x14ac:dyDescent="0.25">
      <c r="C43" s="6">
        <v>37</v>
      </c>
      <c r="D43" s="9">
        <v>0.31666666666666665</v>
      </c>
      <c r="E43" s="15">
        <f>7*60+36</f>
        <v>456</v>
      </c>
      <c r="F43" s="12"/>
      <c r="G43" s="3" t="s">
        <v>493</v>
      </c>
      <c r="M43" s="138"/>
      <c r="N43" s="134">
        <v>1</v>
      </c>
      <c r="P43" s="134"/>
      <c r="R43" s="57">
        <f t="shared" si="10"/>
        <v>22329</v>
      </c>
      <c r="S43" s="56">
        <f t="shared" si="11"/>
        <v>372.15</v>
      </c>
      <c r="T43" s="50">
        <f t="shared" si="3"/>
        <v>6.2024999999999997</v>
      </c>
      <c r="Y43">
        <f t="shared" si="9"/>
        <v>6.2024999999999997</v>
      </c>
    </row>
    <row r="44" spans="3:25" x14ac:dyDescent="0.25">
      <c r="C44" s="6">
        <v>38</v>
      </c>
      <c r="D44" s="9">
        <v>0.24444444444444446</v>
      </c>
      <c r="E44" s="15">
        <f>5*60+52</f>
        <v>352</v>
      </c>
      <c r="F44" s="12"/>
      <c r="G44" s="3" t="s">
        <v>494</v>
      </c>
      <c r="M44" s="138"/>
      <c r="N44" s="134">
        <v>1</v>
      </c>
      <c r="P44" s="134"/>
      <c r="R44" s="57">
        <f t="shared" si="10"/>
        <v>22681</v>
      </c>
      <c r="S44" s="56">
        <f t="shared" si="11"/>
        <v>378.01666666666665</v>
      </c>
      <c r="T44" s="50">
        <f t="shared" si="3"/>
        <v>6.3002777777777776</v>
      </c>
      <c r="W44" s="109"/>
      <c r="Y44">
        <f t="shared" si="9"/>
        <v>6.3002777777777776</v>
      </c>
    </row>
    <row r="45" spans="3:25" x14ac:dyDescent="0.25">
      <c r="C45" s="6">
        <v>39</v>
      </c>
      <c r="D45" s="9">
        <v>0.36041666666666666</v>
      </c>
      <c r="E45" s="15">
        <f>8*60+39</f>
        <v>519</v>
      </c>
      <c r="F45" s="12"/>
      <c r="G45" s="3" t="s">
        <v>495</v>
      </c>
      <c r="M45" s="138"/>
      <c r="N45" s="134">
        <v>1</v>
      </c>
      <c r="P45" s="134"/>
      <c r="R45" s="57">
        <f t="shared" si="10"/>
        <v>23200</v>
      </c>
      <c r="S45" s="56">
        <f t="shared" ref="S45:S49" si="12">R45/60</f>
        <v>386.66666666666669</v>
      </c>
      <c r="T45" s="50">
        <f t="shared" si="3"/>
        <v>6.4444444444444446</v>
      </c>
      <c r="Y45">
        <f t="shared" si="9"/>
        <v>6.4444444444444446</v>
      </c>
    </row>
    <row r="46" spans="3:25" x14ac:dyDescent="0.25">
      <c r="C46" s="6">
        <v>40</v>
      </c>
      <c r="D46" s="9">
        <v>0.55069444444444449</v>
      </c>
      <c r="E46" s="15">
        <f>13*60+13</f>
        <v>793</v>
      </c>
      <c r="F46" s="12"/>
      <c r="G46" s="3" t="s">
        <v>496</v>
      </c>
      <c r="M46" s="138"/>
      <c r="N46" s="134">
        <v>1</v>
      </c>
      <c r="P46" s="134"/>
      <c r="R46" s="58">
        <f t="shared" si="10"/>
        <v>23993</v>
      </c>
      <c r="S46" s="59">
        <f t="shared" si="12"/>
        <v>399.88333333333333</v>
      </c>
      <c r="T46" s="50">
        <f t="shared" si="3"/>
        <v>6.6647222222222222</v>
      </c>
      <c r="Y46">
        <f t="shared" si="9"/>
        <v>6.6647222222222222</v>
      </c>
    </row>
    <row r="47" spans="3:25" ht="15.75" thickBot="1" x14ac:dyDescent="0.3">
      <c r="C47" s="17"/>
      <c r="D47" s="18"/>
      <c r="E47" s="19">
        <f>SUM(E37:E46)/60</f>
        <v>90.433333333333337</v>
      </c>
      <c r="F47" s="20">
        <f>E47/60</f>
        <v>1.5072222222222222</v>
      </c>
      <c r="G47" s="21"/>
      <c r="M47" s="138"/>
      <c r="P47" s="134"/>
      <c r="R47" s="58"/>
      <c r="S47" s="59"/>
      <c r="T47" s="50"/>
      <c r="Y47">
        <f t="shared" si="9"/>
        <v>0</v>
      </c>
    </row>
    <row r="48" spans="3:25" x14ac:dyDescent="0.25">
      <c r="C48" s="7">
        <v>41</v>
      </c>
      <c r="D48" s="10">
        <v>0.24166666666666667</v>
      </c>
      <c r="E48" s="16">
        <f>5*60+48</f>
        <v>348</v>
      </c>
      <c r="F48" s="13"/>
      <c r="G48" s="4" t="s">
        <v>497</v>
      </c>
      <c r="M48" s="138"/>
      <c r="N48" s="63">
        <v>1</v>
      </c>
      <c r="P48" s="134"/>
      <c r="R48" s="60">
        <f>E48+R46</f>
        <v>24341</v>
      </c>
      <c r="S48" s="59">
        <f t="shared" si="12"/>
        <v>405.68333333333334</v>
      </c>
      <c r="T48" s="50">
        <f t="shared" si="3"/>
        <v>6.7613888888888889</v>
      </c>
      <c r="Y48">
        <f t="shared" si="9"/>
        <v>6.7613888888888889</v>
      </c>
    </row>
    <row r="49" spans="3:25" x14ac:dyDescent="0.25">
      <c r="C49" s="6">
        <v>42</v>
      </c>
      <c r="D49" s="9">
        <v>0.42777777777777781</v>
      </c>
      <c r="E49" s="15">
        <f>10*60+16</f>
        <v>616</v>
      </c>
      <c r="F49" s="12"/>
      <c r="G49" s="3" t="s">
        <v>498</v>
      </c>
      <c r="M49" s="138"/>
      <c r="N49" s="63">
        <v>1</v>
      </c>
      <c r="P49" s="134"/>
      <c r="R49" s="60">
        <f t="shared" ref="R49:R57" si="13">E49+R48</f>
        <v>24957</v>
      </c>
      <c r="S49" s="59">
        <f t="shared" si="12"/>
        <v>415.95</v>
      </c>
      <c r="T49" s="50">
        <f t="shared" si="3"/>
        <v>6.9325000000000001</v>
      </c>
      <c r="Y49">
        <f t="shared" si="9"/>
        <v>6.9325000000000001</v>
      </c>
    </row>
    <row r="50" spans="3:25" x14ac:dyDescent="0.25">
      <c r="C50" s="6">
        <v>43</v>
      </c>
      <c r="D50" s="9">
        <v>0.4291666666666667</v>
      </c>
      <c r="E50" s="15">
        <f>10*60+18</f>
        <v>618</v>
      </c>
      <c r="F50" s="12"/>
      <c r="G50" s="3" t="s">
        <v>499</v>
      </c>
      <c r="M50" s="138"/>
      <c r="N50" s="63">
        <v>1</v>
      </c>
      <c r="P50" s="134"/>
      <c r="Q50" s="92" t="s">
        <v>909</v>
      </c>
      <c r="R50" s="60">
        <f t="shared" si="13"/>
        <v>25575</v>
      </c>
      <c r="S50" s="59">
        <f t="shared" ref="S50:S53" si="14">R50/60</f>
        <v>426.25</v>
      </c>
      <c r="T50" s="50">
        <f t="shared" si="3"/>
        <v>7.104166666666667</v>
      </c>
      <c r="Y50">
        <f t="shared" si="9"/>
        <v>7.104166666666667</v>
      </c>
    </row>
    <row r="51" spans="3:25" x14ac:dyDescent="0.25">
      <c r="C51" s="6">
        <v>44</v>
      </c>
      <c r="D51" s="9">
        <v>0.57222222222222219</v>
      </c>
      <c r="E51" s="15">
        <f>13*60+44</f>
        <v>824</v>
      </c>
      <c r="F51" s="12"/>
      <c r="G51" s="3" t="s">
        <v>500</v>
      </c>
      <c r="M51" s="138"/>
      <c r="N51" s="63">
        <v>1</v>
      </c>
      <c r="P51" s="134"/>
      <c r="R51" s="60">
        <f t="shared" si="13"/>
        <v>26399</v>
      </c>
      <c r="S51" s="59">
        <f t="shared" si="14"/>
        <v>439.98333333333335</v>
      </c>
      <c r="T51" s="50">
        <f t="shared" si="3"/>
        <v>7.3330555555555561</v>
      </c>
      <c r="Y51">
        <f t="shared" si="9"/>
        <v>7.3330555555555552</v>
      </c>
    </row>
    <row r="52" spans="3:25" x14ac:dyDescent="0.25">
      <c r="C52" s="6">
        <v>45</v>
      </c>
      <c r="D52" s="9">
        <v>0.64166666666666672</v>
      </c>
      <c r="E52" s="15">
        <f>15*60+24</f>
        <v>924</v>
      </c>
      <c r="F52" s="12"/>
      <c r="G52" s="3" t="s">
        <v>501</v>
      </c>
      <c r="M52" s="138"/>
      <c r="N52" s="63">
        <v>1</v>
      </c>
      <c r="P52" s="134"/>
      <c r="R52" s="60">
        <f t="shared" si="13"/>
        <v>27323</v>
      </c>
      <c r="S52" s="59">
        <f t="shared" si="14"/>
        <v>455.38333333333333</v>
      </c>
      <c r="T52" s="50">
        <f t="shared" si="3"/>
        <v>7.589722222222222</v>
      </c>
      <c r="Y52">
        <f t="shared" si="9"/>
        <v>7.589722222222222</v>
      </c>
    </row>
    <row r="53" spans="3:25" x14ac:dyDescent="0.25">
      <c r="C53" s="6">
        <v>46</v>
      </c>
      <c r="D53" s="9">
        <v>0.51736111111111105</v>
      </c>
      <c r="E53" s="15">
        <f>12*60+25</f>
        <v>745</v>
      </c>
      <c r="F53" s="12"/>
      <c r="G53" s="3" t="s">
        <v>502</v>
      </c>
      <c r="M53" s="138"/>
      <c r="N53" s="63">
        <v>1</v>
      </c>
      <c r="P53" s="134"/>
      <c r="R53" s="60">
        <f t="shared" si="13"/>
        <v>28068</v>
      </c>
      <c r="S53" s="59">
        <f t="shared" si="14"/>
        <v>467.8</v>
      </c>
      <c r="T53" s="50">
        <f t="shared" si="3"/>
        <v>7.7966666666666669</v>
      </c>
      <c r="Y53">
        <f t="shared" si="9"/>
        <v>7.7966666666666669</v>
      </c>
    </row>
    <row r="54" spans="3:25" x14ac:dyDescent="0.25">
      <c r="C54" s="6">
        <v>47</v>
      </c>
      <c r="D54" s="9">
        <v>0.71805555555555556</v>
      </c>
      <c r="E54" s="15">
        <f>17*60+14</f>
        <v>1034</v>
      </c>
      <c r="F54" s="12"/>
      <c r="G54" s="3" t="s">
        <v>503</v>
      </c>
      <c r="M54" s="138"/>
      <c r="N54" s="63">
        <v>1</v>
      </c>
      <c r="P54" s="134"/>
      <c r="Q54" s="92" t="s">
        <v>910</v>
      </c>
      <c r="R54" s="61">
        <f t="shared" si="13"/>
        <v>29102</v>
      </c>
      <c r="S54" s="62">
        <f t="shared" ref="S54:S117" si="15">R54/60</f>
        <v>485.03333333333336</v>
      </c>
      <c r="T54" s="50">
        <f t="shared" si="3"/>
        <v>8.0838888888888896</v>
      </c>
      <c r="U54" s="92"/>
      <c r="Y54">
        <f t="shared" si="9"/>
        <v>8.0838888888888896</v>
      </c>
    </row>
    <row r="55" spans="3:25" x14ac:dyDescent="0.25">
      <c r="C55" s="6">
        <v>48</v>
      </c>
      <c r="D55" s="9">
        <v>0.46111111111111108</v>
      </c>
      <c r="E55" s="15">
        <f>11*60+4</f>
        <v>664</v>
      </c>
      <c r="F55" s="12"/>
      <c r="G55" s="3" t="s">
        <v>504</v>
      </c>
      <c r="M55" s="138"/>
      <c r="N55" s="63">
        <v>1</v>
      </c>
      <c r="P55" s="134"/>
      <c r="R55" s="136">
        <f t="shared" si="13"/>
        <v>29766</v>
      </c>
      <c r="S55" s="75">
        <f t="shared" si="15"/>
        <v>496.1</v>
      </c>
      <c r="T55" s="50">
        <f t="shared" si="3"/>
        <v>8.2683333333333344</v>
      </c>
    </row>
    <row r="56" spans="3:25" x14ac:dyDescent="0.25">
      <c r="C56" s="6">
        <v>49</v>
      </c>
      <c r="D56" s="9">
        <v>0.6645833333333333</v>
      </c>
      <c r="E56" s="15">
        <f>15*60+57</f>
        <v>957</v>
      </c>
      <c r="F56" s="12"/>
      <c r="G56" s="3" t="s">
        <v>505</v>
      </c>
      <c r="M56" s="138"/>
      <c r="N56" s="63">
        <v>1</v>
      </c>
      <c r="P56" s="134"/>
      <c r="R56" s="136">
        <f t="shared" si="13"/>
        <v>30723</v>
      </c>
      <c r="S56" s="75">
        <f t="shared" si="15"/>
        <v>512.04999999999995</v>
      </c>
      <c r="T56" s="50">
        <f t="shared" si="3"/>
        <v>8.5341666666666658</v>
      </c>
    </row>
    <row r="57" spans="3:25" x14ac:dyDescent="0.25">
      <c r="C57" s="6">
        <v>50</v>
      </c>
      <c r="D57" s="9">
        <v>0.45763888888888887</v>
      </c>
      <c r="E57" s="15">
        <f>10*60+59</f>
        <v>659</v>
      </c>
      <c r="F57" s="12"/>
      <c r="G57" s="3" t="s">
        <v>506</v>
      </c>
      <c r="M57" s="138"/>
      <c r="N57" s="63">
        <v>1</v>
      </c>
      <c r="P57" s="134"/>
      <c r="R57" s="136">
        <f t="shared" si="13"/>
        <v>31382</v>
      </c>
      <c r="S57" s="75">
        <f t="shared" si="15"/>
        <v>523.0333333333333</v>
      </c>
      <c r="T57" s="50">
        <f t="shared" si="3"/>
        <v>8.7172222222222224</v>
      </c>
    </row>
    <row r="58" spans="3:25" ht="15.75" thickBot="1" x14ac:dyDescent="0.3">
      <c r="C58" s="17"/>
      <c r="D58" s="18"/>
      <c r="E58" s="19">
        <f>SUM(E48:E57)/60</f>
        <v>123.15</v>
      </c>
      <c r="F58" s="20">
        <f>E58/60</f>
        <v>2.0525000000000002</v>
      </c>
      <c r="G58" s="21"/>
      <c r="M58" s="138"/>
      <c r="P58" s="134"/>
      <c r="R58" s="136"/>
      <c r="S58" s="75"/>
      <c r="T58" s="50">
        <f t="shared" si="3"/>
        <v>0</v>
      </c>
    </row>
    <row r="59" spans="3:25" x14ac:dyDescent="0.25">
      <c r="C59" s="7">
        <v>51</v>
      </c>
      <c r="D59" s="10">
        <v>0.33124999999999999</v>
      </c>
      <c r="E59" s="16">
        <f>7*60+57</f>
        <v>477</v>
      </c>
      <c r="F59" s="13"/>
      <c r="G59" s="4" t="s">
        <v>507</v>
      </c>
      <c r="M59" s="138"/>
      <c r="N59" s="63">
        <v>1</v>
      </c>
      <c r="P59" s="134"/>
      <c r="R59" s="136">
        <f>E59+R57</f>
        <v>31859</v>
      </c>
      <c r="S59" s="75">
        <f t="shared" si="15"/>
        <v>530.98333333333335</v>
      </c>
      <c r="T59" s="50">
        <f t="shared" si="3"/>
        <v>8.8497222222222227</v>
      </c>
    </row>
    <row r="60" spans="3:25" x14ac:dyDescent="0.25">
      <c r="C60" s="6">
        <v>52</v>
      </c>
      <c r="D60" s="9">
        <v>0.56597222222222221</v>
      </c>
      <c r="E60" s="15">
        <f>13*60+35</f>
        <v>815</v>
      </c>
      <c r="F60" s="12"/>
      <c r="G60" s="3" t="s">
        <v>508</v>
      </c>
      <c r="M60" s="138"/>
      <c r="N60" s="63">
        <v>1</v>
      </c>
      <c r="P60" s="134"/>
      <c r="Q60" s="92" t="s">
        <v>1339</v>
      </c>
      <c r="R60" s="136">
        <f t="shared" ref="R60:R68" si="16">E60+R59</f>
        <v>32674</v>
      </c>
      <c r="S60" s="75">
        <f t="shared" si="15"/>
        <v>544.56666666666672</v>
      </c>
      <c r="T60" s="50">
        <f t="shared" si="3"/>
        <v>9.0761111111111124</v>
      </c>
    </row>
    <row r="61" spans="3:25" x14ac:dyDescent="0.25">
      <c r="C61" s="7">
        <v>53</v>
      </c>
      <c r="D61" s="9">
        <v>0.58819444444444446</v>
      </c>
      <c r="E61" s="15">
        <f>14*60+7</f>
        <v>847</v>
      </c>
      <c r="F61" s="12"/>
      <c r="G61" s="3" t="s">
        <v>509</v>
      </c>
      <c r="M61" s="134">
        <v>1</v>
      </c>
      <c r="P61" s="134"/>
      <c r="R61" s="136">
        <f t="shared" si="16"/>
        <v>33521</v>
      </c>
      <c r="S61" s="75">
        <f t="shared" si="15"/>
        <v>558.68333333333328</v>
      </c>
      <c r="T61" s="50">
        <f t="shared" si="3"/>
        <v>9.3113888888888887</v>
      </c>
    </row>
    <row r="62" spans="3:25" x14ac:dyDescent="0.25">
      <c r="C62" s="6">
        <v>54</v>
      </c>
      <c r="D62" s="9">
        <v>0.59583333333333333</v>
      </c>
      <c r="E62" s="15">
        <f>14*60+18</f>
        <v>858</v>
      </c>
      <c r="F62" s="12"/>
      <c r="G62" s="3" t="s">
        <v>510</v>
      </c>
      <c r="M62" s="134">
        <v>1</v>
      </c>
      <c r="P62" s="134"/>
      <c r="R62" s="136">
        <f t="shared" si="16"/>
        <v>34379</v>
      </c>
      <c r="S62" s="75">
        <f t="shared" si="15"/>
        <v>572.98333333333335</v>
      </c>
      <c r="T62" s="50">
        <f t="shared" si="3"/>
        <v>9.549722222222222</v>
      </c>
    </row>
    <row r="63" spans="3:25" x14ac:dyDescent="0.25">
      <c r="C63" s="7">
        <v>55</v>
      </c>
      <c r="D63" s="9">
        <v>0.33611111111111108</v>
      </c>
      <c r="E63" s="15">
        <f>8*60+4</f>
        <v>484</v>
      </c>
      <c r="F63" s="12"/>
      <c r="G63" s="3" t="s">
        <v>511</v>
      </c>
      <c r="M63" s="134">
        <v>1</v>
      </c>
      <c r="P63" s="134"/>
      <c r="R63" s="136">
        <f t="shared" si="16"/>
        <v>34863</v>
      </c>
      <c r="S63" s="75">
        <f t="shared" si="15"/>
        <v>581.04999999999995</v>
      </c>
      <c r="T63" s="50">
        <f t="shared" si="3"/>
        <v>9.6841666666666661</v>
      </c>
    </row>
    <row r="64" spans="3:25" x14ac:dyDescent="0.25">
      <c r="C64" s="6">
        <v>56</v>
      </c>
      <c r="D64" s="9">
        <v>0.21805555555555556</v>
      </c>
      <c r="E64" s="15">
        <f>5*60+14</f>
        <v>314</v>
      </c>
      <c r="F64" s="12"/>
      <c r="G64" s="3" t="s">
        <v>512</v>
      </c>
      <c r="M64" s="134">
        <v>1</v>
      </c>
      <c r="P64" s="134"/>
      <c r="R64" s="136">
        <f t="shared" si="16"/>
        <v>35177</v>
      </c>
      <c r="S64" s="75">
        <f t="shared" si="15"/>
        <v>586.2833333333333</v>
      </c>
      <c r="T64" s="50">
        <f t="shared" si="3"/>
        <v>9.7713888888888878</v>
      </c>
    </row>
    <row r="65" spans="3:20" x14ac:dyDescent="0.25">
      <c r="C65" s="7">
        <v>57</v>
      </c>
      <c r="D65" s="9">
        <v>0.3125</v>
      </c>
      <c r="E65" s="15">
        <f>7*60+30</f>
        <v>450</v>
      </c>
      <c r="F65" s="12"/>
      <c r="G65" s="3" t="s">
        <v>513</v>
      </c>
      <c r="M65" s="134">
        <v>1</v>
      </c>
      <c r="P65" s="134"/>
      <c r="R65" s="136">
        <f t="shared" si="16"/>
        <v>35627</v>
      </c>
      <c r="S65" s="75">
        <f t="shared" si="15"/>
        <v>593.7833333333333</v>
      </c>
      <c r="T65" s="50">
        <f t="shared" si="3"/>
        <v>9.8963888888888878</v>
      </c>
    </row>
    <row r="66" spans="3:20" x14ac:dyDescent="0.25">
      <c r="C66" s="6">
        <v>58</v>
      </c>
      <c r="D66" s="9">
        <v>0.3666666666666667</v>
      </c>
      <c r="E66" s="15">
        <f>8*60+48</f>
        <v>528</v>
      </c>
      <c r="F66" s="12"/>
      <c r="G66" s="3" t="s">
        <v>515</v>
      </c>
      <c r="M66" s="134">
        <v>1</v>
      </c>
      <c r="P66" s="134"/>
      <c r="R66" s="136">
        <f t="shared" si="16"/>
        <v>36155</v>
      </c>
      <c r="S66" s="75">
        <f t="shared" si="15"/>
        <v>602.58333333333337</v>
      </c>
      <c r="T66" s="50">
        <f t="shared" si="3"/>
        <v>10.043055555555556</v>
      </c>
    </row>
    <row r="67" spans="3:20" x14ac:dyDescent="0.25">
      <c r="C67" s="7">
        <v>59</v>
      </c>
      <c r="D67" s="9">
        <v>0.23541666666666669</v>
      </c>
      <c r="E67" s="15">
        <f>5*60+39</f>
        <v>339</v>
      </c>
      <c r="F67" s="12"/>
      <c r="G67" s="3" t="s">
        <v>514</v>
      </c>
      <c r="M67" s="134">
        <v>1</v>
      </c>
      <c r="P67" s="134"/>
      <c r="R67" s="136">
        <f t="shared" si="16"/>
        <v>36494</v>
      </c>
      <c r="S67" s="75">
        <f t="shared" si="15"/>
        <v>608.23333333333335</v>
      </c>
      <c r="T67" s="50">
        <f t="shared" si="3"/>
        <v>10.137222222222222</v>
      </c>
    </row>
    <row r="68" spans="3:20" x14ac:dyDescent="0.25">
      <c r="C68" s="6">
        <v>60</v>
      </c>
      <c r="D68" s="9">
        <v>0.2902777777777778</v>
      </c>
      <c r="E68" s="15">
        <f>6*60+58</f>
        <v>418</v>
      </c>
      <c r="F68" s="12"/>
      <c r="G68" s="3" t="s">
        <v>516</v>
      </c>
      <c r="M68" s="134"/>
      <c r="P68" s="134"/>
      <c r="Q68" s="92" t="s">
        <v>1342</v>
      </c>
      <c r="R68" s="136">
        <f t="shared" si="16"/>
        <v>36912</v>
      </c>
      <c r="S68" s="75">
        <f t="shared" si="15"/>
        <v>615.20000000000005</v>
      </c>
      <c r="T68" s="50">
        <f t="shared" si="3"/>
        <v>10.253333333333334</v>
      </c>
    </row>
    <row r="69" spans="3:20" ht="15.75" thickBot="1" x14ac:dyDescent="0.3">
      <c r="C69" s="17"/>
      <c r="D69" s="18"/>
      <c r="E69" s="19">
        <f>SUM(E59:E68)/60</f>
        <v>92.166666666666671</v>
      </c>
      <c r="F69" s="20">
        <f>E69/60</f>
        <v>1.5361111111111112</v>
      </c>
      <c r="G69" s="21"/>
      <c r="M69" s="134"/>
      <c r="P69" s="134"/>
      <c r="R69" s="136"/>
      <c r="S69" s="75"/>
      <c r="T69" s="50"/>
    </row>
    <row r="70" spans="3:20" x14ac:dyDescent="0.25">
      <c r="C70" s="7">
        <v>61</v>
      </c>
      <c r="D70" s="10">
        <v>0.65486111111111112</v>
      </c>
      <c r="E70" s="16">
        <f>15*60+43</f>
        <v>943</v>
      </c>
      <c r="F70" s="13"/>
      <c r="G70" s="4" t="s">
        <v>517</v>
      </c>
      <c r="M70" s="134">
        <v>1</v>
      </c>
      <c r="P70" s="134"/>
      <c r="R70" s="136">
        <f>E70+R68</f>
        <v>37855</v>
      </c>
      <c r="S70" s="75">
        <f t="shared" si="15"/>
        <v>630.91666666666663</v>
      </c>
      <c r="T70" s="50">
        <f t="shared" ref="T70:T127" si="17">S70/60</f>
        <v>10.515277777777778</v>
      </c>
    </row>
    <row r="71" spans="3:20" x14ac:dyDescent="0.25">
      <c r="C71" s="6">
        <v>62</v>
      </c>
      <c r="D71" s="9">
        <v>0.28888888888888892</v>
      </c>
      <c r="E71" s="15">
        <f>6*60+56</f>
        <v>416</v>
      </c>
      <c r="F71" s="12"/>
      <c r="G71" s="3" t="s">
        <v>518</v>
      </c>
      <c r="M71" s="134">
        <v>1</v>
      </c>
      <c r="P71" s="134"/>
      <c r="R71" s="136">
        <f t="shared" ref="R71:R79" si="18">E71+R70</f>
        <v>38271</v>
      </c>
      <c r="S71" s="75">
        <f t="shared" si="15"/>
        <v>637.85</v>
      </c>
      <c r="T71" s="50">
        <f t="shared" si="17"/>
        <v>10.630833333333333</v>
      </c>
    </row>
    <row r="72" spans="3:20" x14ac:dyDescent="0.25">
      <c r="C72" s="6">
        <v>63</v>
      </c>
      <c r="D72" s="9">
        <v>0.45763888888888887</v>
      </c>
      <c r="E72" s="15">
        <f>10*60+59</f>
        <v>659</v>
      </c>
      <c r="F72" s="12"/>
      <c r="G72" s="3" t="s">
        <v>519</v>
      </c>
      <c r="M72" s="134">
        <v>1</v>
      </c>
      <c r="P72" s="134"/>
      <c r="R72" s="136">
        <f t="shared" si="18"/>
        <v>38930</v>
      </c>
      <c r="S72" s="75">
        <f t="shared" si="15"/>
        <v>648.83333333333337</v>
      </c>
      <c r="T72" s="50">
        <f t="shared" si="17"/>
        <v>10.81388888888889</v>
      </c>
    </row>
    <row r="73" spans="3:20" x14ac:dyDescent="0.25">
      <c r="C73" s="6">
        <v>64</v>
      </c>
      <c r="D73" s="9">
        <v>0.53888888888888886</v>
      </c>
      <c r="E73" s="15">
        <f>12*60+56</f>
        <v>776</v>
      </c>
      <c r="F73" s="12"/>
      <c r="G73" s="3" t="s">
        <v>520</v>
      </c>
      <c r="M73" s="134">
        <v>1</v>
      </c>
      <c r="P73" s="134"/>
      <c r="R73" s="136">
        <f t="shared" si="18"/>
        <v>39706</v>
      </c>
      <c r="S73" s="75">
        <f t="shared" si="15"/>
        <v>661.76666666666665</v>
      </c>
      <c r="T73" s="50">
        <f t="shared" si="17"/>
        <v>11.029444444444444</v>
      </c>
    </row>
    <row r="74" spans="3:20" x14ac:dyDescent="0.25">
      <c r="C74" s="6">
        <v>65</v>
      </c>
      <c r="D74" s="9">
        <v>0.8027777777777777</v>
      </c>
      <c r="E74" s="15">
        <f>19*60+16</f>
        <v>1156</v>
      </c>
      <c r="F74" s="12"/>
      <c r="G74" s="3" t="s">
        <v>521</v>
      </c>
      <c r="M74" s="134">
        <v>1</v>
      </c>
      <c r="P74" s="134"/>
      <c r="Q74" s="92" t="s">
        <v>1343</v>
      </c>
      <c r="R74" s="136">
        <f t="shared" si="18"/>
        <v>40862</v>
      </c>
      <c r="S74" s="75">
        <f t="shared" si="15"/>
        <v>681.0333333333333</v>
      </c>
      <c r="T74" s="50">
        <f t="shared" si="17"/>
        <v>11.350555555555555</v>
      </c>
    </row>
    <row r="75" spans="3:20" x14ac:dyDescent="0.25">
      <c r="C75" s="6">
        <v>66</v>
      </c>
      <c r="D75" s="9">
        <v>0.72638888888888886</v>
      </c>
      <c r="E75" s="15">
        <f>17*60+26</f>
        <v>1046</v>
      </c>
      <c r="F75" s="12"/>
      <c r="G75" s="3" t="s">
        <v>522</v>
      </c>
      <c r="M75" s="134">
        <v>1</v>
      </c>
      <c r="P75" s="134"/>
      <c r="R75" s="136">
        <f t="shared" si="18"/>
        <v>41908</v>
      </c>
      <c r="S75" s="75">
        <f t="shared" si="15"/>
        <v>698.4666666666667</v>
      </c>
      <c r="T75" s="50">
        <f t="shared" si="17"/>
        <v>11.641111111111112</v>
      </c>
    </row>
    <row r="76" spans="3:20" x14ac:dyDescent="0.25">
      <c r="C76" s="6">
        <v>67</v>
      </c>
      <c r="D76" s="9">
        <v>0.46597222222222223</v>
      </c>
      <c r="E76" s="15">
        <f>11*60+11</f>
        <v>671</v>
      </c>
      <c r="F76" s="12"/>
      <c r="G76" s="3" t="s">
        <v>523</v>
      </c>
      <c r="M76" s="134">
        <v>1</v>
      </c>
      <c r="P76" s="134"/>
      <c r="R76" s="136">
        <f t="shared" si="18"/>
        <v>42579</v>
      </c>
      <c r="S76" s="75">
        <f t="shared" si="15"/>
        <v>709.65</v>
      </c>
      <c r="T76" s="50">
        <f t="shared" si="17"/>
        <v>11.827499999999999</v>
      </c>
    </row>
    <row r="77" spans="3:20" x14ac:dyDescent="0.25">
      <c r="C77" s="6">
        <v>68</v>
      </c>
      <c r="D77" s="9">
        <v>0.53541666666666665</v>
      </c>
      <c r="E77" s="15">
        <f>12*60+51</f>
        <v>771</v>
      </c>
      <c r="F77" s="12"/>
      <c r="G77" s="3" t="s">
        <v>524</v>
      </c>
      <c r="M77" s="134">
        <v>1</v>
      </c>
      <c r="P77" s="134"/>
      <c r="R77" s="136">
        <f t="shared" si="18"/>
        <v>43350</v>
      </c>
      <c r="S77" s="75">
        <f t="shared" si="15"/>
        <v>722.5</v>
      </c>
      <c r="T77" s="50">
        <f t="shared" si="17"/>
        <v>12.041666666666666</v>
      </c>
    </row>
    <row r="78" spans="3:20" x14ac:dyDescent="0.25">
      <c r="C78" s="6">
        <v>69</v>
      </c>
      <c r="D78" s="9">
        <v>0.3430555555555555</v>
      </c>
      <c r="E78" s="15">
        <f>8*60+14</f>
        <v>494</v>
      </c>
      <c r="F78" s="12"/>
      <c r="G78" s="3" t="s">
        <v>525</v>
      </c>
      <c r="M78" s="134">
        <v>1</v>
      </c>
      <c r="P78" s="134"/>
      <c r="Q78" s="92" t="s">
        <v>1341</v>
      </c>
      <c r="R78" s="136">
        <f t="shared" si="18"/>
        <v>43844</v>
      </c>
      <c r="S78" s="75">
        <f t="shared" si="15"/>
        <v>730.73333333333335</v>
      </c>
      <c r="T78" s="50">
        <f t="shared" si="17"/>
        <v>12.178888888888888</v>
      </c>
    </row>
    <row r="79" spans="3:20" x14ac:dyDescent="0.25">
      <c r="C79" s="6">
        <v>70</v>
      </c>
      <c r="D79" s="9">
        <v>0.9291666666666667</v>
      </c>
      <c r="E79" s="15">
        <f>22*60+18</f>
        <v>1338</v>
      </c>
      <c r="F79" s="12"/>
      <c r="G79" s="3" t="s">
        <v>526</v>
      </c>
      <c r="L79" s="63">
        <v>1</v>
      </c>
      <c r="M79" s="138"/>
      <c r="P79" s="134"/>
      <c r="R79" s="136">
        <f t="shared" si="18"/>
        <v>45182</v>
      </c>
      <c r="S79" s="75">
        <f t="shared" si="15"/>
        <v>753.0333333333333</v>
      </c>
      <c r="T79" s="50">
        <f t="shared" si="17"/>
        <v>12.550555555555555</v>
      </c>
    </row>
    <row r="80" spans="3:20" ht="15.75" thickBot="1" x14ac:dyDescent="0.3">
      <c r="C80" s="17"/>
      <c r="D80" s="18"/>
      <c r="E80" s="19">
        <f>SUM(E70:E79)/60</f>
        <v>137.83333333333334</v>
      </c>
      <c r="F80" s="20">
        <f>E80/60</f>
        <v>2.2972222222222225</v>
      </c>
      <c r="G80" s="21"/>
      <c r="M80" s="138"/>
      <c r="P80" s="134"/>
      <c r="R80" s="136"/>
      <c r="S80" s="75"/>
      <c r="T80" s="50"/>
    </row>
    <row r="81" spans="3:20" x14ac:dyDescent="0.25">
      <c r="C81" s="7">
        <v>71</v>
      </c>
      <c r="D81" s="10">
        <v>0.37638888888888888</v>
      </c>
      <c r="E81" s="16">
        <f>9*60+2</f>
        <v>542</v>
      </c>
      <c r="F81" s="13"/>
      <c r="G81" s="4" t="s">
        <v>552</v>
      </c>
      <c r="L81" s="63">
        <v>1</v>
      </c>
      <c r="M81" s="138"/>
      <c r="P81" s="134"/>
      <c r="R81" s="136">
        <f>E81+R79</f>
        <v>45724</v>
      </c>
      <c r="S81" s="75">
        <f t="shared" si="15"/>
        <v>762.06666666666672</v>
      </c>
      <c r="T81" s="50">
        <f t="shared" si="17"/>
        <v>12.701111111111112</v>
      </c>
    </row>
    <row r="82" spans="3:20" x14ac:dyDescent="0.25">
      <c r="C82" s="6">
        <v>72</v>
      </c>
      <c r="D82" s="9">
        <v>0.7284722222222223</v>
      </c>
      <c r="E82" s="15">
        <f>17*60+29</f>
        <v>1049</v>
      </c>
      <c r="F82" s="12"/>
      <c r="G82" s="3" t="s">
        <v>553</v>
      </c>
      <c r="L82" s="63">
        <v>1</v>
      </c>
      <c r="M82" s="138"/>
      <c r="P82" s="134"/>
      <c r="R82" s="136">
        <f t="shared" ref="R82:R90" si="19">E82+R81</f>
        <v>46773</v>
      </c>
      <c r="S82" s="75">
        <f t="shared" si="15"/>
        <v>779.55</v>
      </c>
      <c r="T82" s="50">
        <f t="shared" si="17"/>
        <v>12.9925</v>
      </c>
    </row>
    <row r="83" spans="3:20" x14ac:dyDescent="0.25">
      <c r="C83" s="6">
        <v>73</v>
      </c>
      <c r="D83" s="9">
        <v>0.58124999999999993</v>
      </c>
      <c r="E83" s="15">
        <f>13*60+57</f>
        <v>837</v>
      </c>
      <c r="F83" s="12"/>
      <c r="G83" s="3" t="s">
        <v>554</v>
      </c>
      <c r="L83" s="63">
        <v>1</v>
      </c>
      <c r="M83" s="138"/>
      <c r="P83" s="134"/>
      <c r="R83" s="136">
        <f t="shared" si="19"/>
        <v>47610</v>
      </c>
      <c r="S83" s="75">
        <f t="shared" si="15"/>
        <v>793.5</v>
      </c>
      <c r="T83" s="50">
        <f t="shared" si="17"/>
        <v>13.225</v>
      </c>
    </row>
    <row r="84" spans="3:20" x14ac:dyDescent="0.25">
      <c r="C84" s="6">
        <v>74</v>
      </c>
      <c r="D84" s="9">
        <v>0.66736111111111107</v>
      </c>
      <c r="E84" s="15">
        <f>16*60+1</f>
        <v>961</v>
      </c>
      <c r="F84" s="12"/>
      <c r="G84" s="3" t="s">
        <v>555</v>
      </c>
      <c r="L84" s="63">
        <v>1</v>
      </c>
      <c r="M84" s="138"/>
      <c r="P84" s="134"/>
      <c r="Q84" s="92" t="s">
        <v>1345</v>
      </c>
      <c r="R84" s="136">
        <f t="shared" si="19"/>
        <v>48571</v>
      </c>
      <c r="S84" s="75">
        <f t="shared" si="15"/>
        <v>809.51666666666665</v>
      </c>
      <c r="T84" s="50">
        <f t="shared" si="17"/>
        <v>13.491944444444444</v>
      </c>
    </row>
    <row r="85" spans="3:20" x14ac:dyDescent="0.25">
      <c r="C85" s="6">
        <v>75</v>
      </c>
      <c r="D85" s="9">
        <v>0.3444444444444445</v>
      </c>
      <c r="E85" s="15">
        <f>8*60+16</f>
        <v>496</v>
      </c>
      <c r="F85" s="12"/>
      <c r="G85" s="3" t="s">
        <v>556</v>
      </c>
      <c r="L85" s="63">
        <v>1</v>
      </c>
      <c r="M85" s="138"/>
      <c r="P85" s="134"/>
      <c r="R85" s="136">
        <f t="shared" si="19"/>
        <v>49067</v>
      </c>
      <c r="S85" s="75">
        <f t="shared" si="15"/>
        <v>817.7833333333333</v>
      </c>
      <c r="T85" s="50">
        <f t="shared" si="17"/>
        <v>13.629722222222222</v>
      </c>
    </row>
    <row r="86" spans="3:20" x14ac:dyDescent="0.25">
      <c r="C86" s="6">
        <v>76</v>
      </c>
      <c r="D86" s="9">
        <v>0.67083333333333339</v>
      </c>
      <c r="E86" s="15">
        <f>16*60+6</f>
        <v>966</v>
      </c>
      <c r="F86" s="12"/>
      <c r="G86" s="3" t="s">
        <v>557</v>
      </c>
      <c r="L86" s="63">
        <v>1</v>
      </c>
      <c r="M86" s="138"/>
      <c r="P86" s="134"/>
      <c r="R86" s="136">
        <f t="shared" si="19"/>
        <v>50033</v>
      </c>
      <c r="S86" s="75">
        <f t="shared" si="15"/>
        <v>833.88333333333333</v>
      </c>
      <c r="T86" s="50">
        <f t="shared" si="17"/>
        <v>13.898055555555555</v>
      </c>
    </row>
    <row r="87" spans="3:20" x14ac:dyDescent="0.25">
      <c r="C87" s="6">
        <v>77</v>
      </c>
      <c r="D87" s="9">
        <v>0.46388888888888885</v>
      </c>
      <c r="E87" s="15">
        <f>11*60+8</f>
        <v>668</v>
      </c>
      <c r="F87" s="12"/>
      <c r="G87" s="3" t="s">
        <v>558</v>
      </c>
      <c r="L87" s="63">
        <v>1</v>
      </c>
      <c r="M87" s="138"/>
      <c r="P87" s="134"/>
      <c r="R87" s="136">
        <f t="shared" si="19"/>
        <v>50701</v>
      </c>
      <c r="S87" s="75">
        <f t="shared" si="15"/>
        <v>845.01666666666665</v>
      </c>
      <c r="T87" s="50">
        <f t="shared" si="17"/>
        <v>14.083611111111111</v>
      </c>
    </row>
    <row r="88" spans="3:20" x14ac:dyDescent="0.25">
      <c r="C88" s="6">
        <v>78</v>
      </c>
      <c r="D88" s="9">
        <v>0.33263888888888887</v>
      </c>
      <c r="E88" s="15">
        <f>7*60+59</f>
        <v>479</v>
      </c>
      <c r="F88" s="12"/>
      <c r="G88" s="3" t="s">
        <v>559</v>
      </c>
      <c r="L88" s="63">
        <v>1</v>
      </c>
      <c r="M88" s="138"/>
      <c r="P88" s="134"/>
      <c r="R88" s="136">
        <f t="shared" si="19"/>
        <v>51180</v>
      </c>
      <c r="S88" s="75">
        <f t="shared" si="15"/>
        <v>853</v>
      </c>
      <c r="T88" s="50">
        <f t="shared" si="17"/>
        <v>14.216666666666667</v>
      </c>
    </row>
    <row r="89" spans="3:20" x14ac:dyDescent="0.25">
      <c r="C89" s="6">
        <v>79</v>
      </c>
      <c r="D89" s="9">
        <v>0.42986111111111108</v>
      </c>
      <c r="E89" s="15">
        <f>10*60+19</f>
        <v>619</v>
      </c>
      <c r="F89" s="12"/>
      <c r="G89" s="3" t="s">
        <v>560</v>
      </c>
      <c r="L89" s="63">
        <v>1</v>
      </c>
      <c r="M89" s="138"/>
      <c r="P89" s="134"/>
      <c r="Q89" s="92" t="s">
        <v>1346</v>
      </c>
      <c r="R89" s="136">
        <f t="shared" si="19"/>
        <v>51799</v>
      </c>
      <c r="S89" s="75">
        <f t="shared" si="15"/>
        <v>863.31666666666672</v>
      </c>
      <c r="T89" s="50">
        <f t="shared" si="17"/>
        <v>14.388611111111112</v>
      </c>
    </row>
    <row r="90" spans="3:20" x14ac:dyDescent="0.25">
      <c r="C90" s="6">
        <v>80</v>
      </c>
      <c r="D90" s="9">
        <v>0.51597222222222217</v>
      </c>
      <c r="E90" s="15">
        <f>12*60+23</f>
        <v>743</v>
      </c>
      <c r="F90" s="12"/>
      <c r="G90" s="3" t="s">
        <v>561</v>
      </c>
      <c r="M90" s="138"/>
      <c r="P90" s="134"/>
      <c r="R90" s="136">
        <f t="shared" si="19"/>
        <v>52542</v>
      </c>
      <c r="S90" s="75">
        <f t="shared" si="15"/>
        <v>875.7</v>
      </c>
      <c r="T90" s="50">
        <f t="shared" si="17"/>
        <v>14.595000000000001</v>
      </c>
    </row>
    <row r="91" spans="3:20" ht="15.75" thickBot="1" x14ac:dyDescent="0.3">
      <c r="C91" s="17"/>
      <c r="D91" s="18"/>
      <c r="E91" s="19">
        <f>SUM(E81:E90)/60</f>
        <v>122.66666666666667</v>
      </c>
      <c r="F91" s="20">
        <f>E91/60</f>
        <v>2.0444444444444447</v>
      </c>
      <c r="G91" s="21"/>
      <c r="M91" s="138"/>
      <c r="P91" s="134"/>
      <c r="R91" s="136"/>
      <c r="S91" s="75"/>
      <c r="T91" s="50"/>
    </row>
    <row r="92" spans="3:20" x14ac:dyDescent="0.25">
      <c r="C92" s="7">
        <v>81</v>
      </c>
      <c r="D92" s="10">
        <v>0.35486111111111113</v>
      </c>
      <c r="E92" s="16">
        <f>8*60+31</f>
        <v>511</v>
      </c>
      <c r="F92" s="13"/>
      <c r="G92" s="4" t="s">
        <v>562</v>
      </c>
      <c r="L92" s="63">
        <v>1</v>
      </c>
      <c r="M92" s="138"/>
      <c r="P92" s="134"/>
      <c r="R92" s="136">
        <f>E92+R90</f>
        <v>53053</v>
      </c>
      <c r="S92" s="75">
        <f t="shared" si="15"/>
        <v>884.2166666666667</v>
      </c>
      <c r="T92" s="50">
        <f t="shared" si="17"/>
        <v>14.736944444444445</v>
      </c>
    </row>
    <row r="93" spans="3:20" x14ac:dyDescent="0.25">
      <c r="C93" s="6">
        <v>82</v>
      </c>
      <c r="D93" s="9">
        <v>0.6743055555555556</v>
      </c>
      <c r="E93" s="15">
        <f>16*60+11</f>
        <v>971</v>
      </c>
      <c r="F93" s="12"/>
      <c r="G93" s="3" t="s">
        <v>563</v>
      </c>
      <c r="L93" s="63">
        <v>1</v>
      </c>
      <c r="M93" s="138"/>
      <c r="P93" s="134"/>
      <c r="R93" s="136">
        <f t="shared" ref="R93:R101" si="20">E93+R92</f>
        <v>54024</v>
      </c>
      <c r="S93" s="75">
        <f t="shared" si="15"/>
        <v>900.4</v>
      </c>
      <c r="T93" s="50">
        <f t="shared" si="17"/>
        <v>15.006666666666666</v>
      </c>
    </row>
    <row r="94" spans="3:20" x14ac:dyDescent="0.25">
      <c r="C94" s="6">
        <v>83</v>
      </c>
      <c r="D94" s="9">
        <v>0.44166666666666665</v>
      </c>
      <c r="E94" s="15">
        <f>10*60+36</f>
        <v>636</v>
      </c>
      <c r="F94" s="12"/>
      <c r="G94" s="3" t="s">
        <v>564</v>
      </c>
      <c r="L94" s="63">
        <v>1</v>
      </c>
      <c r="M94" s="138"/>
      <c r="P94" s="134"/>
      <c r="R94" s="136">
        <f t="shared" si="20"/>
        <v>54660</v>
      </c>
      <c r="S94" s="75">
        <f t="shared" si="15"/>
        <v>911</v>
      </c>
      <c r="T94" s="50">
        <f t="shared" si="17"/>
        <v>15.183333333333334</v>
      </c>
    </row>
    <row r="95" spans="3:20" x14ac:dyDescent="0.25">
      <c r="C95" s="6">
        <v>84</v>
      </c>
      <c r="D95" s="9">
        <v>0.77430555555555547</v>
      </c>
      <c r="E95" s="15">
        <f>18*60+35</f>
        <v>1115</v>
      </c>
      <c r="F95" s="12"/>
      <c r="G95" s="3" t="s">
        <v>565</v>
      </c>
      <c r="L95" s="63">
        <v>1</v>
      </c>
      <c r="M95" s="138"/>
      <c r="P95" s="134"/>
      <c r="Q95" s="92" t="s">
        <v>1347</v>
      </c>
      <c r="R95" s="136">
        <f t="shared" si="20"/>
        <v>55775</v>
      </c>
      <c r="S95" s="75">
        <f t="shared" si="15"/>
        <v>929.58333333333337</v>
      </c>
      <c r="T95" s="50">
        <f t="shared" si="17"/>
        <v>15.493055555555555</v>
      </c>
    </row>
    <row r="96" spans="3:20" x14ac:dyDescent="0.25">
      <c r="C96" s="6">
        <v>85</v>
      </c>
      <c r="D96" s="9">
        <v>0.48333333333333334</v>
      </c>
      <c r="E96" s="15">
        <f>11*60+36</f>
        <v>696</v>
      </c>
      <c r="F96" s="12"/>
      <c r="G96" s="3" t="s">
        <v>566</v>
      </c>
      <c r="L96" s="63">
        <v>1</v>
      </c>
      <c r="M96" s="138"/>
      <c r="P96" s="134"/>
      <c r="R96" s="136">
        <f t="shared" si="20"/>
        <v>56471</v>
      </c>
      <c r="S96" s="75">
        <f t="shared" si="15"/>
        <v>941.18333333333328</v>
      </c>
      <c r="T96" s="50">
        <f t="shared" si="17"/>
        <v>15.686388888888889</v>
      </c>
    </row>
    <row r="97" spans="3:20" x14ac:dyDescent="0.25">
      <c r="C97" s="6">
        <v>86</v>
      </c>
      <c r="D97" s="34" t="s">
        <v>568</v>
      </c>
      <c r="E97" s="15">
        <f>24*60+36</f>
        <v>1476</v>
      </c>
      <c r="F97" s="12"/>
      <c r="G97" s="3" t="s">
        <v>567</v>
      </c>
      <c r="L97" s="63">
        <v>1</v>
      </c>
      <c r="M97" s="138"/>
      <c r="P97" s="134"/>
      <c r="R97" s="136">
        <f t="shared" si="20"/>
        <v>57947</v>
      </c>
      <c r="S97" s="75">
        <f t="shared" si="15"/>
        <v>965.7833333333333</v>
      </c>
      <c r="T97" s="50">
        <f t="shared" si="17"/>
        <v>16.096388888888889</v>
      </c>
    </row>
    <row r="98" spans="3:20" x14ac:dyDescent="0.25">
      <c r="C98" s="6">
        <v>87</v>
      </c>
      <c r="D98" s="9">
        <v>0.36874999999999997</v>
      </c>
      <c r="E98" s="15">
        <f>8*60+51</f>
        <v>531</v>
      </c>
      <c r="F98" s="12"/>
      <c r="G98" s="3" t="s">
        <v>569</v>
      </c>
      <c r="L98" s="63">
        <v>1</v>
      </c>
      <c r="M98" s="138"/>
      <c r="P98" s="134"/>
      <c r="Q98" s="92" t="s">
        <v>1348</v>
      </c>
      <c r="R98" s="136">
        <f t="shared" si="20"/>
        <v>58478</v>
      </c>
      <c r="S98" s="75">
        <f t="shared" si="15"/>
        <v>974.63333333333333</v>
      </c>
      <c r="T98" s="50">
        <f t="shared" si="17"/>
        <v>16.24388888888889</v>
      </c>
    </row>
    <row r="99" spans="3:20" x14ac:dyDescent="0.25">
      <c r="C99" s="6">
        <v>88</v>
      </c>
      <c r="D99" s="34" t="s">
        <v>572</v>
      </c>
      <c r="E99" s="15">
        <f>24*60+43</f>
        <v>1483</v>
      </c>
      <c r="F99" s="12"/>
      <c r="G99" s="3" t="s">
        <v>570</v>
      </c>
      <c r="L99" s="63">
        <v>1</v>
      </c>
      <c r="M99" s="138"/>
      <c r="P99" s="134"/>
      <c r="R99" s="136">
        <f t="shared" si="20"/>
        <v>59961</v>
      </c>
      <c r="S99" s="75">
        <f t="shared" si="15"/>
        <v>999.35</v>
      </c>
      <c r="T99" s="50">
        <f t="shared" si="17"/>
        <v>16.655833333333334</v>
      </c>
    </row>
    <row r="100" spans="3:20" x14ac:dyDescent="0.25">
      <c r="C100" s="6">
        <v>89</v>
      </c>
      <c r="D100" s="9">
        <v>0.4069444444444445</v>
      </c>
      <c r="E100" s="15">
        <f>9*60+46</f>
        <v>586</v>
      </c>
      <c r="F100" s="12"/>
      <c r="G100" s="3" t="s">
        <v>571</v>
      </c>
      <c r="L100" s="63">
        <v>1</v>
      </c>
      <c r="M100" s="138"/>
      <c r="P100" s="134"/>
      <c r="R100" s="136">
        <f t="shared" si="20"/>
        <v>60547</v>
      </c>
      <c r="S100" s="75">
        <f t="shared" si="15"/>
        <v>1009.1166666666667</v>
      </c>
      <c r="T100" s="50">
        <f t="shared" si="17"/>
        <v>16.81861111111111</v>
      </c>
    </row>
    <row r="101" spans="3:20" x14ac:dyDescent="0.25">
      <c r="C101" s="6">
        <v>90</v>
      </c>
      <c r="D101" s="34" t="s">
        <v>574</v>
      </c>
      <c r="E101" s="15">
        <f>29*60+32</f>
        <v>1772</v>
      </c>
      <c r="F101" s="12"/>
      <c r="G101" s="3" t="s">
        <v>573</v>
      </c>
      <c r="L101" s="63">
        <v>1</v>
      </c>
      <c r="M101" s="138"/>
      <c r="P101" s="134"/>
      <c r="R101" s="136">
        <f t="shared" si="20"/>
        <v>62319</v>
      </c>
      <c r="S101" s="75">
        <f t="shared" si="15"/>
        <v>1038.6500000000001</v>
      </c>
      <c r="T101" s="50">
        <f t="shared" si="17"/>
        <v>17.310833333333335</v>
      </c>
    </row>
    <row r="102" spans="3:20" ht="15.75" thickBot="1" x14ac:dyDescent="0.3">
      <c r="C102" s="17"/>
      <c r="D102" s="18"/>
      <c r="E102" s="19">
        <f>SUM(E92:E101)/60</f>
        <v>162.94999999999999</v>
      </c>
      <c r="F102" s="20">
        <f>E102/60</f>
        <v>2.7158333333333333</v>
      </c>
      <c r="G102" s="21"/>
      <c r="M102" s="138"/>
      <c r="P102" s="134"/>
      <c r="R102" s="136"/>
      <c r="S102" s="75"/>
      <c r="T102" s="50"/>
    </row>
    <row r="103" spans="3:20" x14ac:dyDescent="0.25">
      <c r="C103" s="7">
        <v>91</v>
      </c>
      <c r="D103" s="24">
        <v>0.46388888888888885</v>
      </c>
      <c r="E103" s="16">
        <f>11*60+8</f>
        <v>668</v>
      </c>
      <c r="F103" s="13"/>
      <c r="G103" s="4" t="s">
        <v>575</v>
      </c>
      <c r="K103" s="63">
        <v>1</v>
      </c>
      <c r="M103" s="138"/>
      <c r="P103" s="134"/>
      <c r="Q103" s="92" t="s">
        <v>1349</v>
      </c>
      <c r="R103" s="136">
        <f>E103+R101</f>
        <v>62987</v>
      </c>
      <c r="S103" s="75">
        <f t="shared" si="15"/>
        <v>1049.7833333333333</v>
      </c>
      <c r="T103" s="50">
        <f t="shared" si="17"/>
        <v>17.496388888888887</v>
      </c>
    </row>
    <row r="104" spans="3:20" x14ac:dyDescent="0.25">
      <c r="C104" s="6">
        <v>92</v>
      </c>
      <c r="D104" s="9">
        <v>0.51111111111111118</v>
      </c>
      <c r="E104" s="15">
        <f>12*60+16</f>
        <v>736</v>
      </c>
      <c r="F104" s="12"/>
      <c r="G104" s="3" t="s">
        <v>576</v>
      </c>
      <c r="K104" s="63">
        <v>1</v>
      </c>
      <c r="M104" s="138"/>
      <c r="P104" s="134"/>
      <c r="R104" s="136">
        <f t="shared" ref="R104:R112" si="21">E104+R103</f>
        <v>63723</v>
      </c>
      <c r="S104" s="75">
        <f t="shared" si="15"/>
        <v>1062.05</v>
      </c>
      <c r="T104" s="50">
        <f t="shared" si="17"/>
        <v>17.700833333333332</v>
      </c>
    </row>
    <row r="105" spans="3:20" x14ac:dyDescent="0.25">
      <c r="C105" s="6">
        <v>93</v>
      </c>
      <c r="D105" s="9">
        <v>0.32500000000000001</v>
      </c>
      <c r="E105" s="15">
        <f>7*60+48</f>
        <v>468</v>
      </c>
      <c r="F105" s="12"/>
      <c r="G105" s="3" t="s">
        <v>577</v>
      </c>
      <c r="K105" s="63">
        <v>1</v>
      </c>
      <c r="M105" s="138"/>
      <c r="P105" s="134"/>
      <c r="R105" s="136">
        <f t="shared" si="21"/>
        <v>64191</v>
      </c>
      <c r="S105" s="75">
        <f t="shared" si="15"/>
        <v>1069.8499999999999</v>
      </c>
      <c r="T105" s="50">
        <f t="shared" si="17"/>
        <v>17.830833333333331</v>
      </c>
    </row>
    <row r="106" spans="3:20" x14ac:dyDescent="0.25">
      <c r="C106" s="6">
        <v>94</v>
      </c>
      <c r="D106" s="9">
        <v>0.44166666666666665</v>
      </c>
      <c r="E106" s="15">
        <f>10*60+36</f>
        <v>636</v>
      </c>
      <c r="F106" s="12"/>
      <c r="G106" s="3" t="s">
        <v>578</v>
      </c>
      <c r="J106" s="63">
        <v>1</v>
      </c>
      <c r="M106" s="138"/>
      <c r="P106" s="134"/>
      <c r="R106" s="136">
        <f t="shared" si="21"/>
        <v>64827</v>
      </c>
      <c r="S106" s="75">
        <f t="shared" si="15"/>
        <v>1080.45</v>
      </c>
      <c r="T106" s="50">
        <f t="shared" si="17"/>
        <v>18.0075</v>
      </c>
    </row>
    <row r="107" spans="3:20" x14ac:dyDescent="0.25">
      <c r="C107" s="6">
        <v>95</v>
      </c>
      <c r="D107" s="9">
        <v>0.46249999999999997</v>
      </c>
      <c r="E107" s="15">
        <f>11*60+6</f>
        <v>666</v>
      </c>
      <c r="F107" s="12"/>
      <c r="G107" s="3" t="s">
        <v>579</v>
      </c>
      <c r="J107" s="63">
        <v>1</v>
      </c>
      <c r="M107" s="138"/>
      <c r="P107" s="134"/>
      <c r="R107" s="136">
        <f t="shared" si="21"/>
        <v>65493</v>
      </c>
      <c r="S107" s="75">
        <f t="shared" si="15"/>
        <v>1091.55</v>
      </c>
      <c r="T107" s="50">
        <f t="shared" si="17"/>
        <v>18.192499999999999</v>
      </c>
    </row>
    <row r="108" spans="3:20" x14ac:dyDescent="0.25">
      <c r="C108" s="6">
        <v>96</v>
      </c>
      <c r="D108" s="9">
        <v>0.57152777777777775</v>
      </c>
      <c r="E108" s="15">
        <f>13*60+43</f>
        <v>823</v>
      </c>
      <c r="F108" s="12"/>
      <c r="G108" s="3" t="s">
        <v>580</v>
      </c>
      <c r="J108" s="63">
        <v>1</v>
      </c>
      <c r="M108" s="138"/>
      <c r="P108" s="134"/>
      <c r="Q108" s="92" t="s">
        <v>1350</v>
      </c>
      <c r="R108" s="136">
        <f t="shared" si="21"/>
        <v>66316</v>
      </c>
      <c r="S108" s="75">
        <f t="shared" si="15"/>
        <v>1105.2666666666667</v>
      </c>
      <c r="T108" s="50">
        <f t="shared" si="17"/>
        <v>18.421111111111109</v>
      </c>
    </row>
    <row r="109" spans="3:20" x14ac:dyDescent="0.25">
      <c r="C109" s="6">
        <v>97</v>
      </c>
      <c r="D109" s="9">
        <v>0.33124999999999999</v>
      </c>
      <c r="E109" s="15">
        <f>7*60+57</f>
        <v>477</v>
      </c>
      <c r="F109" s="12"/>
      <c r="G109" s="3" t="s">
        <v>581</v>
      </c>
      <c r="J109" s="63">
        <v>1</v>
      </c>
      <c r="M109" s="138"/>
      <c r="P109" s="134"/>
      <c r="R109" s="136">
        <f t="shared" si="21"/>
        <v>66793</v>
      </c>
      <c r="S109" s="75">
        <f t="shared" si="15"/>
        <v>1113.2166666666667</v>
      </c>
      <c r="T109" s="50">
        <f t="shared" si="17"/>
        <v>18.553611111111113</v>
      </c>
    </row>
    <row r="110" spans="3:20" x14ac:dyDescent="0.25">
      <c r="C110" s="6">
        <v>98</v>
      </c>
      <c r="D110" s="9">
        <v>0.56111111111111112</v>
      </c>
      <c r="E110" s="15">
        <f>13*60+28</f>
        <v>808</v>
      </c>
      <c r="F110" s="12"/>
      <c r="G110" s="3" t="s">
        <v>582</v>
      </c>
      <c r="J110" s="63">
        <v>1</v>
      </c>
      <c r="M110" s="138"/>
      <c r="P110" s="134"/>
      <c r="R110" s="136">
        <f t="shared" si="21"/>
        <v>67601</v>
      </c>
      <c r="S110" s="75">
        <f t="shared" si="15"/>
        <v>1126.6833333333334</v>
      </c>
      <c r="T110" s="50">
        <f t="shared" si="17"/>
        <v>18.778055555555557</v>
      </c>
    </row>
    <row r="111" spans="3:20" x14ac:dyDescent="0.25">
      <c r="C111" s="6">
        <v>99</v>
      </c>
      <c r="D111" s="9">
        <v>0.48541666666666666</v>
      </c>
      <c r="E111" s="15">
        <f>11*60+39</f>
        <v>699</v>
      </c>
      <c r="F111" s="12"/>
      <c r="G111" s="3" t="s">
        <v>583</v>
      </c>
      <c r="J111" s="63">
        <v>1</v>
      </c>
      <c r="M111" s="138"/>
      <c r="P111" s="134"/>
      <c r="R111" s="136">
        <f t="shared" si="21"/>
        <v>68300</v>
      </c>
      <c r="S111" s="75">
        <f t="shared" si="15"/>
        <v>1138.3333333333333</v>
      </c>
      <c r="T111" s="50">
        <f t="shared" si="17"/>
        <v>18.972222222222221</v>
      </c>
    </row>
    <row r="112" spans="3:20" x14ac:dyDescent="0.25">
      <c r="C112" s="6">
        <v>100</v>
      </c>
      <c r="D112" s="34" t="s">
        <v>585</v>
      </c>
      <c r="E112" s="15">
        <f>40*60+59</f>
        <v>2459</v>
      </c>
      <c r="F112" s="12"/>
      <c r="G112" s="3" t="s">
        <v>584</v>
      </c>
      <c r="M112" s="138"/>
      <c r="P112" s="134"/>
      <c r="R112" s="136">
        <f t="shared" si="21"/>
        <v>70759</v>
      </c>
      <c r="S112" s="75">
        <f t="shared" si="15"/>
        <v>1179.3166666666666</v>
      </c>
      <c r="T112" s="50">
        <f t="shared" si="17"/>
        <v>19.655277777777776</v>
      </c>
    </row>
    <row r="113" spans="1:20" ht="15.75" thickBot="1" x14ac:dyDescent="0.3">
      <c r="C113" s="17"/>
      <c r="D113" s="18"/>
      <c r="E113" s="19">
        <f>SUM(E103:E112)/60</f>
        <v>140.66666666666666</v>
      </c>
      <c r="F113" s="20">
        <f>E113/60</f>
        <v>2.3444444444444441</v>
      </c>
      <c r="G113" s="21"/>
      <c r="M113" s="138"/>
      <c r="P113" s="134"/>
      <c r="R113" s="136"/>
      <c r="S113" s="75"/>
      <c r="T113" s="50">
        <f t="shared" si="17"/>
        <v>0</v>
      </c>
    </row>
    <row r="114" spans="1:20" x14ac:dyDescent="0.25">
      <c r="C114" s="7">
        <v>101</v>
      </c>
      <c r="D114" s="24">
        <v>0.28958333333333336</v>
      </c>
      <c r="E114" s="16">
        <f>6*60+57</f>
        <v>417</v>
      </c>
      <c r="F114" s="13"/>
      <c r="G114" s="4" t="s">
        <v>586</v>
      </c>
      <c r="J114" s="63">
        <v>1</v>
      </c>
      <c r="M114" s="138"/>
      <c r="P114" s="134"/>
      <c r="R114" s="136">
        <f>E114+R112</f>
        <v>71176</v>
      </c>
      <c r="S114" s="75">
        <f t="shared" si="15"/>
        <v>1186.2666666666667</v>
      </c>
      <c r="T114" s="50">
        <f t="shared" si="17"/>
        <v>19.771111111111111</v>
      </c>
    </row>
    <row r="115" spans="1:20" x14ac:dyDescent="0.25">
      <c r="C115" s="6">
        <v>102</v>
      </c>
      <c r="D115" s="9">
        <v>0.35833333333333334</v>
      </c>
      <c r="E115" s="15">
        <f>8*60+36</f>
        <v>516</v>
      </c>
      <c r="F115" s="12"/>
      <c r="G115" s="3" t="s">
        <v>587</v>
      </c>
      <c r="I115" s="63">
        <v>1</v>
      </c>
      <c r="M115" s="138"/>
      <c r="P115" s="134"/>
      <c r="R115" s="136">
        <f t="shared" ref="R115:R123" si="22">E115+R114</f>
        <v>71692</v>
      </c>
      <c r="S115" s="75">
        <f t="shared" si="15"/>
        <v>1194.8666666666666</v>
      </c>
      <c r="T115" s="50">
        <f t="shared" si="17"/>
        <v>19.914444444444442</v>
      </c>
    </row>
    <row r="116" spans="1:20" x14ac:dyDescent="0.25">
      <c r="C116" s="6">
        <v>103</v>
      </c>
      <c r="D116" s="9">
        <v>0.84097222222222223</v>
      </c>
      <c r="E116" s="15">
        <f>20*60+11</f>
        <v>1211</v>
      </c>
      <c r="F116" s="12"/>
      <c r="G116" s="3" t="s">
        <v>588</v>
      </c>
      <c r="I116" s="63">
        <v>1</v>
      </c>
      <c r="M116" s="138"/>
      <c r="P116" s="134"/>
      <c r="R116" s="136">
        <f t="shared" si="22"/>
        <v>72903</v>
      </c>
      <c r="S116" s="75">
        <f t="shared" si="15"/>
        <v>1215.05</v>
      </c>
      <c r="T116" s="50">
        <f t="shared" si="17"/>
        <v>20.250833333333333</v>
      </c>
    </row>
    <row r="117" spans="1:20" x14ac:dyDescent="0.25">
      <c r="A117" t="s">
        <v>1355</v>
      </c>
      <c r="C117" s="6">
        <v>104</v>
      </c>
      <c r="D117" s="34" t="s">
        <v>590</v>
      </c>
      <c r="E117" s="15">
        <f>29*60+11</f>
        <v>1751</v>
      </c>
      <c r="F117" s="12"/>
      <c r="G117" s="3" t="s">
        <v>589</v>
      </c>
      <c r="I117" s="63">
        <v>1</v>
      </c>
      <c r="M117" s="138"/>
      <c r="P117" s="134"/>
      <c r="R117" s="136">
        <f t="shared" si="22"/>
        <v>74654</v>
      </c>
      <c r="S117" s="75">
        <f t="shared" si="15"/>
        <v>1244.2333333333333</v>
      </c>
      <c r="T117" s="50">
        <f t="shared" si="17"/>
        <v>20.737222222222222</v>
      </c>
    </row>
    <row r="118" spans="1:20" x14ac:dyDescent="0.25">
      <c r="C118" s="6">
        <v>105</v>
      </c>
      <c r="D118" s="9">
        <v>0.26597222222222222</v>
      </c>
      <c r="E118" s="15">
        <f>6*60+23</f>
        <v>383</v>
      </c>
      <c r="F118" s="12"/>
      <c r="G118" s="3" t="s">
        <v>591</v>
      </c>
      <c r="I118" s="63">
        <v>1</v>
      </c>
      <c r="M118" s="138"/>
      <c r="P118" s="134"/>
      <c r="R118" s="136">
        <f t="shared" si="22"/>
        <v>75037</v>
      </c>
      <c r="S118" s="75">
        <f t="shared" ref="S118:S127" si="23">R118/60</f>
        <v>1250.6166666666666</v>
      </c>
      <c r="T118" s="50">
        <f t="shared" si="17"/>
        <v>20.843611111111109</v>
      </c>
    </row>
    <row r="119" spans="1:20" x14ac:dyDescent="0.25">
      <c r="C119" s="6">
        <v>106</v>
      </c>
      <c r="D119" s="9">
        <v>0.87708333333333333</v>
      </c>
      <c r="E119" s="15">
        <f>21*60+3</f>
        <v>1263</v>
      </c>
      <c r="F119" s="12"/>
      <c r="G119" s="3" t="s">
        <v>592</v>
      </c>
      <c r="I119" s="63">
        <v>1</v>
      </c>
      <c r="M119" s="138"/>
      <c r="P119" s="134"/>
      <c r="R119" s="136">
        <f t="shared" si="22"/>
        <v>76300</v>
      </c>
      <c r="S119" s="75">
        <f t="shared" si="23"/>
        <v>1271.6666666666667</v>
      </c>
      <c r="T119" s="50">
        <f t="shared" si="17"/>
        <v>21.194444444444446</v>
      </c>
    </row>
    <row r="120" spans="1:20" x14ac:dyDescent="0.25">
      <c r="C120" s="6">
        <v>107</v>
      </c>
      <c r="D120" s="9">
        <v>0.62708333333333333</v>
      </c>
      <c r="E120" s="15">
        <f>15*60+3</f>
        <v>903</v>
      </c>
      <c r="F120" s="12"/>
      <c r="G120" s="3" t="s">
        <v>593</v>
      </c>
      <c r="H120" s="63">
        <v>1</v>
      </c>
      <c r="M120" s="138"/>
      <c r="P120" s="134"/>
      <c r="R120" s="136">
        <f t="shared" si="22"/>
        <v>77203</v>
      </c>
      <c r="S120" s="75">
        <f t="shared" si="23"/>
        <v>1286.7166666666667</v>
      </c>
      <c r="T120" s="50">
        <f t="shared" si="17"/>
        <v>21.445277777777779</v>
      </c>
    </row>
    <row r="121" spans="1:20" x14ac:dyDescent="0.25">
      <c r="C121" s="6">
        <v>108</v>
      </c>
      <c r="D121" s="9">
        <v>0.37777777777777777</v>
      </c>
      <c r="E121" s="15">
        <f>9*60+4</f>
        <v>544</v>
      </c>
      <c r="F121" s="12"/>
      <c r="G121" s="3" t="s">
        <v>594</v>
      </c>
      <c r="H121" s="63">
        <v>1</v>
      </c>
      <c r="M121" s="138"/>
      <c r="P121" s="134"/>
      <c r="R121" s="136">
        <f t="shared" si="22"/>
        <v>77747</v>
      </c>
      <c r="S121" s="75">
        <f t="shared" si="23"/>
        <v>1295.7833333333333</v>
      </c>
      <c r="T121" s="50">
        <f t="shared" si="17"/>
        <v>21.596388888888889</v>
      </c>
    </row>
    <row r="122" spans="1:20" x14ac:dyDescent="0.25">
      <c r="C122" s="6">
        <v>109</v>
      </c>
      <c r="D122" s="9">
        <v>0.60763888888888895</v>
      </c>
      <c r="E122" s="15">
        <f>14*60+35</f>
        <v>875</v>
      </c>
      <c r="F122" s="12"/>
      <c r="G122" s="3" t="s">
        <v>595</v>
      </c>
      <c r="H122" s="63">
        <v>1</v>
      </c>
      <c r="M122" s="138"/>
      <c r="P122" s="134"/>
      <c r="R122" s="136">
        <f t="shared" si="22"/>
        <v>78622</v>
      </c>
      <c r="S122" s="75">
        <f t="shared" si="23"/>
        <v>1310.3666666666666</v>
      </c>
      <c r="T122" s="50">
        <f t="shared" si="17"/>
        <v>21.839444444444442</v>
      </c>
    </row>
    <row r="123" spans="1:20" x14ac:dyDescent="0.25">
      <c r="C123" s="6">
        <v>110</v>
      </c>
      <c r="D123" s="9">
        <v>0.81041666666666667</v>
      </c>
      <c r="E123" s="15">
        <f>19*60+27</f>
        <v>1167</v>
      </c>
      <c r="F123" s="12"/>
      <c r="G123" s="3" t="s">
        <v>596</v>
      </c>
      <c r="H123" s="63">
        <v>1</v>
      </c>
      <c r="M123" s="138"/>
      <c r="P123" s="134"/>
      <c r="R123" s="136">
        <f t="shared" si="22"/>
        <v>79789</v>
      </c>
      <c r="S123" s="75">
        <f t="shared" si="23"/>
        <v>1329.8166666666666</v>
      </c>
      <c r="T123" s="50">
        <f t="shared" si="17"/>
        <v>22.163611111111109</v>
      </c>
    </row>
    <row r="124" spans="1:20" ht="15.75" thickBot="1" x14ac:dyDescent="0.3">
      <c r="C124" s="17"/>
      <c r="D124" s="18"/>
      <c r="E124" s="19">
        <f>SUM(E114:E123)/60</f>
        <v>150.5</v>
      </c>
      <c r="F124" s="20">
        <f>E124/60</f>
        <v>2.5083333333333333</v>
      </c>
      <c r="G124" s="21"/>
      <c r="M124" s="138"/>
      <c r="P124" s="134"/>
      <c r="R124" s="136"/>
      <c r="S124" s="75"/>
      <c r="T124" s="50">
        <f t="shared" si="17"/>
        <v>0</v>
      </c>
    </row>
    <row r="125" spans="1:20" x14ac:dyDescent="0.25">
      <c r="C125" s="7">
        <v>111</v>
      </c>
      <c r="D125" s="24">
        <v>0.3263888888888889</v>
      </c>
      <c r="E125" s="16">
        <f>7*60+50</f>
        <v>470</v>
      </c>
      <c r="F125" s="13"/>
      <c r="G125" s="4" t="s">
        <v>597</v>
      </c>
      <c r="H125" s="63">
        <v>1</v>
      </c>
      <c r="M125" s="138"/>
      <c r="P125" s="134"/>
      <c r="R125" s="136">
        <f>E125+R123</f>
        <v>80259</v>
      </c>
      <c r="S125" s="75">
        <f t="shared" si="23"/>
        <v>1337.65</v>
      </c>
      <c r="T125" s="50">
        <f t="shared" si="17"/>
        <v>22.294166666666669</v>
      </c>
    </row>
    <row r="126" spans="1:20" x14ac:dyDescent="0.25">
      <c r="C126" s="6">
        <v>112</v>
      </c>
      <c r="D126" s="9">
        <v>0.30486111111111108</v>
      </c>
      <c r="E126" s="15">
        <f>7*60+19</f>
        <v>439</v>
      </c>
      <c r="F126" s="12"/>
      <c r="G126" s="3" t="s">
        <v>598</v>
      </c>
      <c r="H126" s="63">
        <v>1</v>
      </c>
      <c r="M126" s="138"/>
      <c r="P126" s="134"/>
      <c r="R126" s="136">
        <f>E126+R125</f>
        <v>80698</v>
      </c>
      <c r="S126" s="75">
        <f t="shared" si="23"/>
        <v>1344.9666666666667</v>
      </c>
      <c r="T126" s="50">
        <f t="shared" si="17"/>
        <v>22.41611111111111</v>
      </c>
    </row>
    <row r="127" spans="1:20" x14ac:dyDescent="0.25">
      <c r="C127" s="6">
        <v>113</v>
      </c>
      <c r="D127" s="9">
        <v>0.63958333333333328</v>
      </c>
      <c r="E127" s="15">
        <f>15*60+21</f>
        <v>921</v>
      </c>
      <c r="F127" s="12"/>
      <c r="G127" s="3" t="s">
        <v>599</v>
      </c>
      <c r="H127" s="63">
        <v>1</v>
      </c>
      <c r="M127" s="138"/>
      <c r="P127" s="134"/>
      <c r="R127" s="136">
        <f>E127+R126</f>
        <v>81619</v>
      </c>
      <c r="S127" s="75">
        <f t="shared" si="23"/>
        <v>1360.3166666666666</v>
      </c>
      <c r="T127" s="50">
        <f t="shared" si="17"/>
        <v>22.671944444444442</v>
      </c>
    </row>
    <row r="128" spans="1:20" ht="15.75" thickBot="1" x14ac:dyDescent="0.3">
      <c r="C128" s="17"/>
      <c r="D128" s="18"/>
      <c r="E128" s="19">
        <f>SUM(E125:E127)/60</f>
        <v>30.5</v>
      </c>
      <c r="F128" s="20">
        <f>E128/60</f>
        <v>0.5083333333333333</v>
      </c>
      <c r="G128" s="21"/>
      <c r="M128" s="138"/>
      <c r="P128" s="1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L116"/>
  <sheetViews>
    <sheetView topLeftCell="A95" workbookViewId="0">
      <selection activeCell="A102" sqref="A102"/>
    </sheetView>
  </sheetViews>
  <sheetFormatPr defaultRowHeight="15" x14ac:dyDescent="0.25"/>
  <cols>
    <col min="3" max="3" width="6.140625" customWidth="1"/>
    <col min="7" max="7" width="75" style="1" customWidth="1"/>
    <col min="8" max="12" width="4.7109375" customWidth="1"/>
  </cols>
  <sheetData>
    <row r="2" spans="3:12" x14ac:dyDescent="0.25">
      <c r="C2" s="1" t="s">
        <v>41</v>
      </c>
      <c r="F2" s="23">
        <f>F14+F25+F36+F47+F58+F69+F80+F91+F102+F113+F116</f>
        <v>22.158333333333331</v>
      </c>
    </row>
    <row r="3" spans="3:12" ht="15.75" thickBot="1" x14ac:dyDescent="0.3">
      <c r="C3" s="1"/>
      <c r="F3" s="23"/>
      <c r="H3" s="25" t="s">
        <v>943</v>
      </c>
      <c r="I3" s="25" t="s">
        <v>944</v>
      </c>
      <c r="J3" s="25" t="s">
        <v>945</v>
      </c>
      <c r="K3" s="25" t="s">
        <v>1003</v>
      </c>
      <c r="L3" s="25" t="s">
        <v>1024</v>
      </c>
    </row>
    <row r="4" spans="3:12" x14ac:dyDescent="0.25">
      <c r="C4" s="5">
        <v>1</v>
      </c>
      <c r="D4" s="8">
        <v>0.54791666666666672</v>
      </c>
      <c r="E4" s="14">
        <f>13*60+13</f>
        <v>793</v>
      </c>
      <c r="F4" s="11"/>
      <c r="G4" s="2" t="s">
        <v>128</v>
      </c>
      <c r="H4" s="113">
        <v>1</v>
      </c>
      <c r="I4" s="63"/>
      <c r="J4" s="63"/>
      <c r="K4" s="63"/>
    </row>
    <row r="5" spans="3:12" x14ac:dyDescent="0.25">
      <c r="C5" s="6">
        <v>2</v>
      </c>
      <c r="D5" s="9">
        <v>0.47222222222222227</v>
      </c>
      <c r="E5" s="15">
        <f>11*60+20</f>
        <v>680</v>
      </c>
      <c r="F5" s="12"/>
      <c r="G5" s="3" t="s">
        <v>129</v>
      </c>
      <c r="H5" s="113">
        <v>1</v>
      </c>
      <c r="I5" s="63"/>
      <c r="J5" s="63"/>
      <c r="K5" s="63"/>
    </row>
    <row r="6" spans="3:12" x14ac:dyDescent="0.25">
      <c r="C6" s="6">
        <v>3</v>
      </c>
      <c r="D6" s="9">
        <v>0.44097222222222227</v>
      </c>
      <c r="E6" s="15">
        <f>10*60+35</f>
        <v>635</v>
      </c>
      <c r="F6" s="12"/>
      <c r="G6" s="3" t="s">
        <v>130</v>
      </c>
      <c r="H6" s="113">
        <v>1</v>
      </c>
      <c r="I6" s="63"/>
      <c r="J6" s="63"/>
      <c r="K6" s="63"/>
    </row>
    <row r="7" spans="3:12" x14ac:dyDescent="0.25">
      <c r="C7" s="6">
        <v>4</v>
      </c>
      <c r="D7" s="9">
        <v>0.46666666666666662</v>
      </c>
      <c r="E7" s="15">
        <f>11*60+12</f>
        <v>672</v>
      </c>
      <c r="F7" s="12"/>
      <c r="G7" s="3" t="s">
        <v>131</v>
      </c>
      <c r="H7" s="113">
        <v>1</v>
      </c>
      <c r="I7" s="63"/>
      <c r="J7" s="63"/>
      <c r="K7" s="63"/>
    </row>
    <row r="8" spans="3:12" x14ac:dyDescent="0.25">
      <c r="C8" s="6">
        <v>5</v>
      </c>
      <c r="D8" s="9">
        <v>0.54999999999999993</v>
      </c>
      <c r="E8" s="15">
        <f>13*60+12</f>
        <v>792</v>
      </c>
      <c r="F8" s="12"/>
      <c r="G8" s="3" t="s">
        <v>132</v>
      </c>
      <c r="H8" s="113">
        <v>1</v>
      </c>
      <c r="I8" s="63"/>
      <c r="J8" s="63"/>
      <c r="K8" s="63"/>
    </row>
    <row r="9" spans="3:12" x14ac:dyDescent="0.25">
      <c r="C9" s="6">
        <v>6</v>
      </c>
      <c r="D9" s="9">
        <v>0.66736111111111107</v>
      </c>
      <c r="E9" s="15">
        <f>16*60+1</f>
        <v>961</v>
      </c>
      <c r="F9" s="12"/>
      <c r="G9" s="3" t="s">
        <v>133</v>
      </c>
      <c r="H9" s="113"/>
      <c r="I9" s="63">
        <v>1</v>
      </c>
      <c r="J9" s="63"/>
      <c r="K9" s="63"/>
    </row>
    <row r="10" spans="3:12" x14ac:dyDescent="0.25">
      <c r="C10" s="6">
        <v>7</v>
      </c>
      <c r="D10" s="9">
        <v>0.68541666666666667</v>
      </c>
      <c r="E10" s="15">
        <f>16*60+27</f>
        <v>987</v>
      </c>
      <c r="F10" s="12"/>
      <c r="G10" s="3" t="s">
        <v>134</v>
      </c>
      <c r="H10" s="63"/>
      <c r="I10" s="63"/>
      <c r="J10" s="63">
        <v>1</v>
      </c>
      <c r="K10" s="63"/>
    </row>
    <row r="11" spans="3:12" x14ac:dyDescent="0.25">
      <c r="C11" s="6">
        <v>8</v>
      </c>
      <c r="D11" s="9">
        <v>0.39930555555555558</v>
      </c>
      <c r="E11" s="15">
        <f>9*60+35</f>
        <v>575</v>
      </c>
      <c r="F11" s="12"/>
      <c r="G11" s="3" t="s">
        <v>135</v>
      </c>
      <c r="H11" s="63"/>
      <c r="I11" s="63"/>
      <c r="J11" s="63">
        <v>1</v>
      </c>
      <c r="K11" s="63"/>
    </row>
    <row r="12" spans="3:12" x14ac:dyDescent="0.25">
      <c r="C12" s="6">
        <v>9</v>
      </c>
      <c r="D12" s="9">
        <v>0.31805555555555554</v>
      </c>
      <c r="E12" s="15">
        <f>7*60+38</f>
        <v>458</v>
      </c>
      <c r="F12" s="12"/>
      <c r="G12" s="3" t="s">
        <v>136</v>
      </c>
      <c r="H12" s="63"/>
      <c r="I12" s="63"/>
      <c r="J12" s="63">
        <v>1</v>
      </c>
      <c r="K12" s="63"/>
    </row>
    <row r="13" spans="3:12" x14ac:dyDescent="0.25">
      <c r="C13" s="6">
        <v>10</v>
      </c>
      <c r="D13" s="9">
        <v>0.57430555555555551</v>
      </c>
      <c r="E13" s="15">
        <f>13*60+47</f>
        <v>827</v>
      </c>
      <c r="F13" s="12"/>
      <c r="G13" s="3" t="s">
        <v>137</v>
      </c>
      <c r="H13" s="63"/>
      <c r="I13" s="63"/>
      <c r="J13" s="63"/>
      <c r="K13" s="63">
        <v>1</v>
      </c>
    </row>
    <row r="14" spans="3:12" ht="15.75" thickBot="1" x14ac:dyDescent="0.3">
      <c r="C14" s="17"/>
      <c r="D14" s="18"/>
      <c r="E14" s="19">
        <f>SUM(E4:E13)/60</f>
        <v>123</v>
      </c>
      <c r="F14" s="20">
        <f>E14/60</f>
        <v>2.0499999999999998</v>
      </c>
      <c r="G14" s="21"/>
      <c r="H14" s="63"/>
      <c r="I14" s="63"/>
      <c r="J14" s="63"/>
      <c r="K14" s="63"/>
    </row>
    <row r="15" spans="3:12" x14ac:dyDescent="0.25">
      <c r="C15" s="7">
        <v>11</v>
      </c>
      <c r="D15" s="10">
        <v>0.3298611111111111</v>
      </c>
      <c r="E15" s="16">
        <f>7*60+55</f>
        <v>475</v>
      </c>
      <c r="F15" s="13"/>
      <c r="G15" s="4" t="s">
        <v>187</v>
      </c>
      <c r="H15" s="63"/>
      <c r="I15" s="63"/>
      <c r="J15" s="63"/>
      <c r="K15" s="63">
        <v>1</v>
      </c>
    </row>
    <row r="16" spans="3:12" x14ac:dyDescent="0.25">
      <c r="C16" s="6">
        <v>12</v>
      </c>
      <c r="D16" s="9">
        <v>0.82152777777777775</v>
      </c>
      <c r="E16" s="15">
        <f>19*60+43</f>
        <v>1183</v>
      </c>
      <c r="F16" s="12"/>
      <c r="G16" s="3" t="s">
        <v>188</v>
      </c>
      <c r="H16" s="63"/>
      <c r="I16" s="63"/>
      <c r="J16" s="63"/>
      <c r="K16" s="63">
        <v>1</v>
      </c>
    </row>
    <row r="17" spans="3:12" x14ac:dyDescent="0.25">
      <c r="C17" s="6">
        <v>13</v>
      </c>
      <c r="D17" s="9">
        <v>0.31388888888888888</v>
      </c>
      <c r="E17" s="15">
        <f>7*60+32</f>
        <v>452</v>
      </c>
      <c r="F17" s="12"/>
      <c r="G17" s="3" t="s">
        <v>189</v>
      </c>
      <c r="H17" s="63"/>
      <c r="I17" s="63"/>
      <c r="J17" s="63"/>
      <c r="K17" s="63">
        <v>1</v>
      </c>
    </row>
    <row r="18" spans="3:12" x14ac:dyDescent="0.25">
      <c r="C18" s="6">
        <v>14</v>
      </c>
      <c r="D18" s="9">
        <v>0.72777777777777775</v>
      </c>
      <c r="E18" s="15">
        <f>17*60+28</f>
        <v>1048</v>
      </c>
      <c r="F18" s="12"/>
      <c r="G18" s="3" t="s">
        <v>190</v>
      </c>
      <c r="H18" s="63"/>
      <c r="I18" s="63"/>
      <c r="J18" s="63"/>
      <c r="K18" s="63">
        <v>1</v>
      </c>
    </row>
    <row r="19" spans="3:12" x14ac:dyDescent="0.25">
      <c r="C19" s="6">
        <v>15</v>
      </c>
      <c r="D19" s="9">
        <v>0.7006944444444444</v>
      </c>
      <c r="E19" s="15">
        <f>16*60+49</f>
        <v>1009</v>
      </c>
      <c r="F19" s="12"/>
      <c r="G19" s="3" t="s">
        <v>191</v>
      </c>
      <c r="J19" s="22"/>
      <c r="K19" s="63">
        <v>1</v>
      </c>
    </row>
    <row r="20" spans="3:12" x14ac:dyDescent="0.25">
      <c r="C20" s="6">
        <v>16</v>
      </c>
      <c r="D20" s="9">
        <v>0.55347222222222225</v>
      </c>
      <c r="E20" s="15">
        <f>13*60+17</f>
        <v>797</v>
      </c>
      <c r="F20" s="12"/>
      <c r="G20" s="3" t="s">
        <v>192</v>
      </c>
      <c r="J20" s="22"/>
      <c r="K20" s="63">
        <v>1</v>
      </c>
    </row>
    <row r="21" spans="3:12" x14ac:dyDescent="0.25">
      <c r="C21" s="6">
        <v>17</v>
      </c>
      <c r="D21" s="9">
        <v>0.85416666666666663</v>
      </c>
      <c r="E21" s="15">
        <f>20*60+30</f>
        <v>1230</v>
      </c>
      <c r="F21" s="12"/>
      <c r="G21" s="3" t="s">
        <v>193</v>
      </c>
      <c r="J21" s="22"/>
      <c r="K21" s="63">
        <v>1</v>
      </c>
    </row>
    <row r="22" spans="3:12" x14ac:dyDescent="0.25">
      <c r="C22" s="6">
        <v>18</v>
      </c>
      <c r="D22" s="9">
        <v>0.97569444444444453</v>
      </c>
      <c r="E22" s="15">
        <f>23*60+23</f>
        <v>1403</v>
      </c>
      <c r="F22" s="12"/>
      <c r="G22" s="3" t="s">
        <v>194</v>
      </c>
      <c r="J22" s="22"/>
      <c r="K22" s="63">
        <v>1</v>
      </c>
    </row>
    <row r="23" spans="3:12" x14ac:dyDescent="0.25">
      <c r="C23" s="6">
        <v>19</v>
      </c>
      <c r="D23" s="9">
        <v>0.82777777777777783</v>
      </c>
      <c r="E23" s="15">
        <f>19*60+52</f>
        <v>1192</v>
      </c>
      <c r="F23" s="12"/>
      <c r="G23" s="3" t="s">
        <v>195</v>
      </c>
      <c r="J23" s="22"/>
      <c r="K23" s="63">
        <v>1</v>
      </c>
    </row>
    <row r="24" spans="3:12" x14ac:dyDescent="0.25">
      <c r="C24" s="6">
        <v>20</v>
      </c>
      <c r="D24" s="31" t="s">
        <v>197</v>
      </c>
      <c r="E24" s="15">
        <f>24*60+54</f>
        <v>1494</v>
      </c>
      <c r="F24" s="12"/>
      <c r="G24" s="3" t="s">
        <v>196</v>
      </c>
      <c r="J24" s="22"/>
      <c r="K24" s="63">
        <v>1</v>
      </c>
    </row>
    <row r="25" spans="3:12" ht="15.75" thickBot="1" x14ac:dyDescent="0.3">
      <c r="C25" s="17"/>
      <c r="D25" s="18"/>
      <c r="E25" s="19">
        <f>SUM(E15:E24)/60</f>
        <v>171.38333333333333</v>
      </c>
      <c r="F25" s="20">
        <f>E25/60</f>
        <v>2.8563888888888886</v>
      </c>
      <c r="G25" s="21"/>
      <c r="J25" s="22"/>
    </row>
    <row r="26" spans="3:12" x14ac:dyDescent="0.25">
      <c r="C26" s="5">
        <v>21</v>
      </c>
      <c r="D26" s="8">
        <v>0.91875000000000007</v>
      </c>
      <c r="E26" s="14">
        <f>22*60+3</f>
        <v>1323</v>
      </c>
      <c r="F26" s="11"/>
      <c r="G26" s="2" t="s">
        <v>198</v>
      </c>
      <c r="J26" s="22"/>
      <c r="L26">
        <v>1</v>
      </c>
    </row>
    <row r="27" spans="3:12" x14ac:dyDescent="0.25">
      <c r="C27" s="6">
        <v>22</v>
      </c>
      <c r="D27" s="9">
        <v>0.50138888888888888</v>
      </c>
      <c r="E27" s="15">
        <f>12*60+2</f>
        <v>722</v>
      </c>
      <c r="F27" s="12"/>
      <c r="G27" s="3" t="s">
        <v>199</v>
      </c>
      <c r="J27" s="22"/>
      <c r="L27">
        <v>1</v>
      </c>
    </row>
    <row r="28" spans="3:12" x14ac:dyDescent="0.25">
      <c r="C28" s="6">
        <v>23</v>
      </c>
      <c r="D28" s="9">
        <v>0.57847222222222217</v>
      </c>
      <c r="E28" s="15">
        <f>13*60+53</f>
        <v>833</v>
      </c>
      <c r="F28" s="12"/>
      <c r="G28" s="3" t="s">
        <v>200</v>
      </c>
      <c r="J28" s="22"/>
      <c r="L28">
        <v>1</v>
      </c>
    </row>
    <row r="29" spans="3:12" x14ac:dyDescent="0.25">
      <c r="C29" s="6">
        <v>24</v>
      </c>
      <c r="D29" s="9">
        <v>0.28263888888888888</v>
      </c>
      <c r="E29" s="15">
        <f>6*60+47</f>
        <v>407</v>
      </c>
      <c r="F29" s="12"/>
      <c r="G29" s="3" t="s">
        <v>201</v>
      </c>
      <c r="L29">
        <v>1</v>
      </c>
    </row>
    <row r="30" spans="3:12" x14ac:dyDescent="0.25">
      <c r="C30" s="6">
        <v>25</v>
      </c>
      <c r="D30" s="9">
        <v>0.46527777777777773</v>
      </c>
      <c r="E30" s="15">
        <f>11*60+10</f>
        <v>670</v>
      </c>
      <c r="F30" s="12"/>
      <c r="G30" s="3" t="s">
        <v>202</v>
      </c>
      <c r="J30" s="22"/>
      <c r="L30">
        <v>1</v>
      </c>
    </row>
    <row r="31" spans="3:12" x14ac:dyDescent="0.25">
      <c r="C31" s="6">
        <v>26</v>
      </c>
      <c r="D31" s="9">
        <v>0.76388888888888884</v>
      </c>
      <c r="E31" s="15">
        <f>18*60+20</f>
        <v>1100</v>
      </c>
      <c r="F31" s="12"/>
      <c r="G31" s="3" t="s">
        <v>203</v>
      </c>
      <c r="J31" s="22"/>
      <c r="L31">
        <v>1</v>
      </c>
    </row>
    <row r="32" spans="3:12" x14ac:dyDescent="0.25">
      <c r="C32" s="6">
        <v>27</v>
      </c>
      <c r="D32" s="9">
        <v>0.65208333333333335</v>
      </c>
      <c r="E32" s="15">
        <f>15*60+39</f>
        <v>939</v>
      </c>
      <c r="F32" s="12"/>
      <c r="G32" s="3" t="s">
        <v>204</v>
      </c>
      <c r="J32" s="22"/>
      <c r="L32">
        <v>1</v>
      </c>
    </row>
    <row r="33" spans="3:12" x14ac:dyDescent="0.25">
      <c r="C33" s="6">
        <v>28</v>
      </c>
      <c r="D33" s="9">
        <v>0.42430555555555555</v>
      </c>
      <c r="E33" s="15">
        <f>10*60+11</f>
        <v>611</v>
      </c>
      <c r="F33" s="12"/>
      <c r="G33" s="3" t="s">
        <v>205</v>
      </c>
      <c r="J33" s="22"/>
      <c r="L33">
        <v>1</v>
      </c>
    </row>
    <row r="34" spans="3:12" x14ac:dyDescent="0.25">
      <c r="C34" s="6">
        <v>29</v>
      </c>
      <c r="D34" s="9">
        <v>0.87083333333333324</v>
      </c>
      <c r="E34" s="15">
        <f>20*60+54</f>
        <v>1254</v>
      </c>
      <c r="F34" s="12"/>
      <c r="G34" s="3" t="s">
        <v>206</v>
      </c>
      <c r="J34" s="22"/>
      <c r="L34">
        <v>1</v>
      </c>
    </row>
    <row r="35" spans="3:12" x14ac:dyDescent="0.25">
      <c r="C35" s="6">
        <v>30</v>
      </c>
      <c r="D35" s="9">
        <v>0.85625000000000007</v>
      </c>
      <c r="E35" s="15">
        <f>20*60+33</f>
        <v>1233</v>
      </c>
      <c r="F35" s="12"/>
      <c r="G35" s="3" t="s">
        <v>207</v>
      </c>
      <c r="J35" s="22"/>
      <c r="L35">
        <v>1</v>
      </c>
    </row>
    <row r="36" spans="3:12" ht="15.75" thickBot="1" x14ac:dyDescent="0.3">
      <c r="C36" s="17"/>
      <c r="D36" s="18"/>
      <c r="E36" s="19">
        <f>SUM(E26:E35)/60</f>
        <v>151.53333333333333</v>
      </c>
      <c r="F36" s="20">
        <f>E36/60</f>
        <v>2.5255555555555556</v>
      </c>
      <c r="G36" s="21"/>
      <c r="J36" s="22"/>
      <c r="L36">
        <v>1</v>
      </c>
    </row>
    <row r="37" spans="3:12" x14ac:dyDescent="0.25">
      <c r="C37" s="7">
        <v>31</v>
      </c>
      <c r="D37" s="10">
        <v>0.53333333333333333</v>
      </c>
      <c r="E37" s="16">
        <f>12*60+48</f>
        <v>768</v>
      </c>
      <c r="F37" s="13"/>
      <c r="G37" s="4" t="s">
        <v>208</v>
      </c>
      <c r="J37" s="22"/>
      <c r="L37">
        <v>1</v>
      </c>
    </row>
    <row r="38" spans="3:12" x14ac:dyDescent="0.25">
      <c r="C38" s="6">
        <v>32</v>
      </c>
      <c r="D38" s="9">
        <v>0.40902777777777777</v>
      </c>
      <c r="E38" s="15">
        <f>9*60+49</f>
        <v>589</v>
      </c>
      <c r="F38" s="12"/>
      <c r="G38" s="3" t="s">
        <v>209</v>
      </c>
      <c r="J38" s="22"/>
      <c r="L38">
        <v>1</v>
      </c>
    </row>
    <row r="39" spans="3:12" x14ac:dyDescent="0.25">
      <c r="C39" s="6">
        <v>33</v>
      </c>
      <c r="D39" s="9">
        <v>0.21805555555555556</v>
      </c>
      <c r="E39" s="15">
        <f>5*60+14</f>
        <v>314</v>
      </c>
      <c r="F39" s="12"/>
      <c r="G39" s="3" t="s">
        <v>210</v>
      </c>
      <c r="J39" s="22"/>
      <c r="L39">
        <v>1</v>
      </c>
    </row>
    <row r="40" spans="3:12" x14ac:dyDescent="0.25">
      <c r="C40" s="6">
        <v>34</v>
      </c>
      <c r="D40" s="9">
        <v>0.21180555555555555</v>
      </c>
      <c r="E40" s="15">
        <f>5*60+5</f>
        <v>305</v>
      </c>
      <c r="F40" s="12"/>
      <c r="G40" s="3" t="s">
        <v>211</v>
      </c>
      <c r="L40">
        <v>1</v>
      </c>
    </row>
    <row r="41" spans="3:12" x14ac:dyDescent="0.25">
      <c r="C41" s="6">
        <v>35</v>
      </c>
      <c r="D41" s="9">
        <v>0.26944444444444443</v>
      </c>
      <c r="E41" s="15">
        <f>6*60+28</f>
        <v>388</v>
      </c>
      <c r="F41" s="12"/>
      <c r="G41" s="3" t="s">
        <v>212</v>
      </c>
      <c r="L41">
        <v>1</v>
      </c>
    </row>
    <row r="42" spans="3:12" x14ac:dyDescent="0.25">
      <c r="C42" s="6">
        <v>36</v>
      </c>
      <c r="D42" s="9">
        <v>0.49513888888888885</v>
      </c>
      <c r="E42" s="15">
        <f>11*60+53</f>
        <v>713</v>
      </c>
      <c r="F42" s="12"/>
      <c r="G42" s="3" t="s">
        <v>600</v>
      </c>
      <c r="L42">
        <v>1</v>
      </c>
    </row>
    <row r="43" spans="3:12" x14ac:dyDescent="0.25">
      <c r="C43" s="6">
        <v>37</v>
      </c>
      <c r="D43" s="9">
        <v>0.35972222222222222</v>
      </c>
      <c r="E43" s="15">
        <f>8*60+38</f>
        <v>518</v>
      </c>
      <c r="F43" s="12"/>
      <c r="G43" s="3" t="s">
        <v>601</v>
      </c>
      <c r="L43">
        <v>1</v>
      </c>
    </row>
    <row r="44" spans="3:12" x14ac:dyDescent="0.25">
      <c r="C44" s="6">
        <v>38</v>
      </c>
      <c r="D44" s="9">
        <v>0.48125000000000001</v>
      </c>
      <c r="E44" s="15">
        <f>11*60+33</f>
        <v>693</v>
      </c>
      <c r="F44" s="12"/>
      <c r="G44" s="3" t="s">
        <v>602</v>
      </c>
      <c r="L44">
        <v>1</v>
      </c>
    </row>
    <row r="45" spans="3:12" x14ac:dyDescent="0.25">
      <c r="C45" s="6">
        <v>39</v>
      </c>
      <c r="D45" s="9">
        <v>0.87361111111111101</v>
      </c>
      <c r="E45" s="15">
        <f>20*60+58</f>
        <v>1258</v>
      </c>
      <c r="F45" s="12"/>
      <c r="G45" s="3" t="s">
        <v>603</v>
      </c>
      <c r="L45">
        <v>1</v>
      </c>
    </row>
    <row r="46" spans="3:12" x14ac:dyDescent="0.25">
      <c r="C46" s="6">
        <v>40</v>
      </c>
      <c r="D46" s="34" t="s">
        <v>605</v>
      </c>
      <c r="E46" s="15">
        <f>29*60+43</f>
        <v>1783</v>
      </c>
      <c r="F46" s="12"/>
      <c r="G46" s="3" t="s">
        <v>604</v>
      </c>
    </row>
    <row r="47" spans="3:12" ht="15.75" thickBot="1" x14ac:dyDescent="0.3">
      <c r="C47" s="17"/>
      <c r="D47" s="18"/>
      <c r="E47" s="19">
        <f>SUM(E37:E46)/60</f>
        <v>122.15</v>
      </c>
      <c r="F47" s="20">
        <f>E47/60</f>
        <v>2.0358333333333336</v>
      </c>
      <c r="G47" s="21"/>
    </row>
    <row r="48" spans="3:12" x14ac:dyDescent="0.25">
      <c r="C48" s="7">
        <v>41</v>
      </c>
      <c r="D48" s="10">
        <v>0.97291666666666676</v>
      </c>
      <c r="E48" s="16">
        <f>23*60+21</f>
        <v>1401</v>
      </c>
      <c r="F48" s="13"/>
      <c r="G48" s="4" t="s">
        <v>606</v>
      </c>
    </row>
    <row r="49" spans="3:7" x14ac:dyDescent="0.25">
      <c r="C49" s="6">
        <v>42</v>
      </c>
      <c r="D49" s="9">
        <v>0.74930555555555556</v>
      </c>
      <c r="E49" s="15">
        <f>17*60+59</f>
        <v>1079</v>
      </c>
      <c r="F49" s="12"/>
      <c r="G49" s="3" t="s">
        <v>607</v>
      </c>
    </row>
    <row r="50" spans="3:7" x14ac:dyDescent="0.25">
      <c r="C50" s="6">
        <v>43</v>
      </c>
      <c r="D50" s="9">
        <v>0.44166666666666665</v>
      </c>
      <c r="E50" s="15">
        <f>10*60+36</f>
        <v>636</v>
      </c>
      <c r="F50" s="12"/>
      <c r="G50" s="3" t="s">
        <v>608</v>
      </c>
    </row>
    <row r="51" spans="3:7" x14ac:dyDescent="0.25">
      <c r="C51" s="6">
        <v>44</v>
      </c>
      <c r="D51" s="9">
        <v>0.43541666666666662</v>
      </c>
      <c r="E51" s="46">
        <f>10*60+27</f>
        <v>627</v>
      </c>
      <c r="F51" s="12"/>
      <c r="G51" s="3" t="s">
        <v>609</v>
      </c>
    </row>
    <row r="52" spans="3:7" x14ac:dyDescent="0.25">
      <c r="C52" s="6">
        <v>45</v>
      </c>
      <c r="D52" s="9">
        <v>0.4375</v>
      </c>
      <c r="E52" s="15">
        <f>10*60+30</f>
        <v>630</v>
      </c>
      <c r="F52" s="12"/>
      <c r="G52" s="3" t="s">
        <v>610</v>
      </c>
    </row>
    <row r="53" spans="3:7" x14ac:dyDescent="0.25">
      <c r="C53" s="6">
        <v>46</v>
      </c>
      <c r="D53" s="9">
        <v>0.31388888888888888</v>
      </c>
      <c r="E53" s="15">
        <f>7*60+32</f>
        <v>452</v>
      </c>
      <c r="F53" s="12"/>
      <c r="G53" s="3" t="s">
        <v>611</v>
      </c>
    </row>
    <row r="54" spans="3:7" x14ac:dyDescent="0.25">
      <c r="C54" s="6">
        <v>47</v>
      </c>
      <c r="D54" s="9">
        <v>0.84166666666666667</v>
      </c>
      <c r="E54" s="15">
        <f>20*60+12</f>
        <v>1212</v>
      </c>
      <c r="F54" s="12"/>
      <c r="G54" s="3" t="s">
        <v>612</v>
      </c>
    </row>
    <row r="55" spans="3:7" x14ac:dyDescent="0.25">
      <c r="C55" s="6">
        <v>48</v>
      </c>
      <c r="D55" s="9">
        <v>0.24166666666666667</v>
      </c>
      <c r="E55" s="15">
        <f>5*60+48</f>
        <v>348</v>
      </c>
      <c r="F55" s="12"/>
      <c r="G55" s="3" t="s">
        <v>613</v>
      </c>
    </row>
    <row r="56" spans="3:7" x14ac:dyDescent="0.25">
      <c r="C56" s="6">
        <v>49</v>
      </c>
      <c r="D56" s="9">
        <v>0.44722222222222219</v>
      </c>
      <c r="E56" s="15">
        <f>10*60+44</f>
        <v>644</v>
      </c>
      <c r="F56" s="12"/>
      <c r="G56" s="3" t="s">
        <v>614</v>
      </c>
    </row>
    <row r="57" spans="3:7" x14ac:dyDescent="0.25">
      <c r="C57" s="6">
        <v>50</v>
      </c>
      <c r="D57" s="9">
        <v>0.7583333333333333</v>
      </c>
      <c r="E57" s="15">
        <f>18*60+12</f>
        <v>1092</v>
      </c>
      <c r="F57" s="12"/>
      <c r="G57" s="3" t="s">
        <v>615</v>
      </c>
    </row>
    <row r="58" spans="3:7" ht="15.75" thickBot="1" x14ac:dyDescent="0.3">
      <c r="C58" s="17"/>
      <c r="D58" s="18"/>
      <c r="E58" s="19">
        <f>SUM(E48:E57)/60</f>
        <v>135.35</v>
      </c>
      <c r="F58" s="20">
        <f>E58/60</f>
        <v>2.2558333333333334</v>
      </c>
      <c r="G58" s="21"/>
    </row>
    <row r="59" spans="3:7" x14ac:dyDescent="0.25">
      <c r="C59" s="7">
        <v>51</v>
      </c>
      <c r="D59" s="10">
        <v>0.36388888888888887</v>
      </c>
      <c r="E59" s="16">
        <f>8*60+44</f>
        <v>524</v>
      </c>
      <c r="F59" s="13"/>
      <c r="G59" s="4" t="s">
        <v>616</v>
      </c>
    </row>
    <row r="60" spans="3:7" x14ac:dyDescent="0.25">
      <c r="C60" s="6">
        <v>52</v>
      </c>
      <c r="D60" s="9">
        <v>0.68125000000000002</v>
      </c>
      <c r="E60" s="15">
        <f>16*60+21</f>
        <v>981</v>
      </c>
      <c r="F60" s="12"/>
      <c r="G60" s="3" t="s">
        <v>617</v>
      </c>
    </row>
    <row r="61" spans="3:7" x14ac:dyDescent="0.25">
      <c r="C61" s="7">
        <v>53</v>
      </c>
      <c r="D61" s="34" t="s">
        <v>619</v>
      </c>
      <c r="E61" s="15">
        <f>27*60+39</f>
        <v>1659</v>
      </c>
      <c r="F61" s="12"/>
      <c r="G61" s="3" t="s">
        <v>618</v>
      </c>
    </row>
    <row r="62" spans="3:7" x14ac:dyDescent="0.25">
      <c r="C62" s="6">
        <v>54</v>
      </c>
      <c r="D62" s="9">
        <v>0.49236111111111108</v>
      </c>
      <c r="E62" s="15">
        <f>11*60+49</f>
        <v>709</v>
      </c>
      <c r="F62" s="12"/>
      <c r="G62" s="3" t="s">
        <v>620</v>
      </c>
    </row>
    <row r="63" spans="3:7" x14ac:dyDescent="0.25">
      <c r="C63" s="7">
        <v>55</v>
      </c>
      <c r="D63" s="9">
        <v>0.87847222222222221</v>
      </c>
      <c r="E63" s="15">
        <f>60*21+5</f>
        <v>1265</v>
      </c>
      <c r="F63" s="12"/>
      <c r="G63" s="3" t="s">
        <v>621</v>
      </c>
    </row>
    <row r="64" spans="3:7" x14ac:dyDescent="0.25">
      <c r="C64" s="6">
        <v>56</v>
      </c>
      <c r="D64" s="9">
        <v>0.5</v>
      </c>
      <c r="E64" s="15">
        <f>12*60</f>
        <v>720</v>
      </c>
      <c r="F64" s="12"/>
      <c r="G64" s="3" t="s">
        <v>622</v>
      </c>
    </row>
    <row r="65" spans="3:7" x14ac:dyDescent="0.25">
      <c r="C65" s="7">
        <v>57</v>
      </c>
      <c r="D65" s="9">
        <v>0.28194444444444444</v>
      </c>
      <c r="E65" s="15">
        <f>6*60+46</f>
        <v>406</v>
      </c>
      <c r="F65" s="12"/>
      <c r="G65" s="3" t="s">
        <v>623</v>
      </c>
    </row>
    <row r="66" spans="3:7" x14ac:dyDescent="0.25">
      <c r="C66" s="6">
        <v>58</v>
      </c>
      <c r="D66" s="9">
        <v>0.79027777777777775</v>
      </c>
      <c r="E66" s="15">
        <f>18*60+58</f>
        <v>1138</v>
      </c>
      <c r="F66" s="12"/>
      <c r="G66" s="3" t="s">
        <v>624</v>
      </c>
    </row>
    <row r="67" spans="3:7" x14ac:dyDescent="0.25">
      <c r="C67" s="7">
        <v>59</v>
      </c>
      <c r="D67" s="9">
        <v>0.21875</v>
      </c>
      <c r="E67" s="15">
        <f>5*60+15</f>
        <v>315</v>
      </c>
      <c r="F67" s="12"/>
      <c r="G67" s="3" t="s">
        <v>625</v>
      </c>
    </row>
    <row r="68" spans="3:7" x14ac:dyDescent="0.25">
      <c r="C68" s="6">
        <v>60</v>
      </c>
      <c r="D68" s="9">
        <v>0.48680555555555555</v>
      </c>
      <c r="E68" s="15">
        <f>11*60+41</f>
        <v>701</v>
      </c>
      <c r="F68" s="12"/>
      <c r="G68" s="3" t="s">
        <v>626</v>
      </c>
    </row>
    <row r="69" spans="3:7" ht="15.75" thickBot="1" x14ac:dyDescent="0.3">
      <c r="C69" s="17"/>
      <c r="D69" s="18"/>
      <c r="E69" s="19">
        <f>SUM(E59:E68)/60</f>
        <v>140.30000000000001</v>
      </c>
      <c r="F69" s="20">
        <f>E69/60</f>
        <v>2.3383333333333334</v>
      </c>
      <c r="G69" s="21"/>
    </row>
    <row r="70" spans="3:7" x14ac:dyDescent="0.25">
      <c r="C70" s="7">
        <v>61</v>
      </c>
      <c r="D70" s="10">
        <v>0.6333333333333333</v>
      </c>
      <c r="E70" s="16">
        <f>15*60+12</f>
        <v>912</v>
      </c>
      <c r="F70" s="13"/>
      <c r="G70" s="4" t="s">
        <v>627</v>
      </c>
    </row>
    <row r="71" spans="3:7" x14ac:dyDescent="0.25">
      <c r="C71" s="6">
        <v>62</v>
      </c>
      <c r="D71" s="9">
        <v>0.73263888888888884</v>
      </c>
      <c r="E71" s="15">
        <f>17*60+35</f>
        <v>1055</v>
      </c>
      <c r="F71" s="12"/>
      <c r="G71" s="3" t="s">
        <v>628</v>
      </c>
    </row>
    <row r="72" spans="3:7" x14ac:dyDescent="0.25">
      <c r="C72" s="6">
        <v>63</v>
      </c>
      <c r="D72" s="9">
        <v>0.61875000000000002</v>
      </c>
      <c r="E72" s="15">
        <f>60*14+51</f>
        <v>891</v>
      </c>
      <c r="F72" s="12"/>
      <c r="G72" s="3" t="s">
        <v>629</v>
      </c>
    </row>
    <row r="73" spans="3:7" x14ac:dyDescent="0.25">
      <c r="C73" s="6">
        <v>64</v>
      </c>
      <c r="D73" s="9">
        <v>0.42222222222222222</v>
      </c>
      <c r="E73" s="15">
        <f>10*60+8</f>
        <v>608</v>
      </c>
      <c r="F73" s="12"/>
      <c r="G73" s="3" t="s">
        <v>630</v>
      </c>
    </row>
    <row r="74" spans="3:7" x14ac:dyDescent="0.25">
      <c r="C74" s="6">
        <v>65</v>
      </c>
      <c r="D74" s="9">
        <v>0.57777777777777783</v>
      </c>
      <c r="E74" s="15">
        <f>13*60+52</f>
        <v>832</v>
      </c>
      <c r="F74" s="12"/>
      <c r="G74" s="3" t="s">
        <v>631</v>
      </c>
    </row>
    <row r="75" spans="3:7" x14ac:dyDescent="0.25">
      <c r="C75" s="6">
        <v>66</v>
      </c>
      <c r="D75" s="9">
        <v>0.45763888888888887</v>
      </c>
      <c r="E75" s="15">
        <f>10*60+59</f>
        <v>659</v>
      </c>
      <c r="F75" s="12"/>
      <c r="G75" s="3" t="s">
        <v>632</v>
      </c>
    </row>
    <row r="76" spans="3:7" x14ac:dyDescent="0.25">
      <c r="C76" s="6">
        <v>67</v>
      </c>
      <c r="D76" s="9">
        <v>0.26527777777777778</v>
      </c>
      <c r="E76" s="15">
        <f>6*60+22</f>
        <v>382</v>
      </c>
      <c r="F76" s="12"/>
      <c r="G76" s="3" t="s">
        <v>633</v>
      </c>
    </row>
    <row r="77" spans="3:7" x14ac:dyDescent="0.25">
      <c r="C77" s="6">
        <v>68</v>
      </c>
      <c r="D77" s="9">
        <v>0.20138888888888887</v>
      </c>
      <c r="E77" s="15">
        <f>4*60+50</f>
        <v>290</v>
      </c>
      <c r="F77" s="12"/>
      <c r="G77" s="3" t="s">
        <v>634</v>
      </c>
    </row>
    <row r="78" spans="3:7" x14ac:dyDescent="0.25">
      <c r="C78" s="6">
        <v>69</v>
      </c>
      <c r="D78" s="9">
        <v>0.30416666666666664</v>
      </c>
      <c r="E78" s="15">
        <f>7*60+18</f>
        <v>438</v>
      </c>
      <c r="F78" s="12"/>
      <c r="G78" s="3" t="s">
        <v>635</v>
      </c>
    </row>
    <row r="79" spans="3:7" x14ac:dyDescent="0.25">
      <c r="C79" s="6">
        <v>70</v>
      </c>
      <c r="D79" s="9">
        <v>0.13958333333333334</v>
      </c>
      <c r="E79" s="15">
        <f>3*60+21</f>
        <v>201</v>
      </c>
      <c r="F79" s="12"/>
      <c r="G79" s="3" t="s">
        <v>636</v>
      </c>
    </row>
    <row r="80" spans="3:7" ht="15.75" thickBot="1" x14ac:dyDescent="0.3">
      <c r="C80" s="17"/>
      <c r="D80" s="18"/>
      <c r="E80" s="19">
        <f>SUM(E70:E79)/60</f>
        <v>104.46666666666667</v>
      </c>
      <c r="F80" s="20">
        <f>E80/60</f>
        <v>1.7411111111111111</v>
      </c>
      <c r="G80" s="21"/>
    </row>
    <row r="81" spans="3:7" x14ac:dyDescent="0.25">
      <c r="C81" s="7">
        <v>71</v>
      </c>
      <c r="D81" s="10">
        <v>0.33958333333333335</v>
      </c>
      <c r="E81" s="16">
        <f>8*60+9</f>
        <v>489</v>
      </c>
      <c r="F81" s="13"/>
      <c r="G81" s="4" t="s">
        <v>637</v>
      </c>
    </row>
    <row r="82" spans="3:7" x14ac:dyDescent="0.25">
      <c r="C82" s="6">
        <v>72</v>
      </c>
      <c r="D82" s="9">
        <v>0.66597222222222219</v>
      </c>
      <c r="E82" s="15">
        <f>15*60+59</f>
        <v>959</v>
      </c>
      <c r="F82" s="12"/>
      <c r="G82" s="3" t="s">
        <v>638</v>
      </c>
    </row>
    <row r="83" spans="3:7" x14ac:dyDescent="0.25">
      <c r="C83" s="6">
        <v>73</v>
      </c>
      <c r="D83" s="9">
        <v>0.67291666666666661</v>
      </c>
      <c r="E83" s="15">
        <f>16*60+9</f>
        <v>969</v>
      </c>
      <c r="F83" s="12"/>
      <c r="G83" s="3" t="s">
        <v>639</v>
      </c>
    </row>
    <row r="84" spans="3:7" x14ac:dyDescent="0.25">
      <c r="C84" s="6">
        <v>74</v>
      </c>
      <c r="D84" s="9">
        <v>0.6958333333333333</v>
      </c>
      <c r="E84" s="15">
        <f>16*60+42</f>
        <v>1002</v>
      </c>
      <c r="F84" s="12"/>
      <c r="G84" s="3" t="s">
        <v>640</v>
      </c>
    </row>
    <row r="85" spans="3:7" x14ac:dyDescent="0.25">
      <c r="C85" s="6">
        <v>75</v>
      </c>
      <c r="D85" s="9">
        <v>0.7402777777777777</v>
      </c>
      <c r="E85" s="15">
        <f>17*60+46</f>
        <v>1066</v>
      </c>
      <c r="F85" s="12"/>
      <c r="G85" s="3" t="s">
        <v>641</v>
      </c>
    </row>
    <row r="86" spans="3:7" x14ac:dyDescent="0.25">
      <c r="C86" s="6">
        <v>76</v>
      </c>
      <c r="D86" s="9">
        <v>0.39166666666666666</v>
      </c>
      <c r="E86" s="15">
        <f>9*60+24</f>
        <v>564</v>
      </c>
      <c r="F86" s="12"/>
      <c r="G86" s="3" t="s">
        <v>642</v>
      </c>
    </row>
    <row r="87" spans="3:7" x14ac:dyDescent="0.25">
      <c r="C87" s="6">
        <v>77</v>
      </c>
      <c r="D87" s="9">
        <v>0.36249999999999999</v>
      </c>
      <c r="E87" s="15">
        <f>8*60+42</f>
        <v>522</v>
      </c>
      <c r="F87" s="12"/>
      <c r="G87" s="3" t="s">
        <v>643</v>
      </c>
    </row>
    <row r="88" spans="3:7" x14ac:dyDescent="0.25">
      <c r="C88" s="6">
        <v>78</v>
      </c>
      <c r="D88" s="9">
        <v>0.58124999999999993</v>
      </c>
      <c r="E88" s="15">
        <f>13*60+57</f>
        <v>837</v>
      </c>
      <c r="F88" s="12"/>
      <c r="G88" s="3" t="s">
        <v>644</v>
      </c>
    </row>
    <row r="89" spans="3:7" x14ac:dyDescent="0.25">
      <c r="C89" s="6">
        <v>79</v>
      </c>
      <c r="D89" s="9">
        <v>0.36180555555555555</v>
      </c>
      <c r="E89" s="15">
        <f>8*60+41</f>
        <v>521</v>
      </c>
      <c r="F89" s="12"/>
      <c r="G89" s="3" t="s">
        <v>645</v>
      </c>
    </row>
    <row r="90" spans="3:7" x14ac:dyDescent="0.25">
      <c r="C90" s="6">
        <v>80</v>
      </c>
      <c r="D90" s="9">
        <v>0.375</v>
      </c>
      <c r="E90" s="15">
        <f>9*60</f>
        <v>540</v>
      </c>
      <c r="F90" s="12"/>
      <c r="G90" s="3" t="s">
        <v>646</v>
      </c>
    </row>
    <row r="91" spans="3:7" ht="15.75" thickBot="1" x14ac:dyDescent="0.3">
      <c r="C91" s="17"/>
      <c r="D91" s="18"/>
      <c r="E91" s="19">
        <f>SUM(E81:E90)/60</f>
        <v>124.48333333333333</v>
      </c>
      <c r="F91" s="20">
        <f>E91/60</f>
        <v>2.0747222222222224</v>
      </c>
      <c r="G91" s="21"/>
    </row>
    <row r="92" spans="3:7" x14ac:dyDescent="0.25">
      <c r="C92" s="7">
        <v>81</v>
      </c>
      <c r="D92" s="24" t="s">
        <v>427</v>
      </c>
      <c r="E92" s="16">
        <f>24*60+7</f>
        <v>1447</v>
      </c>
      <c r="F92" s="13"/>
      <c r="G92" s="4" t="s">
        <v>647</v>
      </c>
    </row>
    <row r="93" spans="3:7" x14ac:dyDescent="0.25">
      <c r="C93" s="6">
        <v>82</v>
      </c>
      <c r="D93" s="9">
        <v>0.49513888888888885</v>
      </c>
      <c r="E93" s="15">
        <f>11*60+53</f>
        <v>713</v>
      </c>
      <c r="F93" s="12"/>
      <c r="G93" s="3" t="s">
        <v>648</v>
      </c>
    </row>
    <row r="94" spans="3:7" x14ac:dyDescent="0.25">
      <c r="C94" s="6">
        <v>83</v>
      </c>
      <c r="D94" s="9">
        <v>0.31805555555555554</v>
      </c>
      <c r="E94" s="15">
        <f>7*60+38</f>
        <v>458</v>
      </c>
      <c r="F94" s="12"/>
      <c r="G94" s="3" t="s">
        <v>649</v>
      </c>
    </row>
    <row r="95" spans="3:7" x14ac:dyDescent="0.25">
      <c r="C95" s="6">
        <v>84</v>
      </c>
      <c r="D95" s="34" t="s">
        <v>651</v>
      </c>
      <c r="E95" s="15">
        <f>26*60+50</f>
        <v>1610</v>
      </c>
      <c r="F95" s="12"/>
      <c r="G95" s="3" t="s">
        <v>650</v>
      </c>
    </row>
    <row r="96" spans="3:7" x14ac:dyDescent="0.25">
      <c r="C96" s="6">
        <v>85</v>
      </c>
      <c r="D96" s="34" t="s">
        <v>651</v>
      </c>
      <c r="E96" s="15">
        <f>26*60+50</f>
        <v>1610</v>
      </c>
      <c r="F96" s="12"/>
      <c r="G96" s="3" t="s">
        <v>652</v>
      </c>
    </row>
    <row r="97" spans="3:7" x14ac:dyDescent="0.25">
      <c r="C97" s="6">
        <v>86</v>
      </c>
      <c r="D97" s="9">
        <v>0.43541666666666662</v>
      </c>
      <c r="E97" s="15">
        <f>10*60+27</f>
        <v>627</v>
      </c>
      <c r="F97" s="12"/>
      <c r="G97" s="3" t="s">
        <v>653</v>
      </c>
    </row>
    <row r="98" spans="3:7" x14ac:dyDescent="0.25">
      <c r="C98" s="6">
        <v>87</v>
      </c>
      <c r="D98" s="9">
        <v>0.13402777777777777</v>
      </c>
      <c r="E98" s="15">
        <f>3*60+13</f>
        <v>193</v>
      </c>
      <c r="F98" s="12"/>
      <c r="G98" s="3" t="s">
        <v>654</v>
      </c>
    </row>
    <row r="99" spans="3:7" x14ac:dyDescent="0.25">
      <c r="C99" s="6">
        <v>88</v>
      </c>
      <c r="D99" s="9">
        <v>0.22083333333333333</v>
      </c>
      <c r="E99" s="15">
        <f>5*60+18</f>
        <v>318</v>
      </c>
      <c r="F99" s="12"/>
      <c r="G99" s="3" t="s">
        <v>655</v>
      </c>
    </row>
    <row r="100" spans="3:7" x14ac:dyDescent="0.25">
      <c r="C100" s="6">
        <v>89</v>
      </c>
      <c r="D100" s="9">
        <v>0.40138888888888885</v>
      </c>
      <c r="E100" s="15">
        <f>9*60+38</f>
        <v>578</v>
      </c>
      <c r="F100" s="12"/>
      <c r="G100" s="3" t="s">
        <v>656</v>
      </c>
    </row>
    <row r="101" spans="3:7" x14ac:dyDescent="0.25">
      <c r="C101" s="6">
        <v>90</v>
      </c>
      <c r="D101" s="9">
        <v>0.25972222222222224</v>
      </c>
      <c r="E101" s="15">
        <f>6*60+14</f>
        <v>374</v>
      </c>
      <c r="F101" s="12"/>
      <c r="G101" s="3" t="s">
        <v>657</v>
      </c>
    </row>
    <row r="102" spans="3:7" ht="15.75" thickBot="1" x14ac:dyDescent="0.3">
      <c r="C102" s="17"/>
      <c r="D102" s="18"/>
      <c r="E102" s="19">
        <f>SUM(E92:E101)/60</f>
        <v>132.13333333333333</v>
      </c>
      <c r="F102" s="20">
        <f>E102/60</f>
        <v>2.2022222222222223</v>
      </c>
      <c r="G102" s="21"/>
    </row>
    <row r="103" spans="3:7" x14ac:dyDescent="0.25">
      <c r="C103" s="7">
        <v>91</v>
      </c>
      <c r="D103" s="24">
        <v>0.43541666666666662</v>
      </c>
      <c r="E103" s="16">
        <f>10*60+27</f>
        <v>627</v>
      </c>
      <c r="F103" s="13"/>
      <c r="G103" s="4" t="s">
        <v>658</v>
      </c>
    </row>
    <row r="104" spans="3:7" x14ac:dyDescent="0.25">
      <c r="C104" s="6">
        <v>92</v>
      </c>
      <c r="D104" s="9">
        <v>0.5</v>
      </c>
      <c r="E104" s="15">
        <f>12*60</f>
        <v>720</v>
      </c>
      <c r="F104" s="12"/>
      <c r="G104" s="3" t="s">
        <v>659</v>
      </c>
    </row>
    <row r="105" spans="3:7" x14ac:dyDescent="0.25">
      <c r="C105" s="6">
        <v>93</v>
      </c>
      <c r="D105" s="9">
        <v>0.47500000000000003</v>
      </c>
      <c r="E105" s="15">
        <f>11*60+24</f>
        <v>684</v>
      </c>
      <c r="F105" s="12"/>
      <c r="G105" s="3" t="s">
        <v>660</v>
      </c>
    </row>
    <row r="106" spans="3:7" x14ac:dyDescent="0.25">
      <c r="C106" s="6">
        <v>94</v>
      </c>
      <c r="D106" s="9">
        <v>0.16250000000000001</v>
      </c>
      <c r="E106" s="15">
        <f>3*60+54</f>
        <v>234</v>
      </c>
      <c r="F106" s="12"/>
      <c r="G106" s="3" t="s">
        <v>661</v>
      </c>
    </row>
    <row r="107" spans="3:7" x14ac:dyDescent="0.25">
      <c r="C107" s="6">
        <v>95</v>
      </c>
      <c r="D107" s="9">
        <v>0.48194444444444445</v>
      </c>
      <c r="E107" s="15">
        <f>11*60+34</f>
        <v>694</v>
      </c>
      <c r="F107" s="12"/>
      <c r="G107" s="3" t="s">
        <v>662</v>
      </c>
    </row>
    <row r="108" spans="3:7" x14ac:dyDescent="0.25">
      <c r="C108" s="6">
        <v>96</v>
      </c>
      <c r="D108" s="9">
        <v>0.33611111111111108</v>
      </c>
      <c r="E108" s="15">
        <f>8*60+4</f>
        <v>484</v>
      </c>
      <c r="F108" s="12"/>
      <c r="G108" s="3" t="s">
        <v>663</v>
      </c>
    </row>
    <row r="109" spans="3:7" x14ac:dyDescent="0.25">
      <c r="C109" s="6">
        <v>97</v>
      </c>
      <c r="D109" s="9">
        <v>0.42222222222222222</v>
      </c>
      <c r="E109" s="15">
        <f>10*60+8</f>
        <v>608</v>
      </c>
      <c r="F109" s="12"/>
      <c r="G109" s="3" t="s">
        <v>664</v>
      </c>
    </row>
    <row r="110" spans="3:7" x14ac:dyDescent="0.25">
      <c r="C110" s="6">
        <v>98</v>
      </c>
      <c r="D110" s="9">
        <v>0.5625</v>
      </c>
      <c r="E110" s="15">
        <f>13*60+30</f>
        <v>810</v>
      </c>
      <c r="F110" s="12"/>
      <c r="G110" s="3" t="s">
        <v>665</v>
      </c>
    </row>
    <row r="111" spans="3:7" x14ac:dyDescent="0.25">
      <c r="C111" s="6">
        <v>99</v>
      </c>
      <c r="D111" s="9">
        <v>0.47638888888888892</v>
      </c>
      <c r="E111" s="15">
        <f>11*60+26</f>
        <v>686</v>
      </c>
      <c r="F111" s="12"/>
      <c r="G111" s="3" t="s">
        <v>666</v>
      </c>
    </row>
    <row r="112" spans="3:7" x14ac:dyDescent="0.25">
      <c r="C112" s="6">
        <v>100</v>
      </c>
      <c r="D112" s="9">
        <v>0.3354166666666667</v>
      </c>
      <c r="E112" s="15">
        <f>8*60+3</f>
        <v>483</v>
      </c>
      <c r="F112" s="12"/>
      <c r="G112" s="3" t="s">
        <v>667</v>
      </c>
    </row>
    <row r="113" spans="3:7" ht="15.75" thickBot="1" x14ac:dyDescent="0.3">
      <c r="C113" s="17"/>
      <c r="D113" s="18"/>
      <c r="E113" s="19">
        <f>SUM(E103:E112)/60</f>
        <v>100.5</v>
      </c>
      <c r="F113" s="20">
        <f>E113/60</f>
        <v>1.675</v>
      </c>
      <c r="G113" s="21"/>
    </row>
    <row r="114" spans="3:7" x14ac:dyDescent="0.25">
      <c r="C114" s="7">
        <v>101</v>
      </c>
      <c r="D114" s="24">
        <v>0.49652777777777773</v>
      </c>
      <c r="E114" s="16">
        <f>11*60+55</f>
        <v>715</v>
      </c>
      <c r="F114" s="13"/>
      <c r="G114" s="4" t="s">
        <v>737</v>
      </c>
    </row>
    <row r="115" spans="3:7" x14ac:dyDescent="0.25">
      <c r="C115" s="6">
        <v>102</v>
      </c>
      <c r="D115" s="9">
        <v>0.51180555555555551</v>
      </c>
      <c r="E115" s="15">
        <f>12*60+17</f>
        <v>737</v>
      </c>
      <c r="F115" s="12"/>
      <c r="G115" s="3" t="s">
        <v>738</v>
      </c>
    </row>
    <row r="116" spans="3:7" ht="15.75" thickBot="1" x14ac:dyDescent="0.3">
      <c r="C116" s="17"/>
      <c r="D116" s="18"/>
      <c r="E116" s="19">
        <f>SUM(E114:E115)/60</f>
        <v>24.2</v>
      </c>
      <c r="F116" s="20">
        <f>E116/60</f>
        <v>0.40333333333333332</v>
      </c>
      <c r="G116" s="2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N192"/>
  <sheetViews>
    <sheetView topLeftCell="A56" workbookViewId="0">
      <selection activeCell="N67" sqref="N67"/>
    </sheetView>
  </sheetViews>
  <sheetFormatPr defaultRowHeight="15" x14ac:dyDescent="0.25"/>
  <cols>
    <col min="3" max="3" width="6.140625" customWidth="1"/>
    <col min="4" max="4" width="9.140625" style="29"/>
    <col min="7" max="7" width="77.5703125" style="1" customWidth="1"/>
    <col min="8" max="8" width="7.85546875" style="121" customWidth="1"/>
    <col min="9" max="9" width="7" customWidth="1"/>
    <col min="10" max="14" width="4.7109375" style="63" customWidth="1"/>
    <col min="15" max="16" width="4.7109375" customWidth="1"/>
    <col min="19" max="20" width="4.7109375" customWidth="1"/>
  </cols>
  <sheetData>
    <row r="1" spans="3:14" x14ac:dyDescent="0.25">
      <c r="G1" s="116">
        <f>SUM(E4:E13)+SUM(E15:E24)+SUM(E26:E35)+SUM(E37:E46)+SUM(E48:E57)+SUM(E59:E68)+SUM(E70:E79)+SUM(E81:E90)+SUM(E92:E101)+SUM(E103:E112)+SUM(E114:E123)+SUM(E125:E134)+SUM(E136:E145)+SUM(E147:E156)+SUM(E158:E167)+SUM(E169:E178)+SUM(E180:E189)+E191+E192</f>
        <v>140809</v>
      </c>
    </row>
    <row r="2" spans="3:14" x14ac:dyDescent="0.25">
      <c r="C2" s="1" t="s">
        <v>41</v>
      </c>
      <c r="F2" s="23">
        <f>F14+F25+F36+F47+F58+F69+F80+F91+F102+F113+F124+F135+F146+F157+F168+F179+F190+F191</f>
        <v>38.710833333333333</v>
      </c>
    </row>
    <row r="3" spans="3:14" ht="15.75" thickBot="1" x14ac:dyDescent="0.3">
      <c r="C3" s="1"/>
      <c r="F3" s="23"/>
      <c r="J3" s="115" t="s">
        <v>1146</v>
      </c>
      <c r="K3" s="115" t="s">
        <v>1135</v>
      </c>
      <c r="L3" s="115" t="s">
        <v>1134</v>
      </c>
      <c r="M3" s="113" t="s">
        <v>1617</v>
      </c>
      <c r="N3" s="113" t="s">
        <v>1621</v>
      </c>
    </row>
    <row r="4" spans="3:14" x14ac:dyDescent="0.25">
      <c r="C4" s="5">
        <v>1</v>
      </c>
      <c r="D4" s="30" t="s">
        <v>163</v>
      </c>
      <c r="E4" s="14">
        <f>11*60+47</f>
        <v>707</v>
      </c>
      <c r="F4" s="11"/>
      <c r="G4" s="2" t="s">
        <v>527</v>
      </c>
      <c r="H4" s="90"/>
      <c r="I4" s="119">
        <f>E4/G1</f>
        <v>5.0209858744824547E-3</v>
      </c>
      <c r="L4" s="63">
        <v>1</v>
      </c>
      <c r="M4" s="63">
        <v>1</v>
      </c>
    </row>
    <row r="5" spans="3:14" x14ac:dyDescent="0.25">
      <c r="C5" s="6">
        <v>2</v>
      </c>
      <c r="D5" s="31" t="s">
        <v>164</v>
      </c>
      <c r="E5" s="15">
        <f>18*60+23</f>
        <v>1103</v>
      </c>
      <c r="F5" s="12"/>
      <c r="G5" s="3" t="s">
        <v>528</v>
      </c>
      <c r="H5" s="90"/>
      <c r="I5" s="119">
        <f>E5/$G$1+I4</f>
        <v>1.2854291984177146E-2</v>
      </c>
      <c r="L5" s="63">
        <v>1</v>
      </c>
      <c r="M5" s="63">
        <v>1</v>
      </c>
    </row>
    <row r="6" spans="3:14" x14ac:dyDescent="0.25">
      <c r="C6" s="6">
        <v>3</v>
      </c>
      <c r="D6" s="31" t="s">
        <v>162</v>
      </c>
      <c r="E6" s="15">
        <f>27*60+9</f>
        <v>1629</v>
      </c>
      <c r="F6" s="12"/>
      <c r="G6" s="3" t="s">
        <v>529</v>
      </c>
      <c r="H6" s="90"/>
      <c r="I6" s="119">
        <f t="shared" ref="I6:I68" si="0">E6/$G$1+I5</f>
        <v>2.4423154769936579E-2</v>
      </c>
      <c r="L6" s="63">
        <v>1</v>
      </c>
      <c r="M6" s="63">
        <v>1</v>
      </c>
    </row>
    <row r="7" spans="3:14" x14ac:dyDescent="0.25">
      <c r="C7" s="6">
        <v>4</v>
      </c>
      <c r="D7" s="31" t="s">
        <v>165</v>
      </c>
      <c r="E7" s="15">
        <f>17*60+23</f>
        <v>1043</v>
      </c>
      <c r="F7" s="12"/>
      <c r="G7" s="3" t="s">
        <v>530</v>
      </c>
      <c r="H7" s="90"/>
      <c r="I7" s="119">
        <f t="shared" si="0"/>
        <v>3.1830351753083963E-2</v>
      </c>
      <c r="K7" s="63">
        <v>1</v>
      </c>
      <c r="M7" s="63">
        <v>1</v>
      </c>
    </row>
    <row r="8" spans="3:14" x14ac:dyDescent="0.25">
      <c r="C8" s="6">
        <v>5</v>
      </c>
      <c r="D8" s="31" t="s">
        <v>166</v>
      </c>
      <c r="E8" s="15">
        <f>27*60+46</f>
        <v>1666</v>
      </c>
      <c r="F8" s="12"/>
      <c r="G8" s="3" t="s">
        <v>531</v>
      </c>
      <c r="H8" s="90"/>
      <c r="I8" s="119">
        <f t="shared" si="0"/>
        <v>4.3661981833547567E-2</v>
      </c>
      <c r="K8" s="63">
        <v>1</v>
      </c>
      <c r="M8" s="63">
        <v>1</v>
      </c>
    </row>
    <row r="9" spans="3:14" x14ac:dyDescent="0.25">
      <c r="C9" s="6">
        <v>6</v>
      </c>
      <c r="D9" s="31" t="s">
        <v>167</v>
      </c>
      <c r="E9" s="15">
        <f>11*60+50</f>
        <v>710</v>
      </c>
      <c r="F9" s="12"/>
      <c r="G9" s="3" t="s">
        <v>532</v>
      </c>
      <c r="H9" s="90"/>
      <c r="I9" s="119">
        <f t="shared" si="0"/>
        <v>4.8704273164357388E-2</v>
      </c>
      <c r="K9" s="63">
        <v>1</v>
      </c>
      <c r="M9" s="63">
        <v>1</v>
      </c>
    </row>
    <row r="10" spans="3:14" x14ac:dyDescent="0.25">
      <c r="C10" s="6">
        <v>7</v>
      </c>
      <c r="D10" s="31" t="s">
        <v>168</v>
      </c>
      <c r="E10" s="15">
        <f>17*60+3</f>
        <v>1023</v>
      </c>
      <c r="F10" s="12"/>
      <c r="G10" s="3" t="s">
        <v>533</v>
      </c>
      <c r="H10" s="90"/>
      <c r="I10" s="119">
        <f t="shared" si="0"/>
        <v>5.5969433771988999E-2</v>
      </c>
      <c r="K10" s="63">
        <v>1</v>
      </c>
      <c r="M10" s="63">
        <v>1</v>
      </c>
    </row>
    <row r="11" spans="3:14" x14ac:dyDescent="0.25">
      <c r="C11" s="6">
        <v>8</v>
      </c>
      <c r="D11" s="31" t="s">
        <v>169</v>
      </c>
      <c r="E11" s="15">
        <f>17*60+42</f>
        <v>1062</v>
      </c>
      <c r="F11" s="12"/>
      <c r="G11" s="3" t="s">
        <v>534</v>
      </c>
      <c r="H11" s="90"/>
      <c r="I11" s="119">
        <f t="shared" si="0"/>
        <v>6.3511565311876364E-2</v>
      </c>
      <c r="K11" s="63">
        <v>1</v>
      </c>
      <c r="M11" s="63">
        <v>1</v>
      </c>
    </row>
    <row r="12" spans="3:14" x14ac:dyDescent="0.25">
      <c r="C12" s="6">
        <v>9</v>
      </c>
      <c r="D12" s="31" t="s">
        <v>170</v>
      </c>
      <c r="E12" s="15">
        <f>14*60+25</f>
        <v>865</v>
      </c>
      <c r="F12" s="12"/>
      <c r="G12" s="3" t="s">
        <v>535</v>
      </c>
      <c r="H12" s="90"/>
      <c r="I12" s="119">
        <f t="shared" si="0"/>
        <v>6.9654638552933398E-2</v>
      </c>
      <c r="K12" s="63">
        <v>1</v>
      </c>
      <c r="M12" s="63">
        <v>1</v>
      </c>
    </row>
    <row r="13" spans="3:14" x14ac:dyDescent="0.25">
      <c r="C13" s="6">
        <v>10</v>
      </c>
      <c r="D13" s="31" t="s">
        <v>171</v>
      </c>
      <c r="E13" s="15">
        <f>14*60+43</f>
        <v>883</v>
      </c>
      <c r="F13" s="12"/>
      <c r="G13" s="3" t="s">
        <v>536</v>
      </c>
      <c r="H13" s="90"/>
      <c r="I13" s="119">
        <f t="shared" si="0"/>
        <v>7.5925544531954631E-2</v>
      </c>
      <c r="K13" s="63">
        <v>1</v>
      </c>
      <c r="M13" s="63">
        <v>1</v>
      </c>
    </row>
    <row r="14" spans="3:14" ht="15.75" thickBot="1" x14ac:dyDescent="0.3">
      <c r="C14" s="17"/>
      <c r="D14" s="32"/>
      <c r="E14" s="19">
        <f>SUM(E4:E13)/60</f>
        <v>178.18333333333334</v>
      </c>
      <c r="F14" s="20">
        <f>E14/60</f>
        <v>2.9697222222222224</v>
      </c>
      <c r="G14" s="21"/>
      <c r="H14" s="90"/>
      <c r="I14" s="119"/>
    </row>
    <row r="15" spans="3:14" x14ac:dyDescent="0.25">
      <c r="C15" s="7">
        <v>11</v>
      </c>
      <c r="D15" s="33" t="s">
        <v>172</v>
      </c>
      <c r="E15" s="16">
        <f>12*60</f>
        <v>720</v>
      </c>
      <c r="F15" s="13"/>
      <c r="G15" s="4" t="s">
        <v>537</v>
      </c>
      <c r="H15" s="90"/>
      <c r="I15" s="119">
        <f>E15/$G$1+I13</f>
        <v>8.103885405052233E-2</v>
      </c>
      <c r="K15" s="63">
        <v>1</v>
      </c>
      <c r="M15" s="63">
        <v>1</v>
      </c>
    </row>
    <row r="16" spans="3:14" x14ac:dyDescent="0.25">
      <c r="C16" s="6">
        <v>12</v>
      </c>
      <c r="D16" s="31" t="s">
        <v>173</v>
      </c>
      <c r="E16" s="15">
        <f>11*60+36</f>
        <v>696</v>
      </c>
      <c r="F16" s="12"/>
      <c r="G16" s="3" t="s">
        <v>538</v>
      </c>
      <c r="H16" s="90"/>
      <c r="I16" s="119">
        <f t="shared" si="0"/>
        <v>8.5981719918471117E-2</v>
      </c>
      <c r="K16" s="63">
        <v>1</v>
      </c>
      <c r="M16" s="63">
        <v>1</v>
      </c>
    </row>
    <row r="17" spans="3:13" x14ac:dyDescent="0.25">
      <c r="C17" s="6">
        <v>13</v>
      </c>
      <c r="D17" s="31" t="s">
        <v>174</v>
      </c>
      <c r="E17" s="15">
        <f>10*60+32</f>
        <v>632</v>
      </c>
      <c r="F17" s="12"/>
      <c r="G17" s="3" t="s">
        <v>539</v>
      </c>
      <c r="H17" s="90"/>
      <c r="I17" s="119">
        <f t="shared" si="0"/>
        <v>9.0470069384769439E-2</v>
      </c>
      <c r="K17" s="63">
        <v>1</v>
      </c>
      <c r="M17" s="63">
        <v>1</v>
      </c>
    </row>
    <row r="18" spans="3:13" x14ac:dyDescent="0.25">
      <c r="C18" s="6">
        <v>14</v>
      </c>
      <c r="D18" s="31" t="s">
        <v>175</v>
      </c>
      <c r="E18" s="15">
        <f>11*60+55</f>
        <v>715</v>
      </c>
      <c r="F18" s="12"/>
      <c r="G18" s="3" t="s">
        <v>540</v>
      </c>
      <c r="H18" s="90"/>
      <c r="I18" s="119">
        <f t="shared" si="0"/>
        <v>9.5547869809458202E-2</v>
      </c>
      <c r="K18" s="63">
        <v>1</v>
      </c>
      <c r="M18" s="63">
        <v>1</v>
      </c>
    </row>
    <row r="19" spans="3:13" x14ac:dyDescent="0.25">
      <c r="C19" s="6">
        <v>15</v>
      </c>
      <c r="D19" s="31" t="s">
        <v>176</v>
      </c>
      <c r="E19" s="15">
        <f>15*60+41</f>
        <v>941</v>
      </c>
      <c r="F19" s="12"/>
      <c r="G19" s="3" t="s">
        <v>541</v>
      </c>
      <c r="H19" s="90"/>
      <c r="I19" s="119">
        <f t="shared" si="0"/>
        <v>0.10223068127747516</v>
      </c>
      <c r="K19" s="63">
        <v>1</v>
      </c>
      <c r="M19" s="63">
        <v>1</v>
      </c>
    </row>
    <row r="20" spans="3:13" x14ac:dyDescent="0.25">
      <c r="C20" s="6">
        <v>16</v>
      </c>
      <c r="D20" s="31" t="s">
        <v>177</v>
      </c>
      <c r="E20" s="15">
        <f>12*60+47</f>
        <v>767</v>
      </c>
      <c r="F20" s="12"/>
      <c r="G20" s="3" t="s">
        <v>542</v>
      </c>
      <c r="H20" s="90"/>
      <c r="I20" s="119">
        <f t="shared" si="0"/>
        <v>0.10767777627850492</v>
      </c>
      <c r="K20" s="63">
        <v>1</v>
      </c>
      <c r="M20" s="63">
        <v>1</v>
      </c>
    </row>
    <row r="21" spans="3:13" x14ac:dyDescent="0.25">
      <c r="C21" s="6">
        <v>17</v>
      </c>
      <c r="D21" s="31" t="s">
        <v>178</v>
      </c>
      <c r="E21" s="15">
        <f>11*60+26</f>
        <v>686</v>
      </c>
      <c r="F21" s="12"/>
      <c r="G21" s="3" t="s">
        <v>543</v>
      </c>
      <c r="H21" s="90"/>
      <c r="I21" s="119">
        <f t="shared" si="0"/>
        <v>0.11254962395869582</v>
      </c>
      <c r="K21" s="63">
        <v>1</v>
      </c>
      <c r="M21" s="63">
        <v>1</v>
      </c>
    </row>
    <row r="22" spans="3:13" x14ac:dyDescent="0.25">
      <c r="C22" s="6">
        <v>18</v>
      </c>
      <c r="D22" s="31" t="s">
        <v>179</v>
      </c>
      <c r="E22" s="15">
        <f>12*60+38</f>
        <v>758</v>
      </c>
      <c r="F22" s="12"/>
      <c r="G22" s="3" t="s">
        <v>544</v>
      </c>
      <c r="H22" s="90"/>
      <c r="I22" s="119">
        <f t="shared" si="0"/>
        <v>0.11793280259074349</v>
      </c>
      <c r="K22" s="63">
        <v>1</v>
      </c>
      <c r="M22" s="63">
        <v>1</v>
      </c>
    </row>
    <row r="23" spans="3:13" x14ac:dyDescent="0.25">
      <c r="C23" s="6">
        <v>19</v>
      </c>
      <c r="D23" s="31" t="s">
        <v>180</v>
      </c>
      <c r="E23" s="15">
        <f>11*60+57</f>
        <v>717</v>
      </c>
      <c r="F23" s="12"/>
      <c r="G23" s="3" t="s">
        <v>545</v>
      </c>
      <c r="H23" s="90"/>
      <c r="I23" s="119">
        <f t="shared" si="0"/>
        <v>0.12302480665298382</v>
      </c>
      <c r="K23" s="63">
        <v>1</v>
      </c>
      <c r="M23" s="63">
        <v>1</v>
      </c>
    </row>
    <row r="24" spans="3:13" x14ac:dyDescent="0.25">
      <c r="C24" s="6">
        <v>20</v>
      </c>
      <c r="D24" s="31" t="s">
        <v>181</v>
      </c>
      <c r="E24" s="15">
        <f>10*60+57</f>
        <v>657</v>
      </c>
      <c r="F24" s="12"/>
      <c r="G24" s="3" t="s">
        <v>546</v>
      </c>
      <c r="H24" s="90"/>
      <c r="I24" s="119">
        <f t="shared" si="0"/>
        <v>0.12769070158867685</v>
      </c>
      <c r="K24" s="63">
        <v>1</v>
      </c>
      <c r="M24" s="63">
        <v>1</v>
      </c>
    </row>
    <row r="25" spans="3:13" ht="15.75" thickBot="1" x14ac:dyDescent="0.3">
      <c r="C25" s="17"/>
      <c r="D25" s="32"/>
      <c r="E25" s="19">
        <f>SUM(E15:E24)/60</f>
        <v>121.48333333333333</v>
      </c>
      <c r="F25" s="20">
        <f>E25/60</f>
        <v>2.0247222222222221</v>
      </c>
      <c r="G25" s="21"/>
      <c r="H25" s="90"/>
      <c r="I25" s="119"/>
      <c r="K25" s="118"/>
    </row>
    <row r="26" spans="3:13" x14ac:dyDescent="0.25">
      <c r="C26" s="5">
        <v>21</v>
      </c>
      <c r="D26" s="30" t="s">
        <v>182</v>
      </c>
      <c r="E26" s="14">
        <f>12*60+13</f>
        <v>733</v>
      </c>
      <c r="F26" s="11"/>
      <c r="G26" s="2" t="s">
        <v>547</v>
      </c>
      <c r="H26" s="90"/>
      <c r="I26" s="119">
        <f>E26/$G$1+I24</f>
        <v>0.13289633475132981</v>
      </c>
      <c r="K26" s="118"/>
      <c r="M26" s="63">
        <v>1</v>
      </c>
    </row>
    <row r="27" spans="3:13" x14ac:dyDescent="0.25">
      <c r="C27" s="6">
        <v>22</v>
      </c>
      <c r="D27" s="31" t="s">
        <v>183</v>
      </c>
      <c r="E27" s="15">
        <f>36*60+46</f>
        <v>2206</v>
      </c>
      <c r="F27" s="12"/>
      <c r="G27" s="3" t="s">
        <v>548</v>
      </c>
      <c r="H27" s="90"/>
      <c r="I27" s="119">
        <f t="shared" si="0"/>
        <v>0.1485629469707192</v>
      </c>
      <c r="K27" s="118"/>
      <c r="M27" s="63">
        <v>1</v>
      </c>
    </row>
    <row r="28" spans="3:13" x14ac:dyDescent="0.25">
      <c r="C28" s="6">
        <v>23</v>
      </c>
      <c r="D28" s="31" t="s">
        <v>184</v>
      </c>
      <c r="E28" s="15">
        <f>15*60+38</f>
        <v>938</v>
      </c>
      <c r="F28" s="12"/>
      <c r="G28" s="3" t="s">
        <v>549</v>
      </c>
      <c r="H28" s="90"/>
      <c r="I28" s="119">
        <f t="shared" si="0"/>
        <v>0.15522445298240881</v>
      </c>
      <c r="K28" s="118"/>
    </row>
    <row r="29" spans="3:13" x14ac:dyDescent="0.25">
      <c r="C29" s="6">
        <v>24</v>
      </c>
      <c r="D29" s="31" t="s">
        <v>185</v>
      </c>
      <c r="E29" s="15">
        <f>10*60+31</f>
        <v>631</v>
      </c>
      <c r="F29" s="12"/>
      <c r="G29" s="3" t="s">
        <v>550</v>
      </c>
      <c r="H29" s="90"/>
      <c r="I29" s="119">
        <f t="shared" si="0"/>
        <v>0.15970570062993134</v>
      </c>
    </row>
    <row r="30" spans="3:13" x14ac:dyDescent="0.25">
      <c r="C30" s="6">
        <v>25</v>
      </c>
      <c r="D30" s="31" t="s">
        <v>186</v>
      </c>
      <c r="E30" s="15">
        <f>12*60+1</f>
        <v>721</v>
      </c>
      <c r="F30" s="12"/>
      <c r="G30" s="3" t="s">
        <v>551</v>
      </c>
      <c r="H30" s="90"/>
      <c r="I30" s="119">
        <f t="shared" si="0"/>
        <v>0.16482611196727484</v>
      </c>
      <c r="K30" s="118"/>
    </row>
    <row r="31" spans="3:13" x14ac:dyDescent="0.25">
      <c r="C31" s="6">
        <v>26</v>
      </c>
      <c r="D31" s="31" t="s">
        <v>163</v>
      </c>
      <c r="E31" s="15">
        <f>11*60+47</f>
        <v>707</v>
      </c>
      <c r="F31" s="12"/>
      <c r="G31" s="3" t="s">
        <v>960</v>
      </c>
      <c r="H31" s="90"/>
      <c r="I31" s="119">
        <f t="shared" si="0"/>
        <v>0.16984709784175731</v>
      </c>
      <c r="K31" s="118"/>
    </row>
    <row r="32" spans="3:13" x14ac:dyDescent="0.25">
      <c r="C32" s="6">
        <v>27</v>
      </c>
      <c r="D32" s="31" t="s">
        <v>352</v>
      </c>
      <c r="E32" s="15">
        <f>11*60+6</f>
        <v>666</v>
      </c>
      <c r="F32" s="12"/>
      <c r="G32" s="3" t="s">
        <v>961</v>
      </c>
      <c r="H32" s="90"/>
      <c r="I32" s="119">
        <f t="shared" si="0"/>
        <v>0.17457690914643242</v>
      </c>
      <c r="K32" s="118"/>
    </row>
    <row r="33" spans="3:11" x14ac:dyDescent="0.25">
      <c r="C33" s="6">
        <v>28</v>
      </c>
      <c r="D33" s="31" t="s">
        <v>352</v>
      </c>
      <c r="E33" s="15">
        <f>11*60+6</f>
        <v>666</v>
      </c>
      <c r="F33" s="12"/>
      <c r="G33" s="3" t="s">
        <v>964</v>
      </c>
      <c r="H33" s="90"/>
      <c r="I33" s="119">
        <f t="shared" si="0"/>
        <v>0.17930672045110754</v>
      </c>
      <c r="K33" s="118"/>
    </row>
    <row r="34" spans="3:11" x14ac:dyDescent="0.25">
      <c r="C34" s="6">
        <v>29</v>
      </c>
      <c r="D34" s="31" t="s">
        <v>963</v>
      </c>
      <c r="E34" s="15">
        <f>17*60+46</f>
        <v>1066</v>
      </c>
      <c r="F34" s="12"/>
      <c r="G34" s="3" t="s">
        <v>962</v>
      </c>
      <c r="H34" s="90"/>
      <c r="I34" s="119">
        <f t="shared" si="0"/>
        <v>0.18687725926609805</v>
      </c>
      <c r="K34" s="118"/>
    </row>
    <row r="35" spans="3:11" x14ac:dyDescent="0.25">
      <c r="C35" s="6">
        <v>30</v>
      </c>
      <c r="D35" s="31" t="s">
        <v>966</v>
      </c>
      <c r="E35" s="15">
        <f>14*60+16</f>
        <v>856</v>
      </c>
      <c r="F35" s="12"/>
      <c r="G35" s="3" t="s">
        <v>965</v>
      </c>
      <c r="H35" s="90"/>
      <c r="I35" s="119">
        <f t="shared" si="0"/>
        <v>0.19295641613817299</v>
      </c>
      <c r="K35" s="118"/>
    </row>
    <row r="36" spans="3:11" ht="15.75" thickBot="1" x14ac:dyDescent="0.3">
      <c r="C36" s="17"/>
      <c r="D36" s="32"/>
      <c r="E36" s="19">
        <f>SUM(E26:E35)/60</f>
        <v>153.16666666666666</v>
      </c>
      <c r="F36" s="20">
        <f>E36/60</f>
        <v>2.5527777777777776</v>
      </c>
      <c r="G36" s="21"/>
      <c r="H36" s="90"/>
      <c r="I36" s="119"/>
      <c r="K36" s="118"/>
    </row>
    <row r="37" spans="3:11" x14ac:dyDescent="0.25">
      <c r="C37" s="7">
        <v>31</v>
      </c>
      <c r="D37" s="33" t="s">
        <v>968</v>
      </c>
      <c r="E37" s="16">
        <f>10*60+10</f>
        <v>610</v>
      </c>
      <c r="F37" s="13"/>
      <c r="G37" s="4" t="s">
        <v>967</v>
      </c>
      <c r="H37" s="90"/>
      <c r="I37" s="119">
        <f>E37/$G$1+I35</f>
        <v>0.19728852559140397</v>
      </c>
      <c r="K37" s="118"/>
    </row>
    <row r="38" spans="3:11" x14ac:dyDescent="0.25">
      <c r="C38" s="6">
        <v>32</v>
      </c>
      <c r="D38" s="31" t="s">
        <v>421</v>
      </c>
      <c r="E38" s="15">
        <f>12*60+18</f>
        <v>738</v>
      </c>
      <c r="F38" s="12"/>
      <c r="G38" s="3" t="s">
        <v>969</v>
      </c>
      <c r="H38" s="90"/>
      <c r="I38" s="119">
        <f t="shared" si="0"/>
        <v>0.20252966784793588</v>
      </c>
      <c r="K38" s="118"/>
    </row>
    <row r="39" spans="3:11" x14ac:dyDescent="0.25">
      <c r="C39" s="6">
        <v>33</v>
      </c>
      <c r="D39" s="31" t="s">
        <v>971</v>
      </c>
      <c r="E39" s="15">
        <f>17*60+48</f>
        <v>1068</v>
      </c>
      <c r="F39" s="12"/>
      <c r="G39" s="3" t="s">
        <v>970</v>
      </c>
      <c r="H39" s="90"/>
      <c r="I39" s="119">
        <f t="shared" si="0"/>
        <v>0.21011441030047798</v>
      </c>
      <c r="K39" s="118"/>
    </row>
    <row r="40" spans="3:11" x14ac:dyDescent="0.25">
      <c r="C40" s="6">
        <v>34</v>
      </c>
      <c r="D40" s="31" t="s">
        <v>973</v>
      </c>
      <c r="E40" s="15">
        <f>16*60+27</f>
        <v>987</v>
      </c>
      <c r="F40" s="12"/>
      <c r="G40" s="3" t="s">
        <v>972</v>
      </c>
      <c r="H40" s="90"/>
      <c r="I40" s="119">
        <f t="shared" si="0"/>
        <v>0.21712390543218121</v>
      </c>
    </row>
    <row r="41" spans="3:11" x14ac:dyDescent="0.25">
      <c r="C41" s="6">
        <v>35</v>
      </c>
      <c r="D41" s="31" t="s">
        <v>975</v>
      </c>
      <c r="E41" s="15">
        <f>14*60+38</f>
        <v>878</v>
      </c>
      <c r="F41" s="12"/>
      <c r="G41" s="3" t="s">
        <v>974</v>
      </c>
      <c r="H41" s="90"/>
      <c r="I41" s="119">
        <f t="shared" si="0"/>
        <v>0.22335930231732351</v>
      </c>
    </row>
    <row r="42" spans="3:11" x14ac:dyDescent="0.25">
      <c r="C42" s="6">
        <v>36</v>
      </c>
      <c r="D42" s="31" t="s">
        <v>977</v>
      </c>
      <c r="E42" s="15">
        <f>13*60+43</f>
        <v>823</v>
      </c>
      <c r="F42" s="12"/>
      <c r="G42" s="3" t="s">
        <v>976</v>
      </c>
      <c r="H42" s="90"/>
      <c r="I42" s="119">
        <f t="shared" si="0"/>
        <v>0.22920409916979742</v>
      </c>
    </row>
    <row r="43" spans="3:11" x14ac:dyDescent="0.25">
      <c r="C43" s="6">
        <v>37</v>
      </c>
      <c r="D43" s="31" t="s">
        <v>979</v>
      </c>
      <c r="E43" s="15">
        <f>15*60+52</f>
        <v>952</v>
      </c>
      <c r="F43" s="12"/>
      <c r="G43" s="3" t="s">
        <v>978</v>
      </c>
      <c r="H43" s="90"/>
      <c r="I43" s="119">
        <f t="shared" si="0"/>
        <v>0.23596503064434804</v>
      </c>
    </row>
    <row r="44" spans="3:11" x14ac:dyDescent="0.25">
      <c r="C44" s="6">
        <v>38</v>
      </c>
      <c r="D44" s="31" t="s">
        <v>981</v>
      </c>
      <c r="E44" s="15">
        <f>10*60+54</f>
        <v>654</v>
      </c>
      <c r="F44" s="12"/>
      <c r="G44" s="3" t="s">
        <v>980</v>
      </c>
      <c r="H44" s="90"/>
      <c r="I44" s="119">
        <f t="shared" si="0"/>
        <v>0.2406096201237137</v>
      </c>
    </row>
    <row r="45" spans="3:11" x14ac:dyDescent="0.25">
      <c r="C45" s="6">
        <v>39</v>
      </c>
      <c r="D45" s="31" t="s">
        <v>709</v>
      </c>
      <c r="E45" s="15">
        <f>9*60+39</f>
        <v>579</v>
      </c>
      <c r="F45" s="12"/>
      <c r="G45" s="3" t="s">
        <v>982</v>
      </c>
      <c r="H45" s="90"/>
      <c r="I45" s="119">
        <f t="shared" si="0"/>
        <v>0.24472157319489524</v>
      </c>
    </row>
    <row r="46" spans="3:11" x14ac:dyDescent="0.25">
      <c r="C46" s="6">
        <v>40</v>
      </c>
      <c r="D46" s="31" t="s">
        <v>984</v>
      </c>
      <c r="E46" s="15">
        <f>22*60+41</f>
        <v>1361</v>
      </c>
      <c r="F46" s="12"/>
      <c r="G46" s="3" t="s">
        <v>983</v>
      </c>
      <c r="H46" s="90"/>
      <c r="I46" s="119">
        <f t="shared" si="0"/>
        <v>0.25438714854874334</v>
      </c>
    </row>
    <row r="47" spans="3:11" ht="15.75" thickBot="1" x14ac:dyDescent="0.3">
      <c r="C47" s="17"/>
      <c r="D47" s="32"/>
      <c r="E47" s="19">
        <f>SUM(E37:E46)/60</f>
        <v>144.16666666666666</v>
      </c>
      <c r="F47" s="20">
        <f>E47/60</f>
        <v>2.4027777777777777</v>
      </c>
      <c r="G47" s="21"/>
      <c r="H47" s="90"/>
      <c r="I47" s="119"/>
    </row>
    <row r="48" spans="3:11" x14ac:dyDescent="0.25">
      <c r="C48" s="7">
        <v>41</v>
      </c>
      <c r="D48" s="33" t="s">
        <v>986</v>
      </c>
      <c r="E48" s="16">
        <f>11*60+18</f>
        <v>678</v>
      </c>
      <c r="F48" s="13"/>
      <c r="G48" s="4" t="s">
        <v>985</v>
      </c>
      <c r="H48" s="90"/>
      <c r="I48" s="119">
        <f>E48/$G$1+I46</f>
        <v>0.25920218167872794</v>
      </c>
    </row>
    <row r="49" spans="3:14" x14ac:dyDescent="0.25">
      <c r="C49" s="6">
        <v>42</v>
      </c>
      <c r="D49" s="31" t="s">
        <v>988</v>
      </c>
      <c r="E49" s="15">
        <f>16*40+40</f>
        <v>680</v>
      </c>
      <c r="F49" s="12"/>
      <c r="G49" s="3" t="s">
        <v>987</v>
      </c>
      <c r="H49" s="90"/>
      <c r="I49" s="119">
        <f t="shared" si="0"/>
        <v>0.2640314184462641</v>
      </c>
    </row>
    <row r="50" spans="3:14" x14ac:dyDescent="0.25">
      <c r="C50" s="6">
        <v>43</v>
      </c>
      <c r="D50" s="31" t="s">
        <v>990</v>
      </c>
      <c r="E50" s="15">
        <f>21*60+54</f>
        <v>1314</v>
      </c>
      <c r="F50" s="12"/>
      <c r="G50" s="3" t="s">
        <v>989</v>
      </c>
      <c r="H50" s="90"/>
      <c r="I50" s="119">
        <f t="shared" si="0"/>
        <v>0.27336320831765015</v>
      </c>
    </row>
    <row r="51" spans="3:14" x14ac:dyDescent="0.25">
      <c r="C51" s="6">
        <v>44</v>
      </c>
      <c r="D51" s="31" t="s">
        <v>992</v>
      </c>
      <c r="E51" s="15">
        <f>14*60+59</f>
        <v>899</v>
      </c>
      <c r="F51" s="12"/>
      <c r="G51" s="3" t="s">
        <v>991</v>
      </c>
      <c r="H51" s="90"/>
      <c r="I51" s="119">
        <f t="shared" si="0"/>
        <v>0.27974774339708397</v>
      </c>
    </row>
    <row r="52" spans="3:14" x14ac:dyDescent="0.25">
      <c r="C52" s="6">
        <v>45</v>
      </c>
      <c r="D52" s="31" t="s">
        <v>994</v>
      </c>
      <c r="E52" s="15">
        <f>12*60+37</f>
        <v>757</v>
      </c>
      <c r="F52" s="12"/>
      <c r="G52" s="3" t="s">
        <v>993</v>
      </c>
      <c r="H52" s="90"/>
      <c r="I52" s="119">
        <f t="shared" si="0"/>
        <v>0.28512382021035587</v>
      </c>
    </row>
    <row r="53" spans="3:14" x14ac:dyDescent="0.25">
      <c r="C53" s="6">
        <v>46</v>
      </c>
      <c r="D53" s="31" t="s">
        <v>916</v>
      </c>
      <c r="E53" s="15">
        <f>11*60+16</f>
        <v>676</v>
      </c>
      <c r="F53" s="12"/>
      <c r="G53" s="3" t="s">
        <v>995</v>
      </c>
      <c r="H53" s="90"/>
      <c r="I53" s="119">
        <f t="shared" si="0"/>
        <v>0.28992464970278886</v>
      </c>
    </row>
    <row r="54" spans="3:14" x14ac:dyDescent="0.25">
      <c r="C54" s="6">
        <v>47</v>
      </c>
      <c r="D54" s="31" t="s">
        <v>185</v>
      </c>
      <c r="E54" s="15">
        <f>10*60+31</f>
        <v>631</v>
      </c>
      <c r="F54" s="12"/>
      <c r="G54" s="3" t="s">
        <v>996</v>
      </c>
      <c r="H54" s="90"/>
      <c r="I54" s="119">
        <f t="shared" si="0"/>
        <v>0.29440589735031142</v>
      </c>
    </row>
    <row r="55" spans="3:14" x14ac:dyDescent="0.25">
      <c r="C55" s="6">
        <v>48</v>
      </c>
      <c r="D55" s="31" t="s">
        <v>998</v>
      </c>
      <c r="E55" s="15">
        <f>15*60+28</f>
        <v>928</v>
      </c>
      <c r="F55" s="12"/>
      <c r="G55" s="3" t="s">
        <v>997</v>
      </c>
      <c r="H55" s="90"/>
      <c r="I55" s="119">
        <f t="shared" si="0"/>
        <v>0.30099638517424315</v>
      </c>
    </row>
    <row r="56" spans="3:14" x14ac:dyDescent="0.25">
      <c r="C56" s="6">
        <v>49</v>
      </c>
      <c r="D56" s="31" t="s">
        <v>1000</v>
      </c>
      <c r="E56" s="15">
        <f>10*60+48</f>
        <v>648</v>
      </c>
      <c r="F56" s="12"/>
      <c r="G56" s="3" t="s">
        <v>999</v>
      </c>
      <c r="H56" s="90"/>
      <c r="I56" s="119">
        <f t="shared" si="0"/>
        <v>0.30559836374095406</v>
      </c>
    </row>
    <row r="57" spans="3:14" x14ac:dyDescent="0.25">
      <c r="C57" s="6">
        <v>50</v>
      </c>
      <c r="D57" s="31" t="s">
        <v>1002</v>
      </c>
      <c r="E57" s="15">
        <f>10*60+11</f>
        <v>611</v>
      </c>
      <c r="F57" s="12"/>
      <c r="G57" s="3" t="s">
        <v>1001</v>
      </c>
      <c r="H57" s="90"/>
      <c r="I57" s="119">
        <f t="shared" si="0"/>
        <v>0.30993757501296082</v>
      </c>
    </row>
    <row r="58" spans="3:14" ht="15.75" thickBot="1" x14ac:dyDescent="0.3">
      <c r="C58" s="17"/>
      <c r="D58" s="32"/>
      <c r="E58" s="19">
        <f>SUM(E48:E57)/60</f>
        <v>130.36666666666667</v>
      </c>
      <c r="F58" s="20">
        <f>E58/60</f>
        <v>2.1727777777777777</v>
      </c>
      <c r="G58" s="21"/>
      <c r="H58" s="90"/>
      <c r="I58" s="119"/>
    </row>
    <row r="59" spans="3:14" x14ac:dyDescent="0.25">
      <c r="C59" s="7">
        <v>51</v>
      </c>
      <c r="D59" s="33" t="s">
        <v>1026</v>
      </c>
      <c r="E59" s="16">
        <f>6*60+18</f>
        <v>378</v>
      </c>
      <c r="F59" s="13"/>
      <c r="G59" s="4" t="s">
        <v>1025</v>
      </c>
      <c r="H59" s="90"/>
      <c r="I59" s="119">
        <f>E59/$G$1+I57</f>
        <v>0.31262206251020885</v>
      </c>
      <c r="N59" s="63">
        <v>1</v>
      </c>
    </row>
    <row r="60" spans="3:14" x14ac:dyDescent="0.25">
      <c r="C60" s="6">
        <v>52</v>
      </c>
      <c r="D60" s="31" t="s">
        <v>1028</v>
      </c>
      <c r="E60" s="15">
        <f>5*60</f>
        <v>300</v>
      </c>
      <c r="F60" s="12"/>
      <c r="G60" s="3" t="s">
        <v>1027</v>
      </c>
      <c r="H60" s="90"/>
      <c r="I60" s="119">
        <f t="shared" si="0"/>
        <v>0.31475260814294542</v>
      </c>
      <c r="N60" s="63">
        <v>1</v>
      </c>
    </row>
    <row r="61" spans="3:14" x14ac:dyDescent="0.25">
      <c r="C61" s="7">
        <v>53</v>
      </c>
      <c r="D61" s="31" t="s">
        <v>1030</v>
      </c>
      <c r="E61" s="15">
        <f>17*60+28</f>
        <v>1048</v>
      </c>
      <c r="F61" s="12"/>
      <c r="G61" s="3" t="s">
        <v>1029</v>
      </c>
      <c r="H61" s="90"/>
      <c r="I61" s="119">
        <f t="shared" si="0"/>
        <v>0.32219531421997177</v>
      </c>
      <c r="N61" s="63">
        <v>1</v>
      </c>
    </row>
    <row r="62" spans="3:14" x14ac:dyDescent="0.25">
      <c r="C62" s="6">
        <v>54</v>
      </c>
      <c r="D62" s="31" t="s">
        <v>1031</v>
      </c>
      <c r="E62" s="15">
        <f>14*60+55</f>
        <v>895</v>
      </c>
      <c r="F62" s="12"/>
      <c r="G62" s="3" t="s">
        <v>1032</v>
      </c>
      <c r="H62" s="90"/>
      <c r="I62" s="119">
        <f t="shared" si="0"/>
        <v>0.32855144202430248</v>
      </c>
      <c r="N62" s="63">
        <v>1</v>
      </c>
    </row>
    <row r="63" spans="3:14" x14ac:dyDescent="0.25">
      <c r="C63" s="7">
        <v>55</v>
      </c>
      <c r="D63" s="31" t="s">
        <v>1034</v>
      </c>
      <c r="E63" s="15">
        <f>12*60+25</f>
        <v>745</v>
      </c>
      <c r="F63" s="12"/>
      <c r="G63" s="3" t="s">
        <v>1033</v>
      </c>
      <c r="H63" s="90"/>
      <c r="I63" s="119">
        <f t="shared" si="0"/>
        <v>0.33384229701226487</v>
      </c>
      <c r="N63" s="63">
        <v>1</v>
      </c>
    </row>
    <row r="64" spans="3:14" x14ac:dyDescent="0.25">
      <c r="C64" s="6">
        <v>56</v>
      </c>
      <c r="D64" s="31" t="s">
        <v>352</v>
      </c>
      <c r="E64" s="15">
        <f>11*60+6</f>
        <v>666</v>
      </c>
      <c r="F64" s="12"/>
      <c r="G64" s="3" t="s">
        <v>1035</v>
      </c>
      <c r="H64" s="90"/>
      <c r="I64" s="119">
        <f t="shared" si="0"/>
        <v>0.33857210831694001</v>
      </c>
      <c r="N64" s="63">
        <v>1</v>
      </c>
    </row>
    <row r="65" spans="3:14" x14ac:dyDescent="0.25">
      <c r="C65" s="7">
        <v>57</v>
      </c>
      <c r="D65" s="31" t="s">
        <v>1037</v>
      </c>
      <c r="E65" s="15">
        <f>22*60+5</f>
        <v>1325</v>
      </c>
      <c r="F65" s="12"/>
      <c r="G65" s="3" t="s">
        <v>1036</v>
      </c>
      <c r="H65" s="90"/>
      <c r="I65" s="119">
        <f t="shared" si="0"/>
        <v>0.34798201819485974</v>
      </c>
      <c r="N65" s="63">
        <v>1</v>
      </c>
    </row>
    <row r="66" spans="3:14" x14ac:dyDescent="0.25">
      <c r="C66" s="6">
        <v>58</v>
      </c>
      <c r="D66" s="31" t="s">
        <v>1039</v>
      </c>
      <c r="E66" s="15">
        <f>13*60+19</f>
        <v>799</v>
      </c>
      <c r="F66" s="12"/>
      <c r="G66" s="3" t="s">
        <v>1038</v>
      </c>
      <c r="H66" s="90"/>
      <c r="I66" s="119">
        <f t="shared" si="0"/>
        <v>0.35365637139671474</v>
      </c>
      <c r="N66" s="63">
        <v>1</v>
      </c>
    </row>
    <row r="67" spans="3:14" x14ac:dyDescent="0.25">
      <c r="C67" s="7">
        <v>59</v>
      </c>
      <c r="D67" s="31" t="s">
        <v>1041</v>
      </c>
      <c r="E67" s="15">
        <f>13*60+55</f>
        <v>835</v>
      </c>
      <c r="F67" s="12"/>
      <c r="G67" s="3" t="s">
        <v>1040</v>
      </c>
      <c r="H67" s="90"/>
      <c r="I67" s="119">
        <f t="shared" si="0"/>
        <v>0.35958639007449811</v>
      </c>
    </row>
    <row r="68" spans="3:14" x14ac:dyDescent="0.25">
      <c r="C68" s="6">
        <v>60</v>
      </c>
      <c r="D68" s="31" t="s">
        <v>1043</v>
      </c>
      <c r="E68" s="15">
        <f>10*60+50</f>
        <v>650</v>
      </c>
      <c r="F68" s="12"/>
      <c r="G68" s="3" t="s">
        <v>1042</v>
      </c>
      <c r="H68" s="90"/>
      <c r="I68" s="119">
        <f t="shared" si="0"/>
        <v>0.36420257227876063</v>
      </c>
    </row>
    <row r="69" spans="3:14" ht="15.75" thickBot="1" x14ac:dyDescent="0.3">
      <c r="C69" s="17"/>
      <c r="D69" s="32"/>
      <c r="E69" s="19">
        <f>SUM(E59:E68)/60</f>
        <v>127.35</v>
      </c>
      <c r="F69" s="20">
        <f>E69/60</f>
        <v>2.1225000000000001</v>
      </c>
      <c r="G69" s="21"/>
      <c r="H69" s="90"/>
      <c r="I69" s="119"/>
    </row>
    <row r="70" spans="3:14" x14ac:dyDescent="0.25">
      <c r="C70" s="7">
        <v>61</v>
      </c>
      <c r="D70" s="33" t="s">
        <v>1045</v>
      </c>
      <c r="E70" s="16">
        <f>13*60+49</f>
        <v>829</v>
      </c>
      <c r="F70" s="13"/>
      <c r="G70" s="4" t="s">
        <v>1044</v>
      </c>
      <c r="H70" s="90"/>
      <c r="I70" s="119">
        <f>E70/$G$1+I68</f>
        <v>0.37008998004388927</v>
      </c>
    </row>
    <row r="71" spans="3:14" x14ac:dyDescent="0.25">
      <c r="C71" s="6">
        <v>62</v>
      </c>
      <c r="D71" s="31" t="s">
        <v>1047</v>
      </c>
      <c r="E71" s="15">
        <f>11*60+24</f>
        <v>684</v>
      </c>
      <c r="F71" s="12"/>
      <c r="G71" s="3" t="s">
        <v>1046</v>
      </c>
      <c r="H71" s="90"/>
      <c r="I71" s="119">
        <f t="shared" ref="I71:I133" si="1">E71/$G$1+I70</f>
        <v>0.3749476240865286</v>
      </c>
    </row>
    <row r="72" spans="3:14" x14ac:dyDescent="0.25">
      <c r="C72" s="6">
        <v>63</v>
      </c>
      <c r="D72" s="31" t="s">
        <v>1049</v>
      </c>
      <c r="E72" s="15">
        <f>12*60+43</f>
        <v>763</v>
      </c>
      <c r="F72" s="12"/>
      <c r="G72" s="3" t="s">
        <v>1048</v>
      </c>
      <c r="H72" s="90"/>
      <c r="I72" s="119">
        <f t="shared" si="1"/>
        <v>0.38036631181245523</v>
      </c>
    </row>
    <row r="73" spans="3:14" x14ac:dyDescent="0.25">
      <c r="C73" s="6">
        <v>64</v>
      </c>
      <c r="D73" s="31" t="s">
        <v>1051</v>
      </c>
      <c r="E73" s="15">
        <f>12*60+24</f>
        <v>744</v>
      </c>
      <c r="F73" s="12"/>
      <c r="G73" s="3" t="s">
        <v>1050</v>
      </c>
      <c r="H73" s="90"/>
      <c r="I73" s="119">
        <f t="shared" si="1"/>
        <v>0.38565006498164184</v>
      </c>
    </row>
    <row r="74" spans="3:14" x14ac:dyDescent="0.25">
      <c r="C74" s="6">
        <v>65</v>
      </c>
      <c r="D74" s="31" t="s">
        <v>1053</v>
      </c>
      <c r="E74" s="15">
        <f>11*60+14</f>
        <v>674</v>
      </c>
      <c r="F74" s="12"/>
      <c r="G74" s="3" t="s">
        <v>1052</v>
      </c>
      <c r="H74" s="90"/>
      <c r="I74" s="119">
        <f t="shared" si="1"/>
        <v>0.39043669083652327</v>
      </c>
    </row>
    <row r="75" spans="3:14" x14ac:dyDescent="0.25">
      <c r="C75" s="6">
        <v>66</v>
      </c>
      <c r="D75" s="31" t="s">
        <v>1055</v>
      </c>
      <c r="E75" s="15">
        <f>14*60+12</f>
        <v>852</v>
      </c>
      <c r="F75" s="12"/>
      <c r="G75" s="3" t="s">
        <v>1054</v>
      </c>
      <c r="H75" s="90"/>
      <c r="I75" s="119">
        <f t="shared" si="1"/>
        <v>0.39648744043349504</v>
      </c>
    </row>
    <row r="76" spans="3:14" x14ac:dyDescent="0.25">
      <c r="C76" s="6">
        <v>67</v>
      </c>
      <c r="D76" s="31" t="s">
        <v>1057</v>
      </c>
      <c r="E76" s="15">
        <f>11*60+17</f>
        <v>677</v>
      </c>
      <c r="F76" s="12"/>
      <c r="G76" s="3" t="s">
        <v>1056</v>
      </c>
      <c r="H76" s="90"/>
      <c r="I76" s="119">
        <f t="shared" si="1"/>
        <v>0.40129537174470387</v>
      </c>
    </row>
    <row r="77" spans="3:14" x14ac:dyDescent="0.25">
      <c r="C77" s="6">
        <v>68</v>
      </c>
      <c r="D77" s="31" t="s">
        <v>1059</v>
      </c>
      <c r="E77" s="15">
        <f>11*60+30</f>
        <v>690</v>
      </c>
      <c r="F77" s="12"/>
      <c r="G77" s="3" t="s">
        <v>1058</v>
      </c>
      <c r="H77" s="90"/>
      <c r="I77" s="119">
        <f t="shared" si="1"/>
        <v>0.40619562669999792</v>
      </c>
    </row>
    <row r="78" spans="3:14" x14ac:dyDescent="0.25">
      <c r="C78" s="6">
        <v>69</v>
      </c>
      <c r="D78" s="31" t="s">
        <v>1055</v>
      </c>
      <c r="E78" s="15">
        <f>14*60+12</f>
        <v>852</v>
      </c>
      <c r="F78" s="12"/>
      <c r="G78" s="3" t="s">
        <v>1060</v>
      </c>
      <c r="H78" s="90"/>
      <c r="I78" s="119">
        <f t="shared" si="1"/>
        <v>0.4122463762969697</v>
      </c>
    </row>
    <row r="79" spans="3:14" x14ac:dyDescent="0.25">
      <c r="C79" s="6">
        <v>70</v>
      </c>
      <c r="D79" s="31" t="s">
        <v>1062</v>
      </c>
      <c r="E79" s="15">
        <f>13*60+5</f>
        <v>785</v>
      </c>
      <c r="F79" s="12"/>
      <c r="G79" s="3" t="s">
        <v>1061</v>
      </c>
      <c r="H79" s="90"/>
      <c r="I79" s="119">
        <f t="shared" si="1"/>
        <v>0.41782130403596363</v>
      </c>
    </row>
    <row r="80" spans="3:14" ht="15.75" thickBot="1" x14ac:dyDescent="0.3">
      <c r="C80" s="17"/>
      <c r="D80" s="32"/>
      <c r="E80" s="19">
        <f>SUM(E70:E79)/60</f>
        <v>125.83333333333333</v>
      </c>
      <c r="F80" s="20">
        <f>E80/60</f>
        <v>2.0972222222222223</v>
      </c>
      <c r="G80" s="21"/>
      <c r="H80" s="90"/>
      <c r="I80" s="119"/>
    </row>
    <row r="81" spans="3:9" x14ac:dyDescent="0.25">
      <c r="C81" s="7">
        <v>71</v>
      </c>
      <c r="D81" s="33" t="s">
        <v>1064</v>
      </c>
      <c r="E81" s="16">
        <f>14*60+6</f>
        <v>846</v>
      </c>
      <c r="F81" s="13"/>
      <c r="G81" s="4" t="s">
        <v>1063</v>
      </c>
      <c r="H81" s="90"/>
      <c r="I81" s="119">
        <f>E81/$G$1+I79</f>
        <v>0.42382944272028067</v>
      </c>
    </row>
    <row r="82" spans="3:9" x14ac:dyDescent="0.25">
      <c r="C82" s="6">
        <v>72</v>
      </c>
      <c r="D82" s="31" t="s">
        <v>1066</v>
      </c>
      <c r="E82" s="15">
        <f>11*60+2</f>
        <v>662</v>
      </c>
      <c r="F82" s="12"/>
      <c r="G82" s="3" t="s">
        <v>1065</v>
      </c>
      <c r="H82" s="90"/>
      <c r="I82" s="119">
        <f t="shared" si="1"/>
        <v>0.42853084674985265</v>
      </c>
    </row>
    <row r="83" spans="3:9" x14ac:dyDescent="0.25">
      <c r="C83" s="6">
        <v>73</v>
      </c>
      <c r="D83" s="31" t="s">
        <v>1068</v>
      </c>
      <c r="E83" s="15">
        <f>16*60+7</f>
        <v>967</v>
      </c>
      <c r="F83" s="12"/>
      <c r="G83" s="3" t="s">
        <v>1067</v>
      </c>
      <c r="H83" s="90"/>
      <c r="I83" s="119">
        <f t="shared" si="1"/>
        <v>0.43539830550604008</v>
      </c>
    </row>
    <row r="84" spans="3:9" x14ac:dyDescent="0.25">
      <c r="C84" s="6">
        <v>74</v>
      </c>
      <c r="D84" s="31" t="s">
        <v>1070</v>
      </c>
      <c r="E84" s="15">
        <f>15*60+32</f>
        <v>932</v>
      </c>
      <c r="F84" s="12"/>
      <c r="G84" s="3" t="s">
        <v>1069</v>
      </c>
      <c r="H84" s="90"/>
      <c r="I84" s="119">
        <f t="shared" si="1"/>
        <v>0.44201720060507493</v>
      </c>
    </row>
    <row r="85" spans="3:9" x14ac:dyDescent="0.25">
      <c r="C85" s="6">
        <v>75</v>
      </c>
      <c r="D85" s="31" t="s">
        <v>1072</v>
      </c>
      <c r="E85" s="15">
        <f>15*60+5</f>
        <v>905</v>
      </c>
      <c r="F85" s="12"/>
      <c r="G85" s="3" t="s">
        <v>1071</v>
      </c>
      <c r="H85" s="90"/>
      <c r="I85" s="119">
        <f t="shared" si="1"/>
        <v>0.44844434659716353</v>
      </c>
    </row>
    <row r="86" spans="3:9" x14ac:dyDescent="0.25">
      <c r="C86" s="6">
        <v>76</v>
      </c>
      <c r="D86" s="31" t="s">
        <v>1074</v>
      </c>
      <c r="E86" s="15">
        <f>11*60+35</f>
        <v>695</v>
      </c>
      <c r="F86" s="12"/>
      <c r="G86" s="3" t="s">
        <v>1073</v>
      </c>
      <c r="H86" s="90"/>
      <c r="I86" s="119">
        <f t="shared" si="1"/>
        <v>0.45338011064633654</v>
      </c>
    </row>
    <row r="87" spans="3:9" x14ac:dyDescent="0.25">
      <c r="C87" s="6">
        <v>77</v>
      </c>
      <c r="D87" s="31" t="s">
        <v>1076</v>
      </c>
      <c r="E87" s="15">
        <f>12*60+58</f>
        <v>778</v>
      </c>
      <c r="F87" s="12"/>
      <c r="G87" s="3" t="s">
        <v>1075</v>
      </c>
      <c r="H87" s="90"/>
      <c r="I87" s="119">
        <f t="shared" si="1"/>
        <v>0.45890532565389996</v>
      </c>
    </row>
    <row r="88" spans="3:9" x14ac:dyDescent="0.25">
      <c r="C88" s="6">
        <v>78</v>
      </c>
      <c r="D88" s="31" t="s">
        <v>968</v>
      </c>
      <c r="E88" s="15">
        <f>10*60+10</f>
        <v>610</v>
      </c>
      <c r="F88" s="12"/>
      <c r="G88" s="3" t="s">
        <v>1077</v>
      </c>
      <c r="H88" s="90"/>
      <c r="I88" s="119">
        <f t="shared" si="1"/>
        <v>0.46323743510713095</v>
      </c>
    </row>
    <row r="89" spans="3:9" x14ac:dyDescent="0.25">
      <c r="C89" s="6">
        <v>79</v>
      </c>
      <c r="D89" s="31" t="s">
        <v>175</v>
      </c>
      <c r="E89" s="15">
        <f>11*60+55</f>
        <v>715</v>
      </c>
      <c r="F89" s="12"/>
      <c r="G89" s="3" t="s">
        <v>1078</v>
      </c>
      <c r="H89" s="90"/>
      <c r="I89" s="119">
        <f t="shared" si="1"/>
        <v>0.4683152355318197</v>
      </c>
    </row>
    <row r="90" spans="3:9" x14ac:dyDescent="0.25">
      <c r="C90" s="6">
        <v>80</v>
      </c>
      <c r="D90" s="31" t="s">
        <v>1080</v>
      </c>
      <c r="E90" s="15">
        <f>10*60+46</f>
        <v>646</v>
      </c>
      <c r="F90" s="12"/>
      <c r="G90" s="3" t="s">
        <v>1079</v>
      </c>
      <c r="H90" s="90"/>
      <c r="I90" s="119">
        <f t="shared" si="1"/>
        <v>0.47290301046097905</v>
      </c>
    </row>
    <row r="91" spans="3:9" ht="15.75" thickBot="1" x14ac:dyDescent="0.3">
      <c r="C91" s="17"/>
      <c r="D91" s="32"/>
      <c r="E91" s="19">
        <f>SUM(E81:E90)/60</f>
        <v>129.26666666666668</v>
      </c>
      <c r="F91" s="20">
        <f>E91/60</f>
        <v>2.1544444444444446</v>
      </c>
      <c r="G91" s="21"/>
      <c r="H91" s="90"/>
      <c r="I91" s="119"/>
    </row>
    <row r="92" spans="3:9" x14ac:dyDescent="0.25">
      <c r="C92" s="7">
        <v>81</v>
      </c>
      <c r="D92" s="33" t="s">
        <v>1082</v>
      </c>
      <c r="E92" s="16">
        <f>14*60+19</f>
        <v>859</v>
      </c>
      <c r="F92" s="13"/>
      <c r="G92" s="4" t="s">
        <v>1081</v>
      </c>
      <c r="H92" s="90"/>
      <c r="I92" s="119">
        <f>E92/$G$1+I90</f>
        <v>0.47900347278938132</v>
      </c>
    </row>
    <row r="93" spans="3:9" x14ac:dyDescent="0.25">
      <c r="C93" s="6">
        <v>82</v>
      </c>
      <c r="D93" s="31" t="s">
        <v>1084</v>
      </c>
      <c r="E93" s="15">
        <f>17*60+44</f>
        <v>1064</v>
      </c>
      <c r="F93" s="12"/>
      <c r="G93" s="3" t="s">
        <v>1083</v>
      </c>
      <c r="H93" s="90"/>
      <c r="I93" s="119">
        <f t="shared" si="1"/>
        <v>0.48655980796682025</v>
      </c>
    </row>
    <row r="94" spans="3:9" x14ac:dyDescent="0.25">
      <c r="C94" s="6">
        <v>83</v>
      </c>
      <c r="D94" s="31" t="s">
        <v>296</v>
      </c>
      <c r="E94" s="15">
        <f>12*60+53</f>
        <v>773</v>
      </c>
      <c r="F94" s="12"/>
      <c r="G94" s="3" t="s">
        <v>1085</v>
      </c>
      <c r="H94" s="90"/>
      <c r="I94" s="119">
        <f t="shared" si="1"/>
        <v>0.49204951388050472</v>
      </c>
    </row>
    <row r="95" spans="3:9" x14ac:dyDescent="0.25">
      <c r="C95" s="6">
        <v>84</v>
      </c>
      <c r="D95" s="31" t="s">
        <v>1087</v>
      </c>
      <c r="E95" s="15">
        <f>15*60+36</f>
        <v>936</v>
      </c>
      <c r="F95" s="12"/>
      <c r="G95" s="3" t="s">
        <v>1086</v>
      </c>
      <c r="H95" s="90"/>
      <c r="I95" s="119">
        <f t="shared" si="1"/>
        <v>0.49869681625464274</v>
      </c>
    </row>
    <row r="96" spans="3:9" x14ac:dyDescent="0.25">
      <c r="C96" s="6">
        <v>85</v>
      </c>
      <c r="D96" s="31" t="s">
        <v>1089</v>
      </c>
      <c r="E96" s="15">
        <f>13*60+54</f>
        <v>834</v>
      </c>
      <c r="F96" s="12"/>
      <c r="G96" s="3" t="s">
        <v>1088</v>
      </c>
      <c r="H96" s="90"/>
      <c r="I96" s="119">
        <f t="shared" si="1"/>
        <v>0.50461973311365038</v>
      </c>
    </row>
    <row r="97" spans="3:9" x14ac:dyDescent="0.25">
      <c r="C97" s="6">
        <v>86</v>
      </c>
      <c r="D97" s="31" t="s">
        <v>1091</v>
      </c>
      <c r="E97" s="15">
        <f>12*60+2</f>
        <v>722</v>
      </c>
      <c r="F97" s="12"/>
      <c r="G97" s="3" t="s">
        <v>1090</v>
      </c>
      <c r="H97" s="90"/>
      <c r="I97" s="119">
        <f t="shared" si="1"/>
        <v>0.50974724626976964</v>
      </c>
    </row>
    <row r="98" spans="3:9" x14ac:dyDescent="0.25">
      <c r="C98" s="6">
        <v>87</v>
      </c>
      <c r="D98" s="31" t="s">
        <v>1057</v>
      </c>
      <c r="E98" s="15">
        <f>11*60+17</f>
        <v>677</v>
      </c>
      <c r="F98" s="12"/>
      <c r="G98" s="3" t="s">
        <v>1092</v>
      </c>
      <c r="H98" s="90"/>
      <c r="I98" s="119">
        <f t="shared" si="1"/>
        <v>0.51455517758097846</v>
      </c>
    </row>
    <row r="99" spans="3:9" x14ac:dyDescent="0.25">
      <c r="C99" s="6">
        <v>88</v>
      </c>
      <c r="D99" s="31" t="s">
        <v>1094</v>
      </c>
      <c r="E99" s="15">
        <f>11*60+5</f>
        <v>665</v>
      </c>
      <c r="F99" s="12"/>
      <c r="G99" s="3" t="s">
        <v>1093</v>
      </c>
      <c r="H99" s="90"/>
      <c r="I99" s="119">
        <f t="shared" si="1"/>
        <v>0.51927788706687783</v>
      </c>
    </row>
    <row r="100" spans="3:9" x14ac:dyDescent="0.25">
      <c r="C100" s="6">
        <v>89</v>
      </c>
      <c r="D100" s="31" t="s">
        <v>175</v>
      </c>
      <c r="E100" s="15">
        <f>11*60+55</f>
        <v>715</v>
      </c>
      <c r="F100" s="12"/>
      <c r="G100" s="3" t="s">
        <v>1095</v>
      </c>
      <c r="H100" s="90"/>
      <c r="I100" s="119">
        <f t="shared" si="1"/>
        <v>0.52435568749156658</v>
      </c>
    </row>
    <row r="101" spans="3:9" x14ac:dyDescent="0.25">
      <c r="C101" s="6">
        <v>90</v>
      </c>
      <c r="D101" s="31" t="s">
        <v>1097</v>
      </c>
      <c r="E101" s="15">
        <f>20*60+23</f>
        <v>1223</v>
      </c>
      <c r="F101" s="12"/>
      <c r="G101" s="3" t="s">
        <v>1096</v>
      </c>
      <c r="H101" s="90"/>
      <c r="I101" s="119">
        <f t="shared" si="1"/>
        <v>0.53304121185435593</v>
      </c>
    </row>
    <row r="102" spans="3:9" ht="15.75" thickBot="1" x14ac:dyDescent="0.3">
      <c r="C102" s="17"/>
      <c r="D102" s="32"/>
      <c r="E102" s="19">
        <f>SUM(E92:E101)/60</f>
        <v>141.13333333333333</v>
      </c>
      <c r="F102" s="20">
        <f>E102/60</f>
        <v>2.3522222222222222</v>
      </c>
      <c r="G102" s="21"/>
      <c r="H102" s="90"/>
      <c r="I102" s="119"/>
    </row>
    <row r="103" spans="3:9" x14ac:dyDescent="0.25">
      <c r="C103" s="7">
        <v>91</v>
      </c>
      <c r="D103" s="28" t="s">
        <v>1099</v>
      </c>
      <c r="E103" s="16">
        <f>15*60+51</f>
        <v>951</v>
      </c>
      <c r="F103" s="13"/>
      <c r="G103" s="4" t="s">
        <v>1098</v>
      </c>
      <c r="H103" s="90"/>
      <c r="I103" s="119">
        <f>E103/$G$1+I101</f>
        <v>0.5397950415101308</v>
      </c>
    </row>
    <row r="104" spans="3:9" x14ac:dyDescent="0.25">
      <c r="C104" s="6">
        <v>92</v>
      </c>
      <c r="D104" s="31" t="s">
        <v>994</v>
      </c>
      <c r="E104" s="15">
        <f>12*60+37</f>
        <v>757</v>
      </c>
      <c r="F104" s="12"/>
      <c r="G104" s="3" t="s">
        <v>1100</v>
      </c>
      <c r="H104" s="90"/>
      <c r="I104" s="119">
        <f t="shared" si="1"/>
        <v>0.5451711183234027</v>
      </c>
    </row>
    <row r="105" spans="3:9" x14ac:dyDescent="0.25">
      <c r="C105" s="6">
        <v>93</v>
      </c>
      <c r="D105" s="31" t="s">
        <v>1102</v>
      </c>
      <c r="E105" s="15">
        <f>18*60+12</f>
        <v>1092</v>
      </c>
      <c r="F105" s="12"/>
      <c r="G105" s="3" t="s">
        <v>1101</v>
      </c>
      <c r="H105" s="90"/>
      <c r="I105" s="119">
        <f t="shared" si="1"/>
        <v>0.55292630442656376</v>
      </c>
    </row>
    <row r="106" spans="3:9" x14ac:dyDescent="0.25">
      <c r="C106" s="6">
        <v>94</v>
      </c>
      <c r="D106" s="31" t="s">
        <v>1104</v>
      </c>
      <c r="E106" s="15">
        <f>13*60+42</f>
        <v>822</v>
      </c>
      <c r="F106" s="12"/>
      <c r="G106" s="3" t="s">
        <v>1103</v>
      </c>
      <c r="H106" s="90"/>
      <c r="I106" s="119">
        <f t="shared" si="1"/>
        <v>0.5587639994602619</v>
      </c>
    </row>
    <row r="107" spans="3:9" x14ac:dyDescent="0.25">
      <c r="C107" s="6">
        <v>95</v>
      </c>
      <c r="D107" s="31" t="s">
        <v>1106</v>
      </c>
      <c r="E107" s="15">
        <f>21*60+31</f>
        <v>1291</v>
      </c>
      <c r="F107" s="12"/>
      <c r="G107" s="3" t="s">
        <v>1105</v>
      </c>
      <c r="H107" s="90"/>
      <c r="I107" s="119">
        <f t="shared" si="1"/>
        <v>0.56793244749980487</v>
      </c>
    </row>
    <row r="108" spans="3:9" x14ac:dyDescent="0.25">
      <c r="C108" s="6">
        <v>96</v>
      </c>
      <c r="D108" s="31" t="s">
        <v>1108</v>
      </c>
      <c r="E108" s="15">
        <f>20*60+14</f>
        <v>1214</v>
      </c>
      <c r="F108" s="12"/>
      <c r="G108" s="3" t="s">
        <v>1107</v>
      </c>
      <c r="H108" s="90"/>
      <c r="I108" s="119">
        <f t="shared" si="1"/>
        <v>0.57655405549361205</v>
      </c>
    </row>
    <row r="109" spans="3:9" x14ac:dyDescent="0.25">
      <c r="C109" s="6">
        <v>97</v>
      </c>
      <c r="D109" s="31" t="s">
        <v>222</v>
      </c>
      <c r="E109" s="15">
        <f>17*60+29</f>
        <v>1049</v>
      </c>
      <c r="F109" s="12"/>
      <c r="G109" s="3" t="s">
        <v>1109</v>
      </c>
      <c r="H109" s="90"/>
      <c r="I109" s="119">
        <f t="shared" si="1"/>
        <v>0.58400386338941412</v>
      </c>
    </row>
    <row r="110" spans="3:9" x14ac:dyDescent="0.25">
      <c r="C110" s="6">
        <v>98</v>
      </c>
      <c r="D110" s="31" t="s">
        <v>345</v>
      </c>
      <c r="E110" s="15">
        <f>20*60+8</f>
        <v>1208</v>
      </c>
      <c r="F110" s="12"/>
      <c r="G110" s="3" t="s">
        <v>1110</v>
      </c>
      <c r="H110" s="90"/>
      <c r="I110" s="119">
        <f t="shared" si="1"/>
        <v>0.59258286047056663</v>
      </c>
    </row>
    <row r="111" spans="3:9" x14ac:dyDescent="0.25">
      <c r="C111" s="6">
        <v>99</v>
      </c>
      <c r="D111" s="31" t="s">
        <v>1112</v>
      </c>
      <c r="E111" s="15">
        <f>10*60+34</f>
        <v>634</v>
      </c>
      <c r="F111" s="12"/>
      <c r="G111" s="3" t="s">
        <v>1111</v>
      </c>
      <c r="H111" s="90"/>
      <c r="I111" s="119">
        <f t="shared" si="1"/>
        <v>0.59708541357441658</v>
      </c>
    </row>
    <row r="112" spans="3:9" x14ac:dyDescent="0.25">
      <c r="C112" s="6">
        <v>100</v>
      </c>
      <c r="D112" s="31" t="s">
        <v>1114</v>
      </c>
      <c r="E112" s="15">
        <f>12*60+57</f>
        <v>777</v>
      </c>
      <c r="F112" s="12"/>
      <c r="G112" s="3" t="s">
        <v>1113</v>
      </c>
      <c r="H112" s="90"/>
      <c r="I112" s="119">
        <f t="shared" si="1"/>
        <v>0.60260352676320428</v>
      </c>
    </row>
    <row r="113" spans="3:9" ht="15.75" thickBot="1" x14ac:dyDescent="0.3">
      <c r="C113" s="26"/>
      <c r="D113" s="32"/>
      <c r="E113" s="19">
        <f>SUM(E103:E112)/60</f>
        <v>163.25</v>
      </c>
      <c r="F113" s="20">
        <f>E113/60</f>
        <v>2.7208333333333332</v>
      </c>
      <c r="G113" s="21"/>
      <c r="H113" s="90"/>
      <c r="I113" s="119"/>
    </row>
    <row r="114" spans="3:9" x14ac:dyDescent="0.25">
      <c r="C114" s="27">
        <v>101</v>
      </c>
      <c r="D114" s="30" t="s">
        <v>1116</v>
      </c>
      <c r="E114" s="14">
        <f>14*60+22</f>
        <v>862</v>
      </c>
      <c r="F114" s="11"/>
      <c r="G114" s="2" t="s">
        <v>1115</v>
      </c>
      <c r="H114" s="90"/>
      <c r="I114" s="119">
        <f>E114/$G$1+I112</f>
        <v>0.60872529454793389</v>
      </c>
    </row>
    <row r="115" spans="3:9" x14ac:dyDescent="0.25">
      <c r="C115" s="27">
        <v>102</v>
      </c>
      <c r="D115" s="31" t="s">
        <v>916</v>
      </c>
      <c r="E115" s="15">
        <f>11*60+16</f>
        <v>676</v>
      </c>
      <c r="F115" s="12"/>
      <c r="G115" s="3" t="s">
        <v>1117</v>
      </c>
      <c r="H115" s="90"/>
      <c r="I115" s="119">
        <f t="shared" si="1"/>
        <v>0.61352612404036688</v>
      </c>
    </row>
    <row r="116" spans="3:9" x14ac:dyDescent="0.25">
      <c r="C116" s="27">
        <v>103</v>
      </c>
      <c r="D116" s="31" t="s">
        <v>716</v>
      </c>
      <c r="E116" s="15">
        <f>10*60+33</f>
        <v>633</v>
      </c>
      <c r="F116" s="12"/>
      <c r="G116" s="3" t="s">
        <v>1118</v>
      </c>
      <c r="H116" s="90"/>
      <c r="I116" s="119">
        <f t="shared" si="1"/>
        <v>0.618021575325441</v>
      </c>
    </row>
    <row r="117" spans="3:9" x14ac:dyDescent="0.25">
      <c r="C117" s="27">
        <v>104</v>
      </c>
      <c r="D117" s="31" t="s">
        <v>809</v>
      </c>
      <c r="E117" s="15">
        <f>10*60+27</f>
        <v>627</v>
      </c>
      <c r="F117" s="12"/>
      <c r="G117" s="3" t="s">
        <v>1119</v>
      </c>
      <c r="H117" s="90"/>
      <c r="I117" s="119">
        <f t="shared" si="1"/>
        <v>0.62247441569786033</v>
      </c>
    </row>
    <row r="118" spans="3:9" x14ac:dyDescent="0.25">
      <c r="C118" s="27">
        <v>105</v>
      </c>
      <c r="D118" s="31" t="s">
        <v>1121</v>
      </c>
      <c r="E118" s="15">
        <f>14*60+13</f>
        <v>853</v>
      </c>
      <c r="F118" s="12"/>
      <c r="G118" s="3" t="s">
        <v>1120</v>
      </c>
      <c r="H118" s="90"/>
      <c r="I118" s="119">
        <f t="shared" si="1"/>
        <v>0.62853226711360788</v>
      </c>
    </row>
    <row r="119" spans="3:9" x14ac:dyDescent="0.25">
      <c r="C119" s="27">
        <v>106</v>
      </c>
      <c r="D119" s="31" t="s">
        <v>1123</v>
      </c>
      <c r="E119" s="15">
        <f>27*60+27</f>
        <v>1647</v>
      </c>
      <c r="F119" s="12"/>
      <c r="G119" s="3" t="s">
        <v>1122</v>
      </c>
      <c r="H119" s="90"/>
      <c r="I119" s="119">
        <f t="shared" si="1"/>
        <v>0.64022896263733153</v>
      </c>
    </row>
    <row r="120" spans="3:9" x14ac:dyDescent="0.25">
      <c r="C120" s="27">
        <v>107</v>
      </c>
      <c r="D120" s="31" t="s">
        <v>1125</v>
      </c>
      <c r="E120" s="15">
        <f>16*60+13</f>
        <v>973</v>
      </c>
      <c r="F120" s="12"/>
      <c r="G120" s="3" t="s">
        <v>1124</v>
      </c>
      <c r="H120" s="90"/>
      <c r="I120" s="119">
        <f t="shared" si="1"/>
        <v>0.64713903230617376</v>
      </c>
    </row>
    <row r="121" spans="3:9" x14ac:dyDescent="0.25">
      <c r="C121" s="27">
        <v>108</v>
      </c>
      <c r="D121" s="31" t="s">
        <v>1127</v>
      </c>
      <c r="E121" s="15">
        <f>14*60+56</f>
        <v>896</v>
      </c>
      <c r="F121" s="12"/>
      <c r="G121" s="3" t="s">
        <v>1126</v>
      </c>
      <c r="H121" s="90"/>
      <c r="I121" s="119">
        <f t="shared" si="1"/>
        <v>0.65350226192928018</v>
      </c>
    </row>
    <row r="122" spans="3:9" x14ac:dyDescent="0.25">
      <c r="C122" s="27">
        <v>109</v>
      </c>
      <c r="D122" s="31" t="s">
        <v>1129</v>
      </c>
      <c r="E122" s="15">
        <f>14*60+9</f>
        <v>849</v>
      </c>
      <c r="F122" s="12"/>
      <c r="G122" s="3" t="s">
        <v>1128</v>
      </c>
      <c r="H122" s="90"/>
      <c r="I122" s="119">
        <f t="shared" si="1"/>
        <v>0.65953170606992462</v>
      </c>
    </row>
    <row r="123" spans="3:9" x14ac:dyDescent="0.25">
      <c r="C123" s="27">
        <v>110</v>
      </c>
      <c r="D123" s="31" t="s">
        <v>1131</v>
      </c>
      <c r="E123" s="15">
        <f>17*60+27</f>
        <v>1047</v>
      </c>
      <c r="F123" s="12"/>
      <c r="G123" s="3" t="s">
        <v>1130</v>
      </c>
      <c r="H123" s="90"/>
      <c r="I123" s="119">
        <f t="shared" si="1"/>
        <v>0.66696731032817513</v>
      </c>
    </row>
    <row r="124" spans="3:9" ht="15.75" thickBot="1" x14ac:dyDescent="0.3">
      <c r="C124" s="17"/>
      <c r="D124" s="32"/>
      <c r="E124" s="19">
        <f>SUM(E114:E123)/60</f>
        <v>151.05000000000001</v>
      </c>
      <c r="F124" s="20">
        <f>E124/60</f>
        <v>2.5175000000000001</v>
      </c>
      <c r="G124" s="21"/>
      <c r="H124" s="90"/>
      <c r="I124" s="119"/>
    </row>
    <row r="125" spans="3:9" x14ac:dyDescent="0.25">
      <c r="C125" s="7">
        <v>111</v>
      </c>
      <c r="D125" s="33" t="s">
        <v>1148</v>
      </c>
      <c r="E125" s="16">
        <f>13*60+4</f>
        <v>784</v>
      </c>
      <c r="F125" s="13"/>
      <c r="G125" s="4" t="s">
        <v>1147</v>
      </c>
      <c r="H125" s="90"/>
      <c r="I125" s="119">
        <f>E125/$G$1+I123</f>
        <v>0.67253513624839334</v>
      </c>
    </row>
    <row r="126" spans="3:9" x14ac:dyDescent="0.25">
      <c r="C126" s="6">
        <v>112</v>
      </c>
      <c r="D126" s="31" t="s">
        <v>335</v>
      </c>
      <c r="E126" s="15">
        <f>12*60+8</f>
        <v>728</v>
      </c>
      <c r="F126" s="12"/>
      <c r="G126" s="3" t="s">
        <v>1149</v>
      </c>
      <c r="H126" s="90"/>
      <c r="I126" s="119">
        <f t="shared" si="1"/>
        <v>0.67770526031716738</v>
      </c>
    </row>
    <row r="127" spans="3:9" x14ac:dyDescent="0.25">
      <c r="C127" s="7">
        <v>113</v>
      </c>
      <c r="D127" s="31" t="s">
        <v>1151</v>
      </c>
      <c r="E127" s="15">
        <f>10*60+21</f>
        <v>621</v>
      </c>
      <c r="F127" s="12"/>
      <c r="G127" s="3" t="s">
        <v>1150</v>
      </c>
      <c r="H127" s="90"/>
      <c r="I127" s="119">
        <f t="shared" si="1"/>
        <v>0.68211548977693204</v>
      </c>
    </row>
    <row r="128" spans="3:9" x14ac:dyDescent="0.25">
      <c r="C128" s="6">
        <v>114</v>
      </c>
      <c r="D128" s="31" t="s">
        <v>1153</v>
      </c>
      <c r="E128" s="15">
        <f>19*60+48</f>
        <v>1188</v>
      </c>
      <c r="F128" s="12"/>
      <c r="G128" s="3" t="s">
        <v>1152</v>
      </c>
      <c r="H128" s="90"/>
      <c r="I128" s="119">
        <f t="shared" si="1"/>
        <v>0.69055245048256875</v>
      </c>
    </row>
    <row r="129" spans="3:11" x14ac:dyDescent="0.25">
      <c r="C129" s="7">
        <v>115</v>
      </c>
      <c r="D129" s="31" t="s">
        <v>1155</v>
      </c>
      <c r="E129" s="15">
        <f>23*60+42</f>
        <v>1422</v>
      </c>
      <c r="F129" s="12"/>
      <c r="G129" s="3" t="s">
        <v>1154</v>
      </c>
      <c r="H129" s="90"/>
      <c r="I129" s="119">
        <f t="shared" si="1"/>
        <v>0.70065123678174002</v>
      </c>
      <c r="K129" s="118"/>
    </row>
    <row r="130" spans="3:11" x14ac:dyDescent="0.25">
      <c r="C130" s="6">
        <v>116</v>
      </c>
      <c r="D130" s="31" t="s">
        <v>1157</v>
      </c>
      <c r="E130" s="15">
        <f>19*60+20</f>
        <v>1160</v>
      </c>
      <c r="F130" s="12"/>
      <c r="G130" s="3" t="s">
        <v>1156</v>
      </c>
      <c r="H130" s="90"/>
      <c r="I130" s="119">
        <f t="shared" si="1"/>
        <v>0.7088893465616547</v>
      </c>
      <c r="K130" s="118"/>
    </row>
    <row r="131" spans="3:11" x14ac:dyDescent="0.25">
      <c r="C131" s="7">
        <v>117</v>
      </c>
      <c r="D131" s="31" t="s">
        <v>822</v>
      </c>
      <c r="E131" s="15">
        <f>8*60+23</f>
        <v>503</v>
      </c>
      <c r="F131" s="12"/>
      <c r="G131" s="3" t="s">
        <v>1158</v>
      </c>
      <c r="H131" s="90"/>
      <c r="I131" s="119">
        <f t="shared" si="1"/>
        <v>0.71246156140587635</v>
      </c>
      <c r="K131" s="118"/>
    </row>
    <row r="132" spans="3:11" x14ac:dyDescent="0.25">
      <c r="C132" s="6">
        <v>118</v>
      </c>
      <c r="D132" s="31" t="s">
        <v>1160</v>
      </c>
      <c r="E132" s="15">
        <f>17*60+24</f>
        <v>1044</v>
      </c>
      <c r="F132" s="12"/>
      <c r="G132" s="3" t="s">
        <v>1159</v>
      </c>
      <c r="H132" s="90"/>
      <c r="I132" s="119">
        <f t="shared" si="1"/>
        <v>0.71987586020779948</v>
      </c>
      <c r="K132" s="118"/>
    </row>
    <row r="133" spans="3:11" x14ac:dyDescent="0.25">
      <c r="C133" s="7">
        <v>119</v>
      </c>
      <c r="D133" s="31" t="s">
        <v>1162</v>
      </c>
      <c r="E133" s="15">
        <f>16*60+57</f>
        <v>1017</v>
      </c>
      <c r="F133" s="12"/>
      <c r="G133" s="3" t="s">
        <v>1161</v>
      </c>
      <c r="H133" s="90"/>
      <c r="I133" s="119">
        <f t="shared" si="1"/>
        <v>0.72709840990277641</v>
      </c>
      <c r="K133" s="118"/>
    </row>
    <row r="134" spans="3:11" x14ac:dyDescent="0.25">
      <c r="C134" s="6">
        <v>120</v>
      </c>
      <c r="D134" s="31" t="s">
        <v>1164</v>
      </c>
      <c r="E134" s="15">
        <f>14*60+54</f>
        <v>894</v>
      </c>
      <c r="F134" s="12"/>
      <c r="G134" s="3" t="s">
        <v>1163</v>
      </c>
      <c r="H134" s="90"/>
      <c r="I134" s="119">
        <f t="shared" ref="I134:I189" si="2">E134/$G$1+I133</f>
        <v>0.73344743588833128</v>
      </c>
      <c r="K134" s="118"/>
    </row>
    <row r="135" spans="3:11" ht="15.75" thickBot="1" x14ac:dyDescent="0.3">
      <c r="C135" s="26"/>
      <c r="D135" s="32"/>
      <c r="E135" s="19">
        <f>SUM(E125:E134)/60</f>
        <v>156.01666666666668</v>
      </c>
      <c r="F135" s="20">
        <f>E135/60</f>
        <v>2.6002777777777779</v>
      </c>
      <c r="G135" s="21"/>
      <c r="H135" s="90"/>
      <c r="I135" s="119"/>
      <c r="K135" s="118"/>
    </row>
    <row r="136" spans="3:11" x14ac:dyDescent="0.25">
      <c r="C136" s="27">
        <v>121</v>
      </c>
      <c r="D136" s="30" t="s">
        <v>387</v>
      </c>
      <c r="E136" s="14">
        <f>10*60+19</f>
        <v>619</v>
      </c>
      <c r="F136" s="11"/>
      <c r="G136" s="2" t="s">
        <v>1165</v>
      </c>
      <c r="H136" s="90"/>
      <c r="I136" s="119">
        <f>E136/$G$1+I134</f>
        <v>0.73784346171054438</v>
      </c>
      <c r="K136" s="118"/>
    </row>
    <row r="137" spans="3:11" x14ac:dyDescent="0.25">
      <c r="C137" s="27">
        <v>122</v>
      </c>
      <c r="D137" s="31" t="s">
        <v>1167</v>
      </c>
      <c r="E137" s="15">
        <f>19*60+27</f>
        <v>1167</v>
      </c>
      <c r="F137" s="12"/>
      <c r="G137" s="3" t="s">
        <v>1166</v>
      </c>
      <c r="H137" s="90"/>
      <c r="I137" s="119">
        <f t="shared" si="2"/>
        <v>0.74613128422188957</v>
      </c>
      <c r="K137" s="118"/>
    </row>
    <row r="138" spans="3:11" x14ac:dyDescent="0.25">
      <c r="C138" s="27">
        <v>123</v>
      </c>
      <c r="D138" s="31" t="s">
        <v>1169</v>
      </c>
      <c r="E138" s="15">
        <f>8*60+20</f>
        <v>500</v>
      </c>
      <c r="F138" s="12"/>
      <c r="G138" s="3" t="s">
        <v>1168</v>
      </c>
      <c r="H138" s="90"/>
      <c r="I138" s="119">
        <f t="shared" si="2"/>
        <v>0.74968219360978383</v>
      </c>
      <c r="K138" s="118"/>
    </row>
    <row r="139" spans="3:11" x14ac:dyDescent="0.25">
      <c r="C139" s="27">
        <v>124</v>
      </c>
      <c r="D139" s="31" t="s">
        <v>1171</v>
      </c>
      <c r="E139" s="15">
        <f>18*60+31</f>
        <v>1111</v>
      </c>
      <c r="F139" s="12"/>
      <c r="G139" s="3" t="s">
        <v>1170</v>
      </c>
      <c r="H139" s="90"/>
      <c r="I139" s="119">
        <f t="shared" si="2"/>
        <v>0.75757231426968485</v>
      </c>
    </row>
    <row r="140" spans="3:11" x14ac:dyDescent="0.25">
      <c r="C140" s="27">
        <v>125</v>
      </c>
      <c r="D140" s="31" t="s">
        <v>1173</v>
      </c>
      <c r="E140" s="15">
        <f>13*60+29</f>
        <v>809</v>
      </c>
      <c r="F140" s="12"/>
      <c r="G140" s="3" t="s">
        <v>1172</v>
      </c>
      <c r="H140" s="90"/>
      <c r="I140" s="119">
        <f t="shared" si="2"/>
        <v>0.7633176856592977</v>
      </c>
      <c r="K140" s="118"/>
    </row>
    <row r="141" spans="3:11" x14ac:dyDescent="0.25">
      <c r="C141" s="27">
        <v>126</v>
      </c>
      <c r="D141" s="31" t="s">
        <v>1175</v>
      </c>
      <c r="E141" s="15">
        <f>17*60+25</f>
        <v>1045</v>
      </c>
      <c r="F141" s="12"/>
      <c r="G141" s="3" t="s">
        <v>1174</v>
      </c>
      <c r="H141" s="90"/>
      <c r="I141" s="119">
        <f t="shared" si="2"/>
        <v>0.77073908627999665</v>
      </c>
      <c r="K141" s="118"/>
    </row>
    <row r="142" spans="3:11" x14ac:dyDescent="0.25">
      <c r="C142" s="27">
        <v>127</v>
      </c>
      <c r="D142" s="31" t="s">
        <v>1177</v>
      </c>
      <c r="E142" s="15">
        <f>13*60+18</f>
        <v>798</v>
      </c>
      <c r="F142" s="12"/>
      <c r="G142" s="3" t="s">
        <v>1176</v>
      </c>
      <c r="H142" s="90"/>
      <c r="I142" s="119">
        <f t="shared" si="2"/>
        <v>0.77640633766307587</v>
      </c>
      <c r="K142" s="118"/>
    </row>
    <row r="143" spans="3:11" x14ac:dyDescent="0.25">
      <c r="C143" s="27">
        <v>128</v>
      </c>
      <c r="D143" s="31" t="s">
        <v>1179</v>
      </c>
      <c r="E143" s="15">
        <f>9*60+21</f>
        <v>561</v>
      </c>
      <c r="F143" s="12"/>
      <c r="G143" s="3" t="s">
        <v>1178</v>
      </c>
      <c r="H143" s="90"/>
      <c r="I143" s="119">
        <f t="shared" si="2"/>
        <v>0.78039045799629325</v>
      </c>
      <c r="K143" s="118"/>
    </row>
    <row r="144" spans="3:11" x14ac:dyDescent="0.25">
      <c r="C144" s="27">
        <v>129</v>
      </c>
      <c r="D144" s="31" t="s">
        <v>1181</v>
      </c>
      <c r="E144" s="15">
        <f>10*60+38</f>
        <v>638</v>
      </c>
      <c r="F144" s="12"/>
      <c r="G144" s="3" t="s">
        <v>1180</v>
      </c>
      <c r="H144" s="90"/>
      <c r="I144" s="119">
        <f t="shared" si="2"/>
        <v>0.78492141837524632</v>
      </c>
      <c r="K144" s="118"/>
    </row>
    <row r="145" spans="3:11" x14ac:dyDescent="0.25">
      <c r="C145" s="27">
        <v>130</v>
      </c>
      <c r="D145" s="31" t="s">
        <v>971</v>
      </c>
      <c r="E145" s="15">
        <f>17*60+48</f>
        <v>1068</v>
      </c>
      <c r="F145" s="12"/>
      <c r="G145" s="3" t="s">
        <v>1182</v>
      </c>
      <c r="H145" s="90"/>
      <c r="I145" s="119">
        <f t="shared" si="2"/>
        <v>0.79250616082778846</v>
      </c>
      <c r="K145" s="118"/>
    </row>
    <row r="146" spans="3:11" ht="15.75" thickBot="1" x14ac:dyDescent="0.3">
      <c r="C146" s="17"/>
      <c r="D146" s="32"/>
      <c r="E146" s="19">
        <f>SUM(E136:E145)/60</f>
        <v>138.6</v>
      </c>
      <c r="F146" s="20">
        <f>E146/60</f>
        <v>2.31</v>
      </c>
      <c r="G146" s="21"/>
      <c r="H146" s="90"/>
      <c r="I146" s="119"/>
      <c r="K146" s="118"/>
    </row>
    <row r="147" spans="3:11" x14ac:dyDescent="0.25">
      <c r="C147" s="7">
        <v>131</v>
      </c>
      <c r="D147" s="33" t="s">
        <v>1184</v>
      </c>
      <c r="E147" s="16">
        <f>11*60+34</f>
        <v>694</v>
      </c>
      <c r="F147" s="13"/>
      <c r="G147" s="4" t="s">
        <v>1183</v>
      </c>
      <c r="H147" s="90"/>
      <c r="I147" s="119">
        <f>E147/$G$1+I145</f>
        <v>0.79743482305818569</v>
      </c>
      <c r="K147" s="118"/>
    </row>
    <row r="148" spans="3:11" x14ac:dyDescent="0.25">
      <c r="C148" s="6">
        <v>132</v>
      </c>
      <c r="D148" s="31" t="s">
        <v>1186</v>
      </c>
      <c r="E148" s="15">
        <f>12*60+10</f>
        <v>730</v>
      </c>
      <c r="F148" s="12"/>
      <c r="G148" s="3" t="s">
        <v>1185</v>
      </c>
      <c r="H148" s="90"/>
      <c r="I148" s="119">
        <f t="shared" si="2"/>
        <v>0.80261915076451129</v>
      </c>
      <c r="K148" s="118"/>
    </row>
    <row r="149" spans="3:11" x14ac:dyDescent="0.25">
      <c r="C149" s="7">
        <v>133</v>
      </c>
      <c r="D149" s="31" t="s">
        <v>1188</v>
      </c>
      <c r="E149" s="15">
        <f>7*60+26</f>
        <v>446</v>
      </c>
      <c r="F149" s="12"/>
      <c r="G149" s="3" t="s">
        <v>1187</v>
      </c>
      <c r="H149" s="90"/>
      <c r="I149" s="119">
        <f t="shared" si="2"/>
        <v>0.80578656193851295</v>
      </c>
      <c r="K149" s="118"/>
    </row>
    <row r="150" spans="3:11" x14ac:dyDescent="0.25">
      <c r="C150" s="6">
        <v>134</v>
      </c>
      <c r="D150" s="31" t="s">
        <v>863</v>
      </c>
      <c r="E150" s="15">
        <f>15*60+9</f>
        <v>909</v>
      </c>
      <c r="F150" s="12"/>
      <c r="G150" s="3" t="s">
        <v>1189</v>
      </c>
      <c r="H150" s="90"/>
      <c r="I150" s="119">
        <f t="shared" si="2"/>
        <v>0.81224211520570466</v>
      </c>
    </row>
    <row r="151" spans="3:11" x14ac:dyDescent="0.25">
      <c r="C151" s="7">
        <v>135</v>
      </c>
      <c r="D151" s="31" t="s">
        <v>1191</v>
      </c>
      <c r="E151" s="15">
        <f>9*60+7</f>
        <v>547</v>
      </c>
      <c r="F151" s="12"/>
      <c r="G151" s="3" t="s">
        <v>1190</v>
      </c>
      <c r="H151" s="90"/>
      <c r="I151" s="119">
        <f t="shared" si="2"/>
        <v>0.81612681007606092</v>
      </c>
    </row>
    <row r="152" spans="3:11" x14ac:dyDescent="0.25">
      <c r="C152" s="6">
        <v>136</v>
      </c>
      <c r="D152" s="31" t="s">
        <v>1193</v>
      </c>
      <c r="E152" s="15">
        <f>6*60+28</f>
        <v>388</v>
      </c>
      <c r="F152" s="12"/>
      <c r="G152" s="3" t="s">
        <v>1192</v>
      </c>
      <c r="H152" s="90"/>
      <c r="I152" s="119">
        <f t="shared" si="2"/>
        <v>0.81888231576106685</v>
      </c>
    </row>
    <row r="153" spans="3:11" x14ac:dyDescent="0.25">
      <c r="C153" s="7">
        <v>137</v>
      </c>
      <c r="D153" s="31" t="s">
        <v>1084</v>
      </c>
      <c r="E153" s="15">
        <f>17*60+44</f>
        <v>1064</v>
      </c>
      <c r="F153" s="12"/>
      <c r="G153" s="3" t="s">
        <v>1194</v>
      </c>
      <c r="H153" s="90"/>
      <c r="I153" s="119">
        <f t="shared" si="2"/>
        <v>0.82643865093850577</v>
      </c>
    </row>
    <row r="154" spans="3:11" x14ac:dyDescent="0.25">
      <c r="C154" s="6">
        <v>138</v>
      </c>
      <c r="D154" s="31" t="s">
        <v>1196</v>
      </c>
      <c r="E154" s="15">
        <f>7*60+24</f>
        <v>444</v>
      </c>
      <c r="F154" s="12"/>
      <c r="G154" s="3" t="s">
        <v>1195</v>
      </c>
      <c r="H154" s="90"/>
      <c r="I154" s="119">
        <f t="shared" si="2"/>
        <v>0.82959185847495587</v>
      </c>
    </row>
    <row r="155" spans="3:11" x14ac:dyDescent="0.25">
      <c r="C155" s="7">
        <v>139</v>
      </c>
      <c r="D155" s="31" t="s">
        <v>1198</v>
      </c>
      <c r="E155" s="15">
        <f>24*60+15</f>
        <v>1455</v>
      </c>
      <c r="F155" s="12"/>
      <c r="G155" s="3" t="s">
        <v>1197</v>
      </c>
      <c r="H155" s="90"/>
      <c r="I155" s="119">
        <f t="shared" si="2"/>
        <v>0.83992500479372811</v>
      </c>
    </row>
    <row r="156" spans="3:11" x14ac:dyDescent="0.25">
      <c r="C156" s="6">
        <v>140</v>
      </c>
      <c r="D156" s="31" t="s">
        <v>1200</v>
      </c>
      <c r="E156" s="15">
        <f>22*60+20</f>
        <v>1340</v>
      </c>
      <c r="F156" s="12"/>
      <c r="G156" s="3" t="s">
        <v>1199</v>
      </c>
      <c r="H156" s="90"/>
      <c r="I156" s="119">
        <f t="shared" si="2"/>
        <v>0.84944144195328464</v>
      </c>
    </row>
    <row r="157" spans="3:11" ht="15.75" thickBot="1" x14ac:dyDescent="0.3">
      <c r="C157" s="17"/>
      <c r="D157" s="32"/>
      <c r="E157" s="19">
        <f>SUM(E147:E156)/60</f>
        <v>133.61666666666667</v>
      </c>
      <c r="F157" s="20">
        <f>E157/60</f>
        <v>2.2269444444444444</v>
      </c>
      <c r="G157" s="21"/>
      <c r="H157" s="90"/>
      <c r="I157" s="119"/>
    </row>
    <row r="158" spans="3:11" x14ac:dyDescent="0.25">
      <c r="C158" s="7">
        <v>141</v>
      </c>
      <c r="D158" s="33" t="s">
        <v>1244</v>
      </c>
      <c r="E158" s="16">
        <f>13*60+57</f>
        <v>837</v>
      </c>
      <c r="F158" s="13"/>
      <c r="G158" s="4" t="s">
        <v>1243</v>
      </c>
      <c r="H158" s="90"/>
      <c r="I158" s="119">
        <f>E158/$G$1+I156</f>
        <v>0.85538566426861962</v>
      </c>
    </row>
    <row r="159" spans="3:11" x14ac:dyDescent="0.25">
      <c r="C159" s="6">
        <v>142</v>
      </c>
      <c r="D159" s="31" t="s">
        <v>1246</v>
      </c>
      <c r="E159" s="15">
        <f>15*60+3</f>
        <v>903</v>
      </c>
      <c r="F159" s="12"/>
      <c r="G159" s="3" t="s">
        <v>1245</v>
      </c>
      <c r="H159" s="90"/>
      <c r="I159" s="119">
        <f t="shared" si="2"/>
        <v>0.86179860662315666</v>
      </c>
    </row>
    <row r="160" spans="3:11" x14ac:dyDescent="0.25">
      <c r="C160" s="7">
        <v>143</v>
      </c>
      <c r="D160" s="31" t="s">
        <v>1248</v>
      </c>
      <c r="E160" s="15">
        <f>11*60+11</f>
        <v>671</v>
      </c>
      <c r="F160" s="12"/>
      <c r="G160" s="3" t="s">
        <v>1247</v>
      </c>
      <c r="H160" s="90"/>
      <c r="I160" s="119">
        <f t="shared" si="2"/>
        <v>0.8665639270217107</v>
      </c>
    </row>
    <row r="161" spans="3:10" x14ac:dyDescent="0.25">
      <c r="C161" s="6">
        <v>144</v>
      </c>
      <c r="D161" s="31" t="s">
        <v>1250</v>
      </c>
      <c r="E161" s="15">
        <f>5*60+58</f>
        <v>358</v>
      </c>
      <c r="F161" s="12"/>
      <c r="G161" s="3" t="s">
        <v>1249</v>
      </c>
      <c r="H161" s="90"/>
      <c r="I161" s="119">
        <f t="shared" si="2"/>
        <v>0.86910637814344294</v>
      </c>
    </row>
    <row r="162" spans="3:10" x14ac:dyDescent="0.25">
      <c r="C162" s="7">
        <v>145</v>
      </c>
      <c r="D162" s="31" t="s">
        <v>1252</v>
      </c>
      <c r="E162" s="15">
        <f>23*60+39</f>
        <v>1419</v>
      </c>
      <c r="F162" s="12"/>
      <c r="G162" s="3" t="s">
        <v>1251</v>
      </c>
      <c r="H162" s="90"/>
      <c r="I162" s="119">
        <f t="shared" si="2"/>
        <v>0.87918385898628681</v>
      </c>
      <c r="J162" s="63">
        <v>1</v>
      </c>
    </row>
    <row r="163" spans="3:10" x14ac:dyDescent="0.25">
      <c r="C163" s="6">
        <v>146</v>
      </c>
      <c r="D163" s="31" t="s">
        <v>1254</v>
      </c>
      <c r="E163" s="15">
        <f>5*60+33</f>
        <v>333</v>
      </c>
      <c r="F163" s="12"/>
      <c r="G163" s="3" t="s">
        <v>1253</v>
      </c>
      <c r="H163" s="90"/>
      <c r="I163" s="119">
        <f t="shared" si="2"/>
        <v>0.88154876463862442</v>
      </c>
    </row>
    <row r="164" spans="3:10" x14ac:dyDescent="0.25">
      <c r="C164" s="7">
        <v>147</v>
      </c>
      <c r="D164" s="31" t="s">
        <v>1256</v>
      </c>
      <c r="E164" s="15">
        <f>10*60+43</f>
        <v>643</v>
      </c>
      <c r="F164" s="12"/>
      <c r="G164" s="3" t="s">
        <v>1255</v>
      </c>
      <c r="H164" s="90"/>
      <c r="I164" s="119">
        <f t="shared" si="2"/>
        <v>0.88611523411145643</v>
      </c>
    </row>
    <row r="165" spans="3:10" x14ac:dyDescent="0.25">
      <c r="C165" s="6">
        <v>148</v>
      </c>
      <c r="D165" s="31" t="s">
        <v>1258</v>
      </c>
      <c r="E165" s="15">
        <f>10*60+24</f>
        <v>624</v>
      </c>
      <c r="F165" s="12"/>
      <c r="G165" s="3" t="s">
        <v>1257</v>
      </c>
      <c r="H165" s="90"/>
      <c r="I165" s="119">
        <f t="shared" si="2"/>
        <v>0.89054676902754848</v>
      </c>
    </row>
    <row r="166" spans="3:10" x14ac:dyDescent="0.25">
      <c r="C166" s="7">
        <v>149</v>
      </c>
      <c r="D166" s="31" t="s">
        <v>1260</v>
      </c>
      <c r="E166" s="15">
        <f>18*60+9</f>
        <v>1089</v>
      </c>
      <c r="F166" s="12"/>
      <c r="G166" s="3" t="s">
        <v>1259</v>
      </c>
      <c r="H166" s="90"/>
      <c r="I166" s="119">
        <f t="shared" si="2"/>
        <v>0.89828064967438215</v>
      </c>
    </row>
    <row r="167" spans="3:10" x14ac:dyDescent="0.25">
      <c r="C167" s="6">
        <v>150</v>
      </c>
      <c r="D167" s="31" t="s">
        <v>1262</v>
      </c>
      <c r="E167" s="15"/>
      <c r="F167" s="12"/>
      <c r="G167" s="3" t="s">
        <v>1261</v>
      </c>
      <c r="H167" s="90"/>
      <c r="I167" s="119">
        <f t="shared" si="2"/>
        <v>0.89828064967438215</v>
      </c>
    </row>
    <row r="168" spans="3:10" ht="15.75" thickBot="1" x14ac:dyDescent="0.3">
      <c r="C168" s="17"/>
      <c r="D168" s="32"/>
      <c r="E168" s="19">
        <f>SUM(E158:E167)/60</f>
        <v>114.61666666666666</v>
      </c>
      <c r="F168" s="20">
        <f>E168/60</f>
        <v>1.9102777777777777</v>
      </c>
      <c r="G168" s="21"/>
      <c r="H168" s="90"/>
      <c r="I168" s="119"/>
    </row>
    <row r="169" spans="3:10" x14ac:dyDescent="0.25">
      <c r="C169" s="7">
        <v>151</v>
      </c>
      <c r="D169" s="33" t="s">
        <v>1264</v>
      </c>
      <c r="E169" s="16">
        <f>29*60+44</f>
        <v>1784</v>
      </c>
      <c r="F169" s="13"/>
      <c r="G169" s="4" t="s">
        <v>1263</v>
      </c>
      <c r="H169" s="90"/>
      <c r="I169" s="119">
        <f>E169/$G$1+I167</f>
        <v>0.91095029437038877</v>
      </c>
    </row>
    <row r="170" spans="3:10" x14ac:dyDescent="0.25">
      <c r="C170" s="6">
        <v>152</v>
      </c>
      <c r="D170" s="31" t="s">
        <v>343</v>
      </c>
      <c r="E170" s="15">
        <f>13*60+21</f>
        <v>801</v>
      </c>
      <c r="F170" s="12"/>
      <c r="G170" s="3" t="s">
        <v>1265</v>
      </c>
      <c r="H170" s="90"/>
      <c r="I170" s="119">
        <f t="shared" si="2"/>
        <v>0.91663885120979538</v>
      </c>
    </row>
    <row r="171" spans="3:10" x14ac:dyDescent="0.25">
      <c r="C171" s="7">
        <v>153</v>
      </c>
      <c r="D171" s="31" t="s">
        <v>1267</v>
      </c>
      <c r="E171" s="15">
        <f>12*60+26</f>
        <v>746</v>
      </c>
      <c r="F171" s="12"/>
      <c r="G171" s="3" t="s">
        <v>1266</v>
      </c>
      <c r="H171" s="90"/>
      <c r="I171" s="119">
        <f t="shared" si="2"/>
        <v>0.92193680801653355</v>
      </c>
    </row>
    <row r="172" spans="3:10" x14ac:dyDescent="0.25">
      <c r="C172" s="6">
        <v>154</v>
      </c>
      <c r="D172" s="31" t="s">
        <v>1269</v>
      </c>
      <c r="E172" s="15">
        <f>21*60+32</f>
        <v>1292</v>
      </c>
      <c r="F172" s="12"/>
      <c r="G172" s="3" t="s">
        <v>1268</v>
      </c>
      <c r="H172" s="90"/>
      <c r="I172" s="119">
        <f t="shared" si="2"/>
        <v>0.93111235787485225</v>
      </c>
    </row>
    <row r="173" spans="3:10" x14ac:dyDescent="0.25">
      <c r="C173" s="7">
        <v>155</v>
      </c>
      <c r="D173" s="31" t="s">
        <v>1271</v>
      </c>
      <c r="E173" s="15">
        <f>10*60+18</f>
        <v>618</v>
      </c>
      <c r="F173" s="12"/>
      <c r="G173" s="3" t="s">
        <v>1270</v>
      </c>
      <c r="H173" s="90"/>
      <c r="I173" s="119">
        <f t="shared" si="2"/>
        <v>0.93550128187828951</v>
      </c>
    </row>
    <row r="174" spans="3:10" x14ac:dyDescent="0.25">
      <c r="C174" s="6">
        <v>156</v>
      </c>
      <c r="D174" s="31" t="s">
        <v>1273</v>
      </c>
      <c r="E174" s="15">
        <f>12*60+27</f>
        <v>747</v>
      </c>
      <c r="F174" s="12"/>
      <c r="G174" s="3" t="s">
        <v>1272</v>
      </c>
      <c r="H174" s="90"/>
      <c r="I174" s="119">
        <f t="shared" si="2"/>
        <v>0.94080634050380352</v>
      </c>
    </row>
    <row r="175" spans="3:10" x14ac:dyDescent="0.25">
      <c r="C175" s="7">
        <v>157</v>
      </c>
      <c r="D175" s="31" t="s">
        <v>391</v>
      </c>
      <c r="E175" s="15">
        <f>10*60+16</f>
        <v>616</v>
      </c>
      <c r="F175" s="12"/>
      <c r="G175" s="3" t="s">
        <v>1274</v>
      </c>
      <c r="H175" s="90"/>
      <c r="I175" s="119">
        <f t="shared" si="2"/>
        <v>0.94518106086968923</v>
      </c>
    </row>
    <row r="176" spans="3:10" x14ac:dyDescent="0.25">
      <c r="C176" s="6">
        <v>158</v>
      </c>
      <c r="D176" s="31" t="s">
        <v>1276</v>
      </c>
      <c r="E176" s="15">
        <f>4*60+6</f>
        <v>246</v>
      </c>
      <c r="F176" s="12"/>
      <c r="G176" s="3" t="s">
        <v>1275</v>
      </c>
      <c r="H176" s="90"/>
      <c r="I176" s="119">
        <f t="shared" si="2"/>
        <v>0.94692810828853324</v>
      </c>
    </row>
    <row r="177" spans="3:9" x14ac:dyDescent="0.25">
      <c r="C177" s="7">
        <v>159</v>
      </c>
      <c r="D177" s="31" t="s">
        <v>1278</v>
      </c>
      <c r="E177" s="15">
        <f>7*60+54</f>
        <v>474</v>
      </c>
      <c r="F177" s="12"/>
      <c r="G177" s="3" t="s">
        <v>1277</v>
      </c>
      <c r="H177" s="90"/>
      <c r="I177" s="119">
        <f t="shared" si="2"/>
        <v>0.95029437038825704</v>
      </c>
    </row>
    <row r="178" spans="3:9" x14ac:dyDescent="0.25">
      <c r="C178" s="6">
        <v>160</v>
      </c>
      <c r="D178" s="31" t="s">
        <v>1280</v>
      </c>
      <c r="E178" s="15">
        <f>7*60+6</f>
        <v>426</v>
      </c>
      <c r="F178" s="12"/>
      <c r="G178" s="3" t="s">
        <v>1279</v>
      </c>
      <c r="H178" s="90"/>
      <c r="I178" s="119">
        <f t="shared" si="2"/>
        <v>0.9533197451867429</v>
      </c>
    </row>
    <row r="179" spans="3:9" ht="15.75" thickBot="1" x14ac:dyDescent="0.3">
      <c r="C179" s="17"/>
      <c r="D179" s="32"/>
      <c r="E179" s="19">
        <f>SUM(E169:E178)/60</f>
        <v>129.16666666666666</v>
      </c>
      <c r="F179" s="20">
        <f>E179/60</f>
        <v>2.1527777777777777</v>
      </c>
      <c r="G179" s="21"/>
      <c r="H179" s="90"/>
      <c r="I179" s="119"/>
    </row>
    <row r="180" spans="3:9" x14ac:dyDescent="0.25">
      <c r="C180" s="7">
        <v>161</v>
      </c>
      <c r="D180" s="33" t="s">
        <v>1282</v>
      </c>
      <c r="E180" s="16">
        <f>4*60+10</f>
        <v>250</v>
      </c>
      <c r="F180" s="13"/>
      <c r="G180" s="4" t="s">
        <v>1281</v>
      </c>
      <c r="H180" s="90"/>
      <c r="I180" s="119">
        <f>E180/$G$1+I178</f>
        <v>0.95509519988069003</v>
      </c>
    </row>
    <row r="181" spans="3:9" x14ac:dyDescent="0.25">
      <c r="C181" s="6">
        <v>162</v>
      </c>
      <c r="D181" s="31" t="s">
        <v>1284</v>
      </c>
      <c r="E181" s="15">
        <f>14*60+28</f>
        <v>868</v>
      </c>
      <c r="F181" s="12"/>
      <c r="G181" s="3" t="s">
        <v>1283</v>
      </c>
      <c r="H181" s="90"/>
      <c r="I181" s="119">
        <f t="shared" si="2"/>
        <v>0.96125957857807443</v>
      </c>
    </row>
    <row r="182" spans="3:9" x14ac:dyDescent="0.25">
      <c r="C182" s="7">
        <v>163</v>
      </c>
      <c r="D182" s="31" t="s">
        <v>1286</v>
      </c>
      <c r="E182" s="15">
        <f>8*60+46</f>
        <v>526</v>
      </c>
      <c r="F182" s="12"/>
      <c r="G182" s="3" t="s">
        <v>1285</v>
      </c>
      <c r="H182" s="90"/>
      <c r="I182" s="119">
        <f t="shared" si="2"/>
        <v>0.96499513525413916</v>
      </c>
    </row>
    <row r="183" spans="3:9" x14ac:dyDescent="0.25">
      <c r="C183" s="6">
        <v>164</v>
      </c>
      <c r="D183" s="31" t="s">
        <v>1288</v>
      </c>
      <c r="E183" s="15">
        <f>11*60+9</f>
        <v>669</v>
      </c>
      <c r="F183" s="12"/>
      <c r="G183" s="3" t="s">
        <v>1287</v>
      </c>
      <c r="H183" s="90"/>
      <c r="I183" s="119">
        <f t="shared" si="2"/>
        <v>0.96974625201514164</v>
      </c>
    </row>
    <row r="184" spans="3:9" x14ac:dyDescent="0.25">
      <c r="C184" s="7">
        <v>165</v>
      </c>
      <c r="D184" s="31" t="s">
        <v>1290</v>
      </c>
      <c r="E184" s="15">
        <f>3*60+48</f>
        <v>228</v>
      </c>
      <c r="F184" s="12"/>
      <c r="G184" s="3" t="s">
        <v>1289</v>
      </c>
      <c r="H184" s="90"/>
      <c r="I184" s="119">
        <f t="shared" si="2"/>
        <v>0.97136546669602142</v>
      </c>
    </row>
    <row r="185" spans="3:9" x14ac:dyDescent="0.25">
      <c r="C185" s="6">
        <v>166</v>
      </c>
      <c r="D185" s="31" t="s">
        <v>1298</v>
      </c>
      <c r="E185" s="15">
        <f>11*60+54</f>
        <v>714</v>
      </c>
      <c r="F185" s="12"/>
      <c r="G185" s="3" t="s">
        <v>1291</v>
      </c>
      <c r="H185" s="90"/>
      <c r="I185" s="119">
        <f t="shared" si="2"/>
        <v>0.97643616530193444</v>
      </c>
    </row>
    <row r="186" spans="3:9" x14ac:dyDescent="0.25">
      <c r="C186" s="7">
        <v>167</v>
      </c>
      <c r="D186" s="31" t="s">
        <v>1293</v>
      </c>
      <c r="E186" s="15">
        <f>5*60+10</f>
        <v>310</v>
      </c>
      <c r="F186" s="12"/>
      <c r="G186" s="3" t="s">
        <v>1292</v>
      </c>
      <c r="H186" s="90"/>
      <c r="I186" s="119">
        <f t="shared" si="2"/>
        <v>0.97863772912242886</v>
      </c>
    </row>
    <row r="187" spans="3:9" x14ac:dyDescent="0.25">
      <c r="C187" s="6">
        <v>168</v>
      </c>
      <c r="D187" s="31" t="s">
        <v>1295</v>
      </c>
      <c r="E187" s="15">
        <f>2*60+17</f>
        <v>137</v>
      </c>
      <c r="F187" s="12"/>
      <c r="G187" s="3" t="s">
        <v>1294</v>
      </c>
      <c r="H187" s="90"/>
      <c r="I187" s="119">
        <f t="shared" si="2"/>
        <v>0.97961067829471182</v>
      </c>
    </row>
    <row r="188" spans="3:9" x14ac:dyDescent="0.25">
      <c r="C188" s="7">
        <v>169</v>
      </c>
      <c r="D188" s="31" t="s">
        <v>431</v>
      </c>
      <c r="E188" s="15">
        <f>16*60+53</f>
        <v>1013</v>
      </c>
      <c r="F188" s="12"/>
      <c r="G188" s="3" t="s">
        <v>1296</v>
      </c>
      <c r="H188" s="90"/>
      <c r="I188" s="119">
        <f t="shared" si="2"/>
        <v>0.98680482071458553</v>
      </c>
    </row>
    <row r="189" spans="3:9" x14ac:dyDescent="0.25">
      <c r="C189" s="6">
        <v>170</v>
      </c>
      <c r="D189" s="31" t="s">
        <v>1299</v>
      </c>
      <c r="E189" s="15">
        <f>6*60+48</f>
        <v>408</v>
      </c>
      <c r="F189" s="12"/>
      <c r="G189" s="3" t="s">
        <v>1297</v>
      </c>
      <c r="H189" s="90"/>
      <c r="I189" s="119">
        <f t="shared" si="2"/>
        <v>0.98970236277510726</v>
      </c>
    </row>
    <row r="190" spans="3:9" ht="15.75" thickBot="1" x14ac:dyDescent="0.3">
      <c r="C190" s="17"/>
      <c r="D190" s="32"/>
      <c r="E190" s="19">
        <f>SUM(E180:E189)/60</f>
        <v>85.38333333333334</v>
      </c>
      <c r="F190" s="20">
        <f>E190/60</f>
        <v>1.4230555555555557</v>
      </c>
      <c r="G190" s="21"/>
      <c r="H190" s="90"/>
      <c r="I190" s="119"/>
    </row>
    <row r="191" spans="3:9" x14ac:dyDescent="0.25">
      <c r="C191" s="7">
        <v>171</v>
      </c>
      <c r="D191" s="33" t="s">
        <v>1301</v>
      </c>
      <c r="E191" s="16">
        <f>11*60+44</f>
        <v>704</v>
      </c>
      <c r="F191" s="13"/>
      <c r="G191" s="4" t="s">
        <v>1300</v>
      </c>
      <c r="H191" s="90"/>
      <c r="I191" s="119">
        <f>E191/$G$1+I189</f>
        <v>0.99470204319326239</v>
      </c>
    </row>
    <row r="192" spans="3:9" x14ac:dyDescent="0.25">
      <c r="C192" s="7">
        <v>172</v>
      </c>
      <c r="D192" s="33" t="s">
        <v>1267</v>
      </c>
      <c r="E192" s="16">
        <f>12*60+26</f>
        <v>746</v>
      </c>
      <c r="F192" s="13"/>
      <c r="G192" s="4" t="s">
        <v>1302</v>
      </c>
      <c r="I192" s="119">
        <f>E192/$G$1+I191</f>
        <v>1.0000000000000007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M61"/>
  <sheetViews>
    <sheetView topLeftCell="A27" workbookViewId="0">
      <selection activeCell="B45" sqref="B45"/>
    </sheetView>
  </sheetViews>
  <sheetFormatPr defaultRowHeight="15" x14ac:dyDescent="0.25"/>
  <cols>
    <col min="3" max="3" width="6.140625" customWidth="1"/>
    <col min="4" max="4" width="9.140625" style="29"/>
    <col min="7" max="7" width="77.5703125" style="1" customWidth="1"/>
    <col min="8" max="8" width="6.85546875" style="63" customWidth="1"/>
    <col min="9" max="11" width="4.7109375" style="63" customWidth="1"/>
    <col min="12" max="12" width="4.7109375" style="157" customWidth="1"/>
    <col min="13" max="13" width="4.7109375" style="63" customWidth="1"/>
  </cols>
  <sheetData>
    <row r="1" spans="3:13" x14ac:dyDescent="0.25">
      <c r="G1" s="116">
        <f>SUM(E4:E13)+SUM(E15:E24)+SUM(E26:E35)+SUM(E37:E45)</f>
        <v>24890</v>
      </c>
    </row>
    <row r="2" spans="3:13" x14ac:dyDescent="0.25">
      <c r="C2" s="1" t="s">
        <v>41</v>
      </c>
      <c r="F2" s="23">
        <f>F14+F25+F36+F46</f>
        <v>6.9138888888888896</v>
      </c>
    </row>
    <row r="3" spans="3:13" ht="15.75" thickBot="1" x14ac:dyDescent="0.3">
      <c r="C3" s="1"/>
      <c r="F3" s="23"/>
      <c r="I3" s="113" t="s">
        <v>1004</v>
      </c>
      <c r="J3" s="113" t="s">
        <v>1614</v>
      </c>
      <c r="K3" s="113" t="s">
        <v>1615</v>
      </c>
      <c r="L3" s="155" t="s">
        <v>1616</v>
      </c>
      <c r="M3" s="113" t="s">
        <v>1622</v>
      </c>
    </row>
    <row r="4" spans="3:13" x14ac:dyDescent="0.25">
      <c r="C4" s="5">
        <v>1</v>
      </c>
      <c r="D4" s="110">
        <v>0.34027777777777773</v>
      </c>
      <c r="E4" s="14">
        <f>8*60+10</f>
        <v>490</v>
      </c>
      <c r="F4" s="11"/>
      <c r="G4" s="2" t="s">
        <v>911</v>
      </c>
      <c r="H4" s="117">
        <f>E4/G1</f>
        <v>1.9686621132985135E-2</v>
      </c>
      <c r="I4" s="63">
        <v>1</v>
      </c>
      <c r="J4" s="63">
        <v>1</v>
      </c>
      <c r="K4" s="63">
        <v>1</v>
      </c>
    </row>
    <row r="5" spans="3:13" x14ac:dyDescent="0.25">
      <c r="C5" s="6">
        <v>2</v>
      </c>
      <c r="D5" s="35" t="s">
        <v>173</v>
      </c>
      <c r="E5" s="15">
        <f>11*60+36</f>
        <v>696</v>
      </c>
      <c r="F5" s="12"/>
      <c r="G5" s="3" t="s">
        <v>912</v>
      </c>
      <c r="H5" s="117">
        <f>(E5/$G$1)+H4</f>
        <v>4.764965849738851E-2</v>
      </c>
      <c r="I5" s="63">
        <v>1</v>
      </c>
      <c r="J5" s="63">
        <v>1</v>
      </c>
      <c r="K5" s="63">
        <v>1</v>
      </c>
    </row>
    <row r="6" spans="3:13" x14ac:dyDescent="0.25">
      <c r="C6" s="6">
        <v>3</v>
      </c>
      <c r="D6" s="35" t="s">
        <v>914</v>
      </c>
      <c r="E6" s="15">
        <f>12*60+12</f>
        <v>732</v>
      </c>
      <c r="F6" s="12"/>
      <c r="G6" s="3" t="s">
        <v>913</v>
      </c>
      <c r="H6" s="117">
        <f t="shared" ref="H6:H45" si="0">(E6/$G$1)+H5</f>
        <v>7.7059059863398949E-2</v>
      </c>
      <c r="I6" s="63">
        <v>1</v>
      </c>
      <c r="J6" s="63">
        <v>1</v>
      </c>
      <c r="K6" s="63">
        <v>1</v>
      </c>
    </row>
    <row r="7" spans="3:13" x14ac:dyDescent="0.25">
      <c r="C7" s="6">
        <v>4</v>
      </c>
      <c r="D7" s="35" t="s">
        <v>916</v>
      </c>
      <c r="E7" s="15">
        <f>11*60+16</f>
        <v>676</v>
      </c>
      <c r="F7" s="12"/>
      <c r="G7" s="3" t="s">
        <v>915</v>
      </c>
      <c r="H7" s="117">
        <f t="shared" si="0"/>
        <v>0.10421856167135395</v>
      </c>
      <c r="I7" s="63">
        <v>1</v>
      </c>
      <c r="J7" s="63">
        <v>1</v>
      </c>
      <c r="K7" s="63">
        <v>1</v>
      </c>
    </row>
    <row r="8" spans="3:13" x14ac:dyDescent="0.25">
      <c r="C8" s="6">
        <v>5</v>
      </c>
      <c r="D8" s="35">
        <v>0.34861111111111115</v>
      </c>
      <c r="E8" s="15">
        <f>8*60+22</f>
        <v>502</v>
      </c>
      <c r="F8" s="12"/>
      <c r="G8" s="3" t="s">
        <v>1013</v>
      </c>
      <c r="H8" s="117">
        <f t="shared" si="0"/>
        <v>0.1243873041382081</v>
      </c>
      <c r="I8" s="63">
        <v>1</v>
      </c>
      <c r="K8" s="63">
        <v>1</v>
      </c>
    </row>
    <row r="9" spans="3:13" x14ac:dyDescent="0.25">
      <c r="C9" s="6">
        <v>6</v>
      </c>
      <c r="D9" s="35" t="s">
        <v>343</v>
      </c>
      <c r="E9" s="15">
        <f>13*60+21</f>
        <v>801</v>
      </c>
      <c r="F9" s="12"/>
      <c r="G9" s="3" t="s">
        <v>917</v>
      </c>
      <c r="H9" s="117">
        <f t="shared" si="0"/>
        <v>0.15656890317396543</v>
      </c>
      <c r="I9" s="63">
        <v>1</v>
      </c>
      <c r="K9" s="63">
        <v>1</v>
      </c>
    </row>
    <row r="10" spans="3:13" x14ac:dyDescent="0.25">
      <c r="C10" s="6">
        <v>7</v>
      </c>
      <c r="D10" s="35" t="s">
        <v>411</v>
      </c>
      <c r="E10" s="15">
        <f>14*60+5</f>
        <v>845</v>
      </c>
      <c r="F10" s="12"/>
      <c r="G10" s="3" t="s">
        <v>918</v>
      </c>
      <c r="H10" s="117">
        <f t="shared" si="0"/>
        <v>0.19051828043390917</v>
      </c>
      <c r="K10" s="63">
        <v>1</v>
      </c>
    </row>
    <row r="11" spans="3:13" x14ac:dyDescent="0.25">
      <c r="C11" s="6">
        <v>8</v>
      </c>
      <c r="D11" s="35">
        <v>0.32083333333333336</v>
      </c>
      <c r="E11" s="15">
        <f>7*60+42</f>
        <v>462</v>
      </c>
      <c r="F11" s="12"/>
      <c r="G11" s="3" t="s">
        <v>919</v>
      </c>
      <c r="H11" s="117">
        <f t="shared" si="0"/>
        <v>0.20907995178786659</v>
      </c>
      <c r="K11" s="63">
        <v>1</v>
      </c>
    </row>
    <row r="12" spans="3:13" x14ac:dyDescent="0.25">
      <c r="C12" s="6">
        <v>9</v>
      </c>
      <c r="D12" s="35">
        <v>0.31319444444444444</v>
      </c>
      <c r="E12" s="15">
        <f>7*60+31</f>
        <v>451</v>
      </c>
      <c r="F12" s="12"/>
      <c r="G12" s="3" t="s">
        <v>920</v>
      </c>
      <c r="H12" s="117">
        <f t="shared" si="0"/>
        <v>0.22719967858577739</v>
      </c>
      <c r="K12" s="63">
        <v>1</v>
      </c>
    </row>
    <row r="13" spans="3:13" x14ac:dyDescent="0.25">
      <c r="C13" s="6">
        <v>10</v>
      </c>
      <c r="D13" s="35">
        <v>0.25555555555555559</v>
      </c>
      <c r="E13" s="15">
        <f>6*60+8</f>
        <v>368</v>
      </c>
      <c r="F13" s="12"/>
      <c r="G13" s="3" t="s">
        <v>921</v>
      </c>
      <c r="H13" s="117">
        <f t="shared" si="0"/>
        <v>0.24198473282442745</v>
      </c>
      <c r="K13" s="63">
        <v>1</v>
      </c>
    </row>
    <row r="14" spans="3:13" ht="15.75" thickBot="1" x14ac:dyDescent="0.3">
      <c r="C14" s="17"/>
      <c r="D14" s="111"/>
      <c r="E14" s="19">
        <f>SUM(E4:E13)/60</f>
        <v>100.38333333333334</v>
      </c>
      <c r="F14" s="20">
        <f>E14/60</f>
        <v>1.6730555555555557</v>
      </c>
      <c r="G14" s="21"/>
      <c r="H14" s="117">
        <f>H13</f>
        <v>0.24198473282442745</v>
      </c>
    </row>
    <row r="15" spans="3:13" x14ac:dyDescent="0.25">
      <c r="C15" s="5">
        <v>11</v>
      </c>
      <c r="D15" s="110">
        <v>0.22291666666666665</v>
      </c>
      <c r="E15" s="14">
        <f>5*60+21</f>
        <v>321</v>
      </c>
      <c r="F15" s="11"/>
      <c r="G15" s="2" t="s">
        <v>922</v>
      </c>
      <c r="H15" s="117">
        <f t="shared" si="0"/>
        <v>0.25488147850542381</v>
      </c>
      <c r="K15" s="63">
        <v>1</v>
      </c>
    </row>
    <row r="16" spans="3:13" x14ac:dyDescent="0.25">
      <c r="C16" s="6">
        <v>12</v>
      </c>
      <c r="D16" s="35">
        <v>0.30138888888888887</v>
      </c>
      <c r="E16" s="15">
        <f>7*60+14</f>
        <v>434</v>
      </c>
      <c r="F16" s="12"/>
      <c r="G16" s="3" t="s">
        <v>923</v>
      </c>
      <c r="H16" s="117">
        <f t="shared" si="0"/>
        <v>0.27231820008035351</v>
      </c>
      <c r="K16" s="63">
        <v>1</v>
      </c>
    </row>
    <row r="17" spans="3:13" x14ac:dyDescent="0.25">
      <c r="C17" s="6">
        <v>13</v>
      </c>
      <c r="D17" s="35">
        <v>0.35069444444444442</v>
      </c>
      <c r="E17" s="15">
        <f>8*60+25</f>
        <v>505</v>
      </c>
      <c r="F17" s="12"/>
      <c r="G17" s="3" t="s">
        <v>924</v>
      </c>
      <c r="H17" s="117">
        <f t="shared" si="0"/>
        <v>0.2926074728806749</v>
      </c>
      <c r="K17" s="63">
        <v>1</v>
      </c>
    </row>
    <row r="18" spans="3:13" x14ac:dyDescent="0.25">
      <c r="C18" s="6">
        <v>14</v>
      </c>
      <c r="D18" s="35" t="s">
        <v>926</v>
      </c>
      <c r="E18" s="15">
        <f>10*60+47</f>
        <v>647</v>
      </c>
      <c r="F18" s="12"/>
      <c r="G18" s="3" t="s">
        <v>925</v>
      </c>
      <c r="H18" s="117">
        <f t="shared" si="0"/>
        <v>0.31860184813177977</v>
      </c>
      <c r="L18" s="157">
        <v>1</v>
      </c>
    </row>
    <row r="19" spans="3:13" x14ac:dyDescent="0.25">
      <c r="C19" s="6">
        <v>15</v>
      </c>
      <c r="D19" s="35" t="s">
        <v>421</v>
      </c>
      <c r="E19" s="15">
        <f>12*60+18</f>
        <v>738</v>
      </c>
      <c r="F19" s="12"/>
      <c r="G19" s="3" t="s">
        <v>927</v>
      </c>
      <c r="H19" s="117">
        <f t="shared" si="0"/>
        <v>0.34825231016472474</v>
      </c>
      <c r="L19" s="157">
        <v>1</v>
      </c>
    </row>
    <row r="20" spans="3:13" x14ac:dyDescent="0.25">
      <c r="C20" s="6">
        <v>16</v>
      </c>
      <c r="D20" s="35">
        <v>0.34652777777777777</v>
      </c>
      <c r="E20" s="15">
        <f>8*60+19</f>
        <v>499</v>
      </c>
      <c r="F20" s="12"/>
      <c r="G20" s="3" t="s">
        <v>928</v>
      </c>
      <c r="H20" s="117">
        <f t="shared" si="0"/>
        <v>0.36830052229811167</v>
      </c>
      <c r="L20" s="157">
        <v>1</v>
      </c>
    </row>
    <row r="21" spans="3:13" x14ac:dyDescent="0.25">
      <c r="C21" s="6">
        <v>17</v>
      </c>
      <c r="D21" s="35" t="s">
        <v>930</v>
      </c>
      <c r="E21" s="15">
        <f>13*60+48</f>
        <v>828</v>
      </c>
      <c r="F21" s="12"/>
      <c r="G21" s="3" t="s">
        <v>929</v>
      </c>
      <c r="H21" s="117">
        <f t="shared" si="0"/>
        <v>0.40156689433507431</v>
      </c>
      <c r="L21" s="157">
        <v>1</v>
      </c>
    </row>
    <row r="22" spans="3:13" x14ac:dyDescent="0.25">
      <c r="C22" s="6">
        <v>18</v>
      </c>
      <c r="D22" s="35" t="s">
        <v>932</v>
      </c>
      <c r="E22" s="15">
        <f>19*60+16</f>
        <v>1156</v>
      </c>
      <c r="F22" s="12"/>
      <c r="G22" s="3" t="s">
        <v>931</v>
      </c>
      <c r="H22" s="117">
        <f t="shared" si="0"/>
        <v>0.44801124949779025</v>
      </c>
      <c r="L22" s="157">
        <v>1</v>
      </c>
    </row>
    <row r="23" spans="3:13" x14ac:dyDescent="0.25">
      <c r="C23" s="6">
        <v>19</v>
      </c>
      <c r="D23" s="35">
        <v>0.39374999999999999</v>
      </c>
      <c r="E23" s="15">
        <f>9*60+27</f>
        <v>567</v>
      </c>
      <c r="F23" s="12"/>
      <c r="G23" s="3" t="s">
        <v>933</v>
      </c>
      <c r="H23" s="117">
        <f t="shared" si="0"/>
        <v>0.4707914825231016</v>
      </c>
      <c r="L23" s="157">
        <v>1</v>
      </c>
    </row>
    <row r="24" spans="3:13" x14ac:dyDescent="0.25">
      <c r="C24" s="6">
        <v>20</v>
      </c>
      <c r="D24" s="35">
        <v>0.375</v>
      </c>
      <c r="E24" s="15">
        <f>9*60</f>
        <v>540</v>
      </c>
      <c r="F24" s="12"/>
      <c r="G24" s="3" t="s">
        <v>934</v>
      </c>
      <c r="H24" s="117">
        <f t="shared" si="0"/>
        <v>0.49248694254720765</v>
      </c>
      <c r="L24" s="157">
        <v>1</v>
      </c>
    </row>
    <row r="25" spans="3:13" ht="15.75" thickBot="1" x14ac:dyDescent="0.3">
      <c r="C25" s="17"/>
      <c r="D25" s="111"/>
      <c r="E25" s="19">
        <f>SUM(E15:E24)/60</f>
        <v>103.91666666666667</v>
      </c>
      <c r="F25" s="20">
        <f>E25/60</f>
        <v>1.7319444444444445</v>
      </c>
      <c r="G25" s="21"/>
      <c r="H25" s="117">
        <f>H24</f>
        <v>0.49248694254720765</v>
      </c>
    </row>
    <row r="26" spans="3:13" x14ac:dyDescent="0.25">
      <c r="C26" s="5">
        <v>21</v>
      </c>
      <c r="D26" s="110" t="s">
        <v>936</v>
      </c>
      <c r="E26" s="14">
        <f>20*60+5</f>
        <v>1205</v>
      </c>
      <c r="F26" s="11"/>
      <c r="G26" s="2" t="s">
        <v>935</v>
      </c>
      <c r="H26" s="117">
        <f t="shared" si="0"/>
        <v>0.54089995982322214</v>
      </c>
      <c r="L26" s="157">
        <v>1</v>
      </c>
    </row>
    <row r="27" spans="3:13" x14ac:dyDescent="0.25">
      <c r="C27" s="6">
        <v>22</v>
      </c>
      <c r="D27" s="35">
        <v>0.31597222222222221</v>
      </c>
      <c r="E27" s="15">
        <f>7*60+35</f>
        <v>455</v>
      </c>
      <c r="F27" s="12"/>
      <c r="G27" s="3" t="s">
        <v>1005</v>
      </c>
      <c r="H27" s="117">
        <f t="shared" si="0"/>
        <v>0.55918039373242268</v>
      </c>
      <c r="L27" s="157">
        <v>1</v>
      </c>
    </row>
    <row r="28" spans="3:13" x14ac:dyDescent="0.25">
      <c r="C28" s="6">
        <v>23</v>
      </c>
      <c r="D28" s="35">
        <v>0.30972222222222223</v>
      </c>
      <c r="E28" s="15">
        <f>7*60+26</f>
        <v>446</v>
      </c>
      <c r="F28" s="12"/>
      <c r="G28" s="3" t="s">
        <v>1006</v>
      </c>
      <c r="H28" s="117">
        <f t="shared" si="0"/>
        <v>0.57709923664122142</v>
      </c>
      <c r="L28" s="157">
        <v>1</v>
      </c>
    </row>
    <row r="29" spans="3:13" x14ac:dyDescent="0.25">
      <c r="C29" s="6">
        <v>24</v>
      </c>
      <c r="D29" s="35">
        <v>0.43958333333333338</v>
      </c>
      <c r="E29" s="15">
        <f>10*60+33</f>
        <v>633</v>
      </c>
      <c r="F29" s="12"/>
      <c r="G29" s="3" t="s">
        <v>1007</v>
      </c>
      <c r="H29" s="117">
        <f t="shared" si="0"/>
        <v>0.60253113700281247</v>
      </c>
      <c r="L29" s="157">
        <v>1</v>
      </c>
    </row>
    <row r="30" spans="3:13" x14ac:dyDescent="0.25">
      <c r="C30" s="6">
        <v>25</v>
      </c>
      <c r="D30" s="35">
        <v>0.72222222222222221</v>
      </c>
      <c r="E30" s="15">
        <f>17*60+20</f>
        <v>1040</v>
      </c>
      <c r="F30" s="12"/>
      <c r="G30" s="3" t="s">
        <v>1008</v>
      </c>
      <c r="H30" s="117">
        <f t="shared" si="0"/>
        <v>0.64431498593812786</v>
      </c>
      <c r="L30" s="157">
        <v>1</v>
      </c>
    </row>
    <row r="31" spans="3:13" x14ac:dyDescent="0.25">
      <c r="C31" s="6">
        <v>26</v>
      </c>
      <c r="D31" s="35">
        <v>0.28680555555555554</v>
      </c>
      <c r="E31" s="15">
        <f>6*60+53</f>
        <v>413</v>
      </c>
      <c r="F31" s="12"/>
      <c r="G31" s="3" t="s">
        <v>1009</v>
      </c>
      <c r="H31" s="117">
        <f t="shared" si="0"/>
        <v>0.66090799517878673</v>
      </c>
      <c r="L31" s="157">
        <v>1</v>
      </c>
    </row>
    <row r="32" spans="3:13" x14ac:dyDescent="0.25">
      <c r="C32" s="6">
        <v>27</v>
      </c>
      <c r="D32" s="35">
        <v>0.33333333333333331</v>
      </c>
      <c r="E32" s="15">
        <f>8*60</f>
        <v>480</v>
      </c>
      <c r="F32" s="12"/>
      <c r="G32" s="3" t="s">
        <v>1010</v>
      </c>
      <c r="H32" s="117">
        <f t="shared" si="0"/>
        <v>0.68019284853354767</v>
      </c>
      <c r="L32" s="157">
        <v>1</v>
      </c>
      <c r="M32" s="63">
        <v>1</v>
      </c>
    </row>
    <row r="33" spans="3:13" x14ac:dyDescent="0.25">
      <c r="C33" s="6">
        <v>28</v>
      </c>
      <c r="D33" s="34" t="s">
        <v>1012</v>
      </c>
      <c r="E33" s="15">
        <f>32*60+34</f>
        <v>1954</v>
      </c>
      <c r="F33" s="12"/>
      <c r="G33" s="3" t="s">
        <v>1011</v>
      </c>
      <c r="H33" s="117">
        <f t="shared" si="0"/>
        <v>0.7586982723985537</v>
      </c>
      <c r="M33" s="63">
        <v>1</v>
      </c>
    </row>
    <row r="34" spans="3:13" x14ac:dyDescent="0.25">
      <c r="C34" s="6">
        <v>29</v>
      </c>
      <c r="D34" s="34" t="s">
        <v>1031</v>
      </c>
      <c r="E34" s="15">
        <f>14*60+55</f>
        <v>895</v>
      </c>
      <c r="F34" s="12"/>
      <c r="G34" s="3" t="s">
        <v>1596</v>
      </c>
      <c r="H34" s="117">
        <f t="shared" si="0"/>
        <v>0.79465648854961835</v>
      </c>
      <c r="M34" s="63">
        <v>1</v>
      </c>
    </row>
    <row r="35" spans="3:13" x14ac:dyDescent="0.25">
      <c r="C35" s="6">
        <v>30</v>
      </c>
      <c r="D35" s="34" t="s">
        <v>1528</v>
      </c>
      <c r="E35" s="15">
        <f>10*60+7</f>
        <v>607</v>
      </c>
      <c r="F35" s="12"/>
      <c r="G35" s="3" t="s">
        <v>1597</v>
      </c>
      <c r="H35" s="117">
        <f t="shared" si="0"/>
        <v>0.81904379268782646</v>
      </c>
      <c r="M35" s="63">
        <v>1</v>
      </c>
    </row>
    <row r="36" spans="3:13" ht="15.75" thickBot="1" x14ac:dyDescent="0.3">
      <c r="C36" s="17"/>
      <c r="D36" s="18"/>
      <c r="E36" s="19">
        <f>SUM(E26:E35)/60</f>
        <v>135.46666666666667</v>
      </c>
      <c r="F36" s="20">
        <f>E36/60</f>
        <v>2.2577777777777777</v>
      </c>
      <c r="G36" s="21"/>
      <c r="H36" s="117">
        <f>H35</f>
        <v>0.81904379268782646</v>
      </c>
      <c r="M36" s="63">
        <v>1</v>
      </c>
    </row>
    <row r="37" spans="3:13" x14ac:dyDescent="0.25">
      <c r="C37" s="7">
        <v>31</v>
      </c>
      <c r="D37" s="24" t="s">
        <v>1599</v>
      </c>
      <c r="E37" s="16">
        <f>6*60+41</f>
        <v>401</v>
      </c>
      <c r="F37" s="13"/>
      <c r="G37" s="4" t="s">
        <v>1598</v>
      </c>
      <c r="H37" s="117">
        <f t="shared" si="0"/>
        <v>0.83515468059461628</v>
      </c>
      <c r="M37" s="63">
        <v>1</v>
      </c>
    </row>
    <row r="38" spans="3:13" x14ac:dyDescent="0.25">
      <c r="C38" s="6">
        <v>32</v>
      </c>
      <c r="D38" s="34" t="s">
        <v>1601</v>
      </c>
      <c r="E38" s="16">
        <f>7*60+13</f>
        <v>433</v>
      </c>
      <c r="F38" s="12"/>
      <c r="G38" s="3" t="s">
        <v>1600</v>
      </c>
      <c r="H38" s="117">
        <f t="shared" si="0"/>
        <v>0.85255122539172357</v>
      </c>
      <c r="M38" s="63">
        <v>1</v>
      </c>
    </row>
    <row r="39" spans="3:13" x14ac:dyDescent="0.25">
      <c r="C39" s="6">
        <v>33</v>
      </c>
      <c r="D39" s="34" t="s">
        <v>1603</v>
      </c>
      <c r="E39" s="16">
        <f>7*60+26</f>
        <v>446</v>
      </c>
      <c r="F39" s="12"/>
      <c r="G39" s="3" t="s">
        <v>1602</v>
      </c>
      <c r="H39" s="117">
        <f t="shared" si="0"/>
        <v>0.87047006830052231</v>
      </c>
      <c r="M39" s="63">
        <v>1</v>
      </c>
    </row>
    <row r="40" spans="3:13" x14ac:dyDescent="0.25">
      <c r="C40" s="6">
        <v>34</v>
      </c>
      <c r="D40" s="34" t="s">
        <v>1605</v>
      </c>
      <c r="E40" s="16">
        <f>8*60+55</f>
        <v>535</v>
      </c>
      <c r="F40" s="12"/>
      <c r="G40" s="3" t="s">
        <v>1604</v>
      </c>
      <c r="H40" s="117">
        <f t="shared" si="0"/>
        <v>0.89196464443551626</v>
      </c>
      <c r="M40" s="63">
        <v>1</v>
      </c>
    </row>
    <row r="41" spans="3:13" x14ac:dyDescent="0.25">
      <c r="C41" s="6">
        <v>35</v>
      </c>
      <c r="D41" s="34" t="s">
        <v>1606</v>
      </c>
      <c r="E41" s="16">
        <f>8*60+59</f>
        <v>539</v>
      </c>
      <c r="F41" s="12"/>
      <c r="G41" s="3" t="s">
        <v>1604</v>
      </c>
      <c r="H41" s="117">
        <f t="shared" si="0"/>
        <v>0.91361992768179989</v>
      </c>
      <c r="M41" s="63">
        <v>1</v>
      </c>
    </row>
    <row r="42" spans="3:13" x14ac:dyDescent="0.25">
      <c r="C42" s="6">
        <v>36</v>
      </c>
      <c r="D42" s="34" t="s">
        <v>1607</v>
      </c>
      <c r="E42" s="16">
        <f>13*60+59</f>
        <v>839</v>
      </c>
      <c r="F42" s="12"/>
      <c r="G42" s="3" t="s">
        <v>1608</v>
      </c>
      <c r="H42" s="117">
        <f t="shared" si="0"/>
        <v>0.94732824427480911</v>
      </c>
      <c r="M42" s="63">
        <v>1</v>
      </c>
    </row>
    <row r="43" spans="3:13" x14ac:dyDescent="0.25">
      <c r="C43" s="6">
        <v>37</v>
      </c>
      <c r="D43" s="34" t="s">
        <v>1610</v>
      </c>
      <c r="E43" s="16">
        <f>6*60+53</f>
        <v>413</v>
      </c>
      <c r="F43" s="12"/>
      <c r="G43" s="3" t="s">
        <v>1609</v>
      </c>
      <c r="H43" s="117">
        <f t="shared" si="0"/>
        <v>0.96392125351546798</v>
      </c>
      <c r="M43" s="63">
        <v>1</v>
      </c>
    </row>
    <row r="44" spans="3:13" x14ac:dyDescent="0.25">
      <c r="C44" s="6">
        <v>38</v>
      </c>
      <c r="D44" s="34" t="s">
        <v>1612</v>
      </c>
      <c r="E44" s="16">
        <f>4*60+50</f>
        <v>290</v>
      </c>
      <c r="F44" s="12"/>
      <c r="G44" s="3" t="s">
        <v>1611</v>
      </c>
      <c r="H44" s="117">
        <f t="shared" si="0"/>
        <v>0.97557251908396936</v>
      </c>
      <c r="M44" s="63">
        <v>1</v>
      </c>
    </row>
    <row r="45" spans="3:13" x14ac:dyDescent="0.25">
      <c r="C45" s="6">
        <v>39</v>
      </c>
      <c r="D45" s="34" t="s">
        <v>265</v>
      </c>
      <c r="E45" s="16">
        <f>10*60+8</f>
        <v>608</v>
      </c>
      <c r="F45" s="12"/>
      <c r="G45" s="3" t="s">
        <v>1613</v>
      </c>
      <c r="H45" s="117">
        <f t="shared" si="0"/>
        <v>0.99999999999999989</v>
      </c>
      <c r="M45" s="63">
        <v>1</v>
      </c>
    </row>
    <row r="46" spans="3:13" ht="15.75" thickBot="1" x14ac:dyDescent="0.3">
      <c r="C46" s="17"/>
      <c r="D46" s="18"/>
      <c r="E46" s="19">
        <f>SUM(E37:E45)/60</f>
        <v>75.066666666666663</v>
      </c>
      <c r="F46" s="20">
        <f>E46/60</f>
        <v>1.2511111111111111</v>
      </c>
      <c r="G46" s="21"/>
      <c r="H46" s="117"/>
    </row>
    <row r="47" spans="3:13" x14ac:dyDescent="0.25">
      <c r="H47" s="117"/>
    </row>
    <row r="48" spans="3:13" x14ac:dyDescent="0.25">
      <c r="H48" s="117"/>
    </row>
    <row r="49" spans="8:8" x14ac:dyDescent="0.25">
      <c r="H49" s="117"/>
    </row>
    <row r="50" spans="8:8" x14ac:dyDescent="0.25">
      <c r="H50" s="117"/>
    </row>
    <row r="51" spans="8:8" x14ac:dyDescent="0.25">
      <c r="H51" s="117"/>
    </row>
    <row r="52" spans="8:8" x14ac:dyDescent="0.25">
      <c r="H52" s="117"/>
    </row>
    <row r="53" spans="8:8" x14ac:dyDescent="0.25">
      <c r="H53" s="117"/>
    </row>
    <row r="54" spans="8:8" x14ac:dyDescent="0.25">
      <c r="H54" s="117"/>
    </row>
    <row r="55" spans="8:8" x14ac:dyDescent="0.25">
      <c r="H55" s="117"/>
    </row>
    <row r="56" spans="8:8" x14ac:dyDescent="0.25">
      <c r="H56" s="117"/>
    </row>
    <row r="57" spans="8:8" x14ac:dyDescent="0.25">
      <c r="H57" s="117"/>
    </row>
    <row r="58" spans="8:8" x14ac:dyDescent="0.25">
      <c r="H58" s="117"/>
    </row>
    <row r="59" spans="8:8" x14ac:dyDescent="0.25">
      <c r="H59" s="117"/>
    </row>
    <row r="60" spans="8:8" x14ac:dyDescent="0.25">
      <c r="H60" s="117"/>
    </row>
    <row r="61" spans="8:8" x14ac:dyDescent="0.25">
      <c r="H61" s="1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O156"/>
  <sheetViews>
    <sheetView topLeftCell="A7" workbookViewId="0"/>
  </sheetViews>
  <sheetFormatPr defaultRowHeight="15" x14ac:dyDescent="0.25"/>
  <cols>
    <col min="3" max="3" width="6.140625" customWidth="1"/>
    <col min="4" max="4" width="9.140625" style="29"/>
    <col min="7" max="7" width="77.5703125" style="1" customWidth="1"/>
    <col min="8" max="8" width="9.140625" style="92"/>
    <col min="9" max="11" width="4.7109375" style="63" customWidth="1"/>
    <col min="12" max="12" width="5.5703125" style="120" customWidth="1"/>
  </cols>
  <sheetData>
    <row r="1" spans="3:15" x14ac:dyDescent="0.25">
      <c r="G1" s="1">
        <f>SUM(E4:E13)+SUM(E15:E24)+E26</f>
        <v>21780</v>
      </c>
    </row>
    <row r="2" spans="3:15" ht="15.75" thickBot="1" x14ac:dyDescent="0.3">
      <c r="C2" s="1" t="s">
        <v>41</v>
      </c>
      <c r="F2" s="23">
        <f>F14+F25+F27</f>
        <v>6.05</v>
      </c>
    </row>
    <row r="3" spans="3:15" ht="15.75" thickBot="1" x14ac:dyDescent="0.3">
      <c r="C3" s="1"/>
      <c r="F3" s="23"/>
      <c r="I3" s="115" t="s">
        <v>1586</v>
      </c>
      <c r="J3" s="115" t="s">
        <v>1585</v>
      </c>
      <c r="K3" s="115" t="s">
        <v>1582</v>
      </c>
      <c r="M3" s="47" t="s">
        <v>735</v>
      </c>
      <c r="N3" s="48" t="s">
        <v>736</v>
      </c>
      <c r="O3" s="48" t="s">
        <v>1338</v>
      </c>
    </row>
    <row r="4" spans="3:15" x14ac:dyDescent="0.25">
      <c r="C4" s="5">
        <v>1</v>
      </c>
      <c r="D4" s="30" t="s">
        <v>213</v>
      </c>
      <c r="E4" s="14">
        <f>17*60+21</f>
        <v>1041</v>
      </c>
      <c r="F4" s="11"/>
      <c r="G4" s="2" t="s">
        <v>1014</v>
      </c>
      <c r="K4" s="63">
        <v>1</v>
      </c>
      <c r="L4" s="119">
        <f>E4/G1</f>
        <v>4.7796143250688705E-2</v>
      </c>
      <c r="M4" s="150">
        <f>E4</f>
        <v>1041</v>
      </c>
      <c r="N4" s="151">
        <f>M4/60</f>
        <v>17.350000000000001</v>
      </c>
      <c r="O4" s="151">
        <f>N4/60</f>
        <v>0.28916666666666668</v>
      </c>
    </row>
    <row r="5" spans="3:15" x14ac:dyDescent="0.25">
      <c r="C5" s="6">
        <v>2</v>
      </c>
      <c r="D5" s="31" t="s">
        <v>214</v>
      </c>
      <c r="E5" s="15">
        <f>15*60+10</f>
        <v>910</v>
      </c>
      <c r="F5" s="12"/>
      <c r="G5" s="3" t="s">
        <v>1015</v>
      </c>
      <c r="K5" s="63">
        <v>1</v>
      </c>
      <c r="L5" s="119">
        <f t="shared" ref="L5:L13" si="0">(E5/$G$1)+L4</f>
        <v>8.9577594123048665E-2</v>
      </c>
      <c r="M5" s="95">
        <f t="shared" ref="M5:M13" si="1">E5+M4</f>
        <v>1951</v>
      </c>
      <c r="N5" s="104">
        <f t="shared" ref="N5:O26" si="2">M5/60</f>
        <v>32.516666666666666</v>
      </c>
      <c r="O5" s="141">
        <f t="shared" si="2"/>
        <v>0.54194444444444445</v>
      </c>
    </row>
    <row r="6" spans="3:15" x14ac:dyDescent="0.25">
      <c r="C6" s="6">
        <v>3</v>
      </c>
      <c r="D6" s="31" t="s">
        <v>215</v>
      </c>
      <c r="E6" s="15">
        <f>12*60+22</f>
        <v>742</v>
      </c>
      <c r="F6" s="12"/>
      <c r="G6" s="3" t="s">
        <v>1016</v>
      </c>
      <c r="K6" s="63">
        <v>1</v>
      </c>
      <c r="L6" s="119">
        <f t="shared" si="0"/>
        <v>0.1236455463728191</v>
      </c>
      <c r="M6" s="95">
        <f t="shared" si="1"/>
        <v>2693</v>
      </c>
      <c r="N6" s="104">
        <f t="shared" si="2"/>
        <v>44.883333333333333</v>
      </c>
      <c r="O6" s="141">
        <f t="shared" si="2"/>
        <v>0.74805555555555558</v>
      </c>
    </row>
    <row r="7" spans="3:15" x14ac:dyDescent="0.25">
      <c r="C7" s="6">
        <v>4</v>
      </c>
      <c r="D7" s="31" t="s">
        <v>216</v>
      </c>
      <c r="E7" s="15">
        <f>18*60+54</f>
        <v>1134</v>
      </c>
      <c r="F7" s="12"/>
      <c r="G7" s="3" t="s">
        <v>1017</v>
      </c>
      <c r="K7" s="63">
        <v>1</v>
      </c>
      <c r="L7" s="119">
        <f t="shared" si="0"/>
        <v>0.17571166207529845</v>
      </c>
      <c r="M7" s="95">
        <f t="shared" si="1"/>
        <v>3827</v>
      </c>
      <c r="N7" s="104">
        <f t="shared" si="2"/>
        <v>63.783333333333331</v>
      </c>
      <c r="O7" s="141">
        <f t="shared" si="2"/>
        <v>1.0630555555555554</v>
      </c>
    </row>
    <row r="8" spans="3:15" x14ac:dyDescent="0.25">
      <c r="C8" s="6">
        <v>5</v>
      </c>
      <c r="D8" s="31" t="s">
        <v>217</v>
      </c>
      <c r="E8" s="15">
        <f>13*60+39</f>
        <v>819</v>
      </c>
      <c r="F8" s="12"/>
      <c r="G8" s="3" t="s">
        <v>1018</v>
      </c>
      <c r="H8" s="92" t="s">
        <v>901</v>
      </c>
      <c r="K8" s="63">
        <v>1</v>
      </c>
      <c r="L8" s="119">
        <f t="shared" si="0"/>
        <v>0.21331496786042242</v>
      </c>
      <c r="M8" s="95">
        <f t="shared" si="1"/>
        <v>4646</v>
      </c>
      <c r="N8" s="104">
        <f t="shared" si="2"/>
        <v>77.433333333333337</v>
      </c>
      <c r="O8" s="141">
        <f t="shared" si="2"/>
        <v>1.2905555555555557</v>
      </c>
    </row>
    <row r="9" spans="3:15" x14ac:dyDescent="0.25">
      <c r="C9" s="6">
        <v>6</v>
      </c>
      <c r="D9" s="31" t="s">
        <v>218</v>
      </c>
      <c r="E9" s="15">
        <f>16*60+59</f>
        <v>1019</v>
      </c>
      <c r="F9" s="12"/>
      <c r="G9" s="3" t="s">
        <v>1019</v>
      </c>
      <c r="J9" s="63">
        <v>1</v>
      </c>
      <c r="L9" s="119">
        <f t="shared" si="0"/>
        <v>0.26010101010101011</v>
      </c>
      <c r="M9" s="95">
        <f t="shared" si="1"/>
        <v>5665</v>
      </c>
      <c r="N9" s="104">
        <f t="shared" si="2"/>
        <v>94.416666666666671</v>
      </c>
      <c r="O9" s="141">
        <f t="shared" si="2"/>
        <v>1.5736111111111113</v>
      </c>
    </row>
    <row r="10" spans="3:15" x14ac:dyDescent="0.25">
      <c r="C10" s="6">
        <v>7</v>
      </c>
      <c r="D10" s="31" t="s">
        <v>219</v>
      </c>
      <c r="E10" s="15">
        <f>20*60+13</f>
        <v>1213</v>
      </c>
      <c r="F10" s="12"/>
      <c r="G10" s="3" t="s">
        <v>1020</v>
      </c>
      <c r="J10" s="63">
        <v>1</v>
      </c>
      <c r="L10" s="119">
        <f t="shared" si="0"/>
        <v>0.31579430670339764</v>
      </c>
      <c r="M10" s="95">
        <f t="shared" si="1"/>
        <v>6878</v>
      </c>
      <c r="N10" s="104">
        <f t="shared" si="2"/>
        <v>114.63333333333334</v>
      </c>
      <c r="O10" s="141">
        <f t="shared" si="2"/>
        <v>1.9105555555555556</v>
      </c>
    </row>
    <row r="11" spans="3:15" x14ac:dyDescent="0.25">
      <c r="C11" s="6">
        <v>8</v>
      </c>
      <c r="D11" s="31" t="s">
        <v>220</v>
      </c>
      <c r="E11" s="15">
        <f>20*60+12</f>
        <v>1212</v>
      </c>
      <c r="F11" s="12"/>
      <c r="G11" s="3" t="s">
        <v>1021</v>
      </c>
      <c r="J11" s="63">
        <v>1</v>
      </c>
      <c r="L11" s="119">
        <f t="shared" si="0"/>
        <v>0.37144168962350782</v>
      </c>
      <c r="M11" s="95">
        <f t="shared" si="1"/>
        <v>8090</v>
      </c>
      <c r="N11" s="104">
        <f t="shared" si="2"/>
        <v>134.83333333333334</v>
      </c>
      <c r="O11" s="141">
        <f t="shared" si="2"/>
        <v>2.2472222222222222</v>
      </c>
    </row>
    <row r="12" spans="3:15" x14ac:dyDescent="0.25">
      <c r="C12" s="6">
        <v>9</v>
      </c>
      <c r="D12" s="31" t="s">
        <v>221</v>
      </c>
      <c r="E12" s="15">
        <f>10*60+55</f>
        <v>655</v>
      </c>
      <c r="F12" s="12"/>
      <c r="G12" s="3" t="s">
        <v>1022</v>
      </c>
      <c r="H12" s="92" t="s">
        <v>902</v>
      </c>
      <c r="J12" s="63">
        <v>1</v>
      </c>
      <c r="L12" s="119">
        <f t="shared" si="0"/>
        <v>0.40151515151515155</v>
      </c>
      <c r="M12" s="95">
        <f t="shared" si="1"/>
        <v>8745</v>
      </c>
      <c r="N12" s="104">
        <f t="shared" si="2"/>
        <v>145.75</v>
      </c>
      <c r="O12" s="141">
        <f t="shared" si="2"/>
        <v>2.4291666666666667</v>
      </c>
    </row>
    <row r="13" spans="3:15" x14ac:dyDescent="0.25">
      <c r="C13" s="6">
        <v>10</v>
      </c>
      <c r="D13" s="31" t="s">
        <v>222</v>
      </c>
      <c r="E13" s="15">
        <f>17*60+29</f>
        <v>1049</v>
      </c>
      <c r="F13" s="12"/>
      <c r="G13" s="3" t="s">
        <v>1023</v>
      </c>
      <c r="J13" s="63">
        <v>1</v>
      </c>
      <c r="L13" s="119">
        <f t="shared" si="0"/>
        <v>0.44967860422405881</v>
      </c>
      <c r="M13" s="95">
        <f t="shared" si="1"/>
        <v>9794</v>
      </c>
      <c r="N13" s="104">
        <f t="shared" si="2"/>
        <v>163.23333333333332</v>
      </c>
      <c r="O13" s="141">
        <f t="shared" si="2"/>
        <v>2.7205555555555554</v>
      </c>
    </row>
    <row r="14" spans="3:15" ht="15.75" thickBot="1" x14ac:dyDescent="0.3">
      <c r="C14" s="17"/>
      <c r="D14" s="32"/>
      <c r="E14" s="19">
        <f>SUM(E4:E13)/60</f>
        <v>163.23333333333332</v>
      </c>
      <c r="F14" s="20">
        <f>E14/60</f>
        <v>2.7205555555555554</v>
      </c>
      <c r="G14" s="21"/>
      <c r="L14" s="119"/>
      <c r="M14" s="95"/>
      <c r="N14" s="104"/>
      <c r="O14" s="141"/>
    </row>
    <row r="15" spans="3:15" x14ac:dyDescent="0.25">
      <c r="C15" s="7">
        <v>11</v>
      </c>
      <c r="D15" s="33" t="s">
        <v>316</v>
      </c>
      <c r="E15" s="16">
        <f>10*60+39</f>
        <v>639</v>
      </c>
      <c r="F15" s="13"/>
      <c r="G15" s="4" t="s">
        <v>668</v>
      </c>
      <c r="J15" s="63">
        <v>1</v>
      </c>
      <c r="L15" s="119">
        <f>(E15/$G$1)+L13</f>
        <v>0.47901744719926542</v>
      </c>
      <c r="M15" s="95">
        <f>E15+M13</f>
        <v>10433</v>
      </c>
      <c r="N15" s="104">
        <f t="shared" si="2"/>
        <v>173.88333333333333</v>
      </c>
      <c r="O15" s="141">
        <f t="shared" si="2"/>
        <v>2.8980555555555556</v>
      </c>
    </row>
    <row r="16" spans="3:15" x14ac:dyDescent="0.25">
      <c r="C16" s="6">
        <v>12</v>
      </c>
      <c r="D16" s="31" t="s">
        <v>670</v>
      </c>
      <c r="E16" s="15">
        <f>18*60+44</f>
        <v>1124</v>
      </c>
      <c r="F16" s="12"/>
      <c r="G16" s="3" t="s">
        <v>669</v>
      </c>
      <c r="H16" s="92" t="s">
        <v>904</v>
      </c>
      <c r="J16" s="63">
        <v>1</v>
      </c>
      <c r="L16" s="119">
        <f t="shared" ref="L16:L24" si="3">(E16/$G$1)+L15</f>
        <v>0.53062442607897153</v>
      </c>
      <c r="M16" s="95">
        <f t="shared" ref="M16:M24" si="4">E16+M15</f>
        <v>11557</v>
      </c>
      <c r="N16" s="104">
        <f t="shared" si="2"/>
        <v>192.61666666666667</v>
      </c>
      <c r="O16" s="141">
        <f t="shared" si="2"/>
        <v>3.2102777777777778</v>
      </c>
    </row>
    <row r="17" spans="3:15" x14ac:dyDescent="0.25">
      <c r="C17" s="6">
        <v>13</v>
      </c>
      <c r="D17" s="31" t="s">
        <v>672</v>
      </c>
      <c r="E17" s="15">
        <f>26*60+29</f>
        <v>1589</v>
      </c>
      <c r="F17" s="12"/>
      <c r="G17" s="3" t="s">
        <v>671</v>
      </c>
      <c r="J17" s="63">
        <v>1</v>
      </c>
      <c r="L17" s="119">
        <f t="shared" si="3"/>
        <v>0.60358126721763083</v>
      </c>
      <c r="M17" s="95">
        <f t="shared" si="4"/>
        <v>13146</v>
      </c>
      <c r="N17" s="104">
        <f t="shared" si="2"/>
        <v>219.1</v>
      </c>
      <c r="O17" s="141">
        <f t="shared" si="2"/>
        <v>3.6516666666666664</v>
      </c>
    </row>
    <row r="18" spans="3:15" x14ac:dyDescent="0.25">
      <c r="C18" s="6">
        <v>14</v>
      </c>
      <c r="D18" s="31" t="s">
        <v>674</v>
      </c>
      <c r="E18" s="15">
        <f>9*60+36</f>
        <v>576</v>
      </c>
      <c r="F18" s="12"/>
      <c r="G18" s="3" t="s">
        <v>673</v>
      </c>
      <c r="H18" s="92" t="s">
        <v>903</v>
      </c>
      <c r="J18" s="63">
        <v>1</v>
      </c>
      <c r="L18" s="119">
        <f t="shared" si="3"/>
        <v>0.63002754820936635</v>
      </c>
      <c r="M18" s="95">
        <f t="shared" si="4"/>
        <v>13722</v>
      </c>
      <c r="N18" s="104">
        <f t="shared" si="2"/>
        <v>228.7</v>
      </c>
      <c r="O18" s="141">
        <f t="shared" si="2"/>
        <v>3.8116666666666665</v>
      </c>
    </row>
    <row r="19" spans="3:15" x14ac:dyDescent="0.25">
      <c r="C19" s="6">
        <v>15</v>
      </c>
      <c r="D19" s="31" t="s">
        <v>676</v>
      </c>
      <c r="E19" s="15">
        <f>41*60+41</f>
        <v>2501</v>
      </c>
      <c r="F19" s="12"/>
      <c r="G19" s="3" t="s">
        <v>675</v>
      </c>
      <c r="J19" s="63">
        <v>1</v>
      </c>
      <c r="L19" s="119">
        <f t="shared" si="3"/>
        <v>0.74485766758494032</v>
      </c>
      <c r="M19" s="95">
        <f t="shared" si="4"/>
        <v>16223</v>
      </c>
      <c r="N19" s="104">
        <f t="shared" si="2"/>
        <v>270.38333333333333</v>
      </c>
      <c r="O19" s="141">
        <f t="shared" si="2"/>
        <v>4.506388888888889</v>
      </c>
    </row>
    <row r="20" spans="3:15" x14ac:dyDescent="0.25">
      <c r="C20" s="6">
        <v>16</v>
      </c>
      <c r="D20" s="31" t="s">
        <v>678</v>
      </c>
      <c r="E20" s="15">
        <f>20*60+44</f>
        <v>1244</v>
      </c>
      <c r="F20" s="12"/>
      <c r="G20" s="3" t="s">
        <v>677</v>
      </c>
      <c r="J20" s="63">
        <v>1</v>
      </c>
      <c r="L20" s="119">
        <f t="shared" si="3"/>
        <v>0.80197428833792472</v>
      </c>
      <c r="M20" s="95">
        <f t="shared" si="4"/>
        <v>17467</v>
      </c>
      <c r="N20" s="104">
        <f t="shared" si="2"/>
        <v>291.11666666666667</v>
      </c>
      <c r="O20" s="141">
        <f t="shared" si="2"/>
        <v>4.8519444444444444</v>
      </c>
    </row>
    <row r="21" spans="3:15" x14ac:dyDescent="0.25">
      <c r="C21" s="6">
        <v>17</v>
      </c>
      <c r="D21" s="31" t="s">
        <v>680</v>
      </c>
      <c r="E21" s="15">
        <f>23*60+41</f>
        <v>1421</v>
      </c>
      <c r="F21" s="12"/>
      <c r="G21" s="3" t="s">
        <v>679</v>
      </c>
      <c r="I21" s="63">
        <v>1</v>
      </c>
      <c r="L21" s="119">
        <f t="shared" si="3"/>
        <v>0.8672176308539945</v>
      </c>
      <c r="M21" s="95">
        <f t="shared" si="4"/>
        <v>18888</v>
      </c>
      <c r="N21" s="104">
        <f t="shared" si="2"/>
        <v>314.8</v>
      </c>
      <c r="O21" s="141">
        <f t="shared" si="2"/>
        <v>5.246666666666667</v>
      </c>
    </row>
    <row r="22" spans="3:15" x14ac:dyDescent="0.25">
      <c r="C22" s="6">
        <v>18</v>
      </c>
      <c r="D22" s="31" t="s">
        <v>682</v>
      </c>
      <c r="E22" s="15">
        <f>11*60+58</f>
        <v>718</v>
      </c>
      <c r="F22" s="12"/>
      <c r="G22" s="3" t="s">
        <v>681</v>
      </c>
      <c r="H22" s="92" t="s">
        <v>906</v>
      </c>
      <c r="I22" s="63">
        <v>1</v>
      </c>
      <c r="L22" s="119">
        <f t="shared" si="3"/>
        <v>0.90018365472910933</v>
      </c>
      <c r="M22" s="95">
        <f t="shared" si="4"/>
        <v>19606</v>
      </c>
      <c r="N22" s="104">
        <f t="shared" si="2"/>
        <v>326.76666666666665</v>
      </c>
      <c r="O22" s="141">
        <f t="shared" si="2"/>
        <v>5.4461111111111107</v>
      </c>
    </row>
    <row r="23" spans="3:15" x14ac:dyDescent="0.25">
      <c r="C23" s="6">
        <v>19</v>
      </c>
      <c r="D23" s="31" t="s">
        <v>684</v>
      </c>
      <c r="E23" s="15">
        <f>9*60+34</f>
        <v>574</v>
      </c>
      <c r="F23" s="12"/>
      <c r="G23" s="3" t="s">
        <v>685</v>
      </c>
      <c r="I23" s="63">
        <v>1</v>
      </c>
      <c r="L23" s="119">
        <f t="shared" si="3"/>
        <v>0.92653810835629025</v>
      </c>
      <c r="M23" s="95">
        <f t="shared" si="4"/>
        <v>20180</v>
      </c>
      <c r="N23" s="104">
        <f t="shared" si="2"/>
        <v>336.33333333333331</v>
      </c>
      <c r="O23" s="141">
        <f t="shared" si="2"/>
        <v>5.6055555555555552</v>
      </c>
    </row>
    <row r="24" spans="3:15" x14ac:dyDescent="0.25">
      <c r="C24" s="6">
        <v>20</v>
      </c>
      <c r="D24" s="31" t="s">
        <v>686</v>
      </c>
      <c r="E24" s="15">
        <f>10*60+25</f>
        <v>625</v>
      </c>
      <c r="F24" s="12"/>
      <c r="G24" s="3" t="s">
        <v>683</v>
      </c>
      <c r="I24" s="63">
        <v>1</v>
      </c>
      <c r="L24" s="119">
        <f t="shared" si="3"/>
        <v>0.95523415977961434</v>
      </c>
      <c r="M24" s="95">
        <f t="shared" si="4"/>
        <v>20805</v>
      </c>
      <c r="N24" s="104">
        <f t="shared" si="2"/>
        <v>346.75</v>
      </c>
      <c r="O24" s="141">
        <f t="shared" si="2"/>
        <v>5.7791666666666668</v>
      </c>
    </row>
    <row r="25" spans="3:15" ht="15.75" thickBot="1" x14ac:dyDescent="0.3">
      <c r="C25" s="17"/>
      <c r="D25" s="32"/>
      <c r="E25" s="19">
        <f>SUM(E15:E24)/60</f>
        <v>183.51666666666668</v>
      </c>
      <c r="F25" s="20">
        <f>E25/60</f>
        <v>3.0586111111111114</v>
      </c>
      <c r="G25" s="21"/>
      <c r="L25" s="119"/>
      <c r="M25" s="95"/>
      <c r="N25" s="104"/>
      <c r="O25" s="141"/>
    </row>
    <row r="26" spans="3:15" ht="15.75" thickBot="1" x14ac:dyDescent="0.3">
      <c r="C26" s="5">
        <v>21</v>
      </c>
      <c r="D26" s="30" t="s">
        <v>688</v>
      </c>
      <c r="E26" s="14">
        <f>16*60+15</f>
        <v>975</v>
      </c>
      <c r="F26" s="11"/>
      <c r="G26" s="2" t="s">
        <v>687</v>
      </c>
      <c r="I26" s="63">
        <v>1</v>
      </c>
      <c r="L26" s="119">
        <f>(E26/$G$1)+L24</f>
        <v>1</v>
      </c>
      <c r="M26" s="152">
        <f>E26+M24</f>
        <v>21780</v>
      </c>
      <c r="N26" s="153">
        <f t="shared" si="2"/>
        <v>363</v>
      </c>
      <c r="O26" s="154">
        <f t="shared" si="2"/>
        <v>6.05</v>
      </c>
    </row>
    <row r="27" spans="3:15" ht="15.75" thickBot="1" x14ac:dyDescent="0.3">
      <c r="C27" s="17"/>
      <c r="D27" s="32"/>
      <c r="E27" s="19">
        <f>E26/60</f>
        <v>16.25</v>
      </c>
      <c r="F27" s="20">
        <f>E27/60</f>
        <v>0.27083333333333331</v>
      </c>
      <c r="G27" s="21"/>
      <c r="L27" s="144"/>
      <c r="M27" s="145"/>
      <c r="N27" s="146"/>
      <c r="O27" s="146"/>
    </row>
    <row r="28" spans="3:15" x14ac:dyDescent="0.25">
      <c r="L28" s="144"/>
      <c r="M28" s="145"/>
      <c r="N28" s="146"/>
      <c r="O28" s="146"/>
    </row>
    <row r="29" spans="3:15" x14ac:dyDescent="0.25">
      <c r="L29" s="144"/>
      <c r="M29" s="145"/>
      <c r="N29" s="146"/>
      <c r="O29" s="146"/>
    </row>
    <row r="30" spans="3:15" x14ac:dyDescent="0.25">
      <c r="L30" s="144"/>
      <c r="M30" s="145"/>
      <c r="N30" s="146"/>
      <c r="O30" s="146"/>
    </row>
    <row r="31" spans="3:15" x14ac:dyDescent="0.25">
      <c r="L31" s="144"/>
      <c r="M31" s="145"/>
      <c r="N31" s="146"/>
      <c r="O31" s="146"/>
    </row>
    <row r="32" spans="3:15" x14ac:dyDescent="0.25">
      <c r="L32" s="144"/>
      <c r="M32" s="145"/>
      <c r="N32" s="146"/>
      <c r="O32" s="146"/>
    </row>
    <row r="33" spans="12:15" x14ac:dyDescent="0.25">
      <c r="L33" s="144"/>
      <c r="M33" s="145"/>
      <c r="N33" s="146"/>
      <c r="O33" s="146"/>
    </row>
    <row r="34" spans="12:15" x14ac:dyDescent="0.25">
      <c r="L34" s="144"/>
      <c r="M34" s="145"/>
      <c r="N34" s="146"/>
      <c r="O34" s="146"/>
    </row>
    <row r="35" spans="12:15" x14ac:dyDescent="0.25">
      <c r="L35" s="144"/>
      <c r="M35" s="145"/>
      <c r="N35" s="146"/>
      <c r="O35" s="146"/>
    </row>
    <row r="36" spans="12:15" x14ac:dyDescent="0.25">
      <c r="L36" s="144"/>
      <c r="M36" s="145"/>
      <c r="N36" s="146"/>
      <c r="O36" s="146"/>
    </row>
    <row r="37" spans="12:15" x14ac:dyDescent="0.25">
      <c r="L37" s="144"/>
      <c r="M37" s="147"/>
      <c r="N37" s="146"/>
      <c r="O37" s="146"/>
    </row>
    <row r="38" spans="12:15" x14ac:dyDescent="0.25">
      <c r="L38" s="144"/>
      <c r="M38" s="147"/>
      <c r="N38" s="146"/>
      <c r="O38" s="146"/>
    </row>
    <row r="39" spans="12:15" x14ac:dyDescent="0.25">
      <c r="L39" s="144"/>
      <c r="M39" s="147"/>
      <c r="N39" s="146"/>
      <c r="O39" s="146"/>
    </row>
    <row r="40" spans="12:15" x14ac:dyDescent="0.25">
      <c r="L40" s="144"/>
      <c r="M40" s="147"/>
      <c r="N40" s="146"/>
      <c r="O40" s="146"/>
    </row>
    <row r="41" spans="12:15" x14ac:dyDescent="0.25">
      <c r="L41" s="144"/>
      <c r="M41" s="147"/>
      <c r="N41" s="146"/>
      <c r="O41" s="146"/>
    </row>
    <row r="42" spans="12:15" x14ac:dyDescent="0.25">
      <c r="L42" s="144"/>
      <c r="M42" s="147"/>
      <c r="N42" s="146"/>
      <c r="O42" s="146"/>
    </row>
    <row r="43" spans="12:15" x14ac:dyDescent="0.25">
      <c r="L43" s="144"/>
      <c r="M43" s="147"/>
      <c r="N43" s="146"/>
      <c r="O43" s="146"/>
    </row>
    <row r="44" spans="12:15" x14ac:dyDescent="0.25">
      <c r="L44" s="144"/>
      <c r="M44" s="147"/>
      <c r="N44" s="146"/>
      <c r="O44" s="146"/>
    </row>
    <row r="45" spans="12:15" x14ac:dyDescent="0.25">
      <c r="L45" s="144"/>
      <c r="M45" s="147"/>
      <c r="N45" s="146"/>
      <c r="O45" s="146"/>
    </row>
    <row r="46" spans="12:15" x14ac:dyDescent="0.25">
      <c r="L46" s="144"/>
      <c r="M46" s="147"/>
      <c r="N46" s="146"/>
      <c r="O46" s="146"/>
    </row>
    <row r="47" spans="12:15" x14ac:dyDescent="0.25">
      <c r="L47" s="144"/>
      <c r="M47" s="147"/>
      <c r="N47" s="146"/>
      <c r="O47" s="146"/>
    </row>
    <row r="48" spans="12:15" x14ac:dyDescent="0.25">
      <c r="L48" s="144"/>
      <c r="M48" s="145"/>
      <c r="N48" s="146"/>
      <c r="O48" s="146"/>
    </row>
    <row r="49" spans="12:15" x14ac:dyDescent="0.25">
      <c r="L49" s="144"/>
      <c r="M49" s="145"/>
      <c r="N49" s="146"/>
      <c r="O49" s="146"/>
    </row>
    <row r="50" spans="12:15" x14ac:dyDescent="0.25">
      <c r="L50" s="144"/>
      <c r="M50" s="145"/>
      <c r="N50" s="146"/>
      <c r="O50" s="146"/>
    </row>
    <row r="51" spans="12:15" x14ac:dyDescent="0.25">
      <c r="L51" s="144"/>
      <c r="M51" s="145"/>
      <c r="N51" s="146"/>
      <c r="O51" s="146"/>
    </row>
    <row r="52" spans="12:15" x14ac:dyDescent="0.25">
      <c r="L52" s="144"/>
      <c r="M52" s="145"/>
      <c r="N52" s="146"/>
      <c r="O52" s="146"/>
    </row>
    <row r="53" spans="12:15" x14ac:dyDescent="0.25">
      <c r="L53" s="144"/>
      <c r="M53" s="145"/>
      <c r="N53" s="146"/>
      <c r="O53" s="146"/>
    </row>
    <row r="54" spans="12:15" x14ac:dyDescent="0.25">
      <c r="L54" s="144"/>
      <c r="M54" s="145"/>
      <c r="N54" s="146"/>
      <c r="O54" s="146"/>
    </row>
    <row r="55" spans="12:15" x14ac:dyDescent="0.25">
      <c r="L55" s="144"/>
      <c r="M55" s="145"/>
      <c r="N55" s="146"/>
      <c r="O55" s="146"/>
    </row>
    <row r="56" spans="12:15" x14ac:dyDescent="0.25">
      <c r="L56" s="144"/>
      <c r="M56" s="145"/>
      <c r="N56" s="146"/>
      <c r="O56" s="146"/>
    </row>
    <row r="57" spans="12:15" x14ac:dyDescent="0.25">
      <c r="L57" s="144"/>
      <c r="M57" s="145"/>
      <c r="N57" s="146"/>
      <c r="O57" s="146"/>
    </row>
    <row r="58" spans="12:15" x14ac:dyDescent="0.25">
      <c r="L58" s="144"/>
      <c r="M58" s="145"/>
      <c r="N58" s="146"/>
      <c r="O58" s="146"/>
    </row>
    <row r="59" spans="12:15" x14ac:dyDescent="0.25">
      <c r="L59" s="144"/>
      <c r="M59" s="145"/>
      <c r="N59" s="146"/>
      <c r="O59" s="146"/>
    </row>
    <row r="60" spans="12:15" x14ac:dyDescent="0.25">
      <c r="L60" s="144"/>
      <c r="M60" s="145"/>
      <c r="N60" s="146"/>
      <c r="O60" s="146"/>
    </row>
    <row r="61" spans="12:15" x14ac:dyDescent="0.25">
      <c r="L61" s="144"/>
      <c r="M61" s="145"/>
      <c r="N61" s="146"/>
      <c r="O61" s="146"/>
    </row>
    <row r="62" spans="12:15" x14ac:dyDescent="0.25">
      <c r="L62" s="144"/>
      <c r="M62" s="145"/>
      <c r="N62" s="146"/>
      <c r="O62" s="146"/>
    </row>
    <row r="63" spans="12:15" x14ac:dyDescent="0.25">
      <c r="L63" s="144"/>
      <c r="M63" s="145"/>
      <c r="N63" s="146"/>
      <c r="O63" s="146"/>
    </row>
    <row r="64" spans="12:15" x14ac:dyDescent="0.25">
      <c r="L64" s="144"/>
      <c r="M64" s="145"/>
      <c r="N64" s="146"/>
      <c r="O64" s="146"/>
    </row>
    <row r="65" spans="12:15" x14ac:dyDescent="0.25">
      <c r="L65" s="144"/>
      <c r="M65" s="145"/>
      <c r="N65" s="146"/>
      <c r="O65" s="146"/>
    </row>
    <row r="66" spans="12:15" x14ac:dyDescent="0.25">
      <c r="L66" s="144"/>
      <c r="M66" s="145"/>
      <c r="N66" s="146"/>
      <c r="O66" s="146"/>
    </row>
    <row r="67" spans="12:15" x14ac:dyDescent="0.25">
      <c r="L67" s="144"/>
      <c r="M67" s="145"/>
      <c r="N67" s="146"/>
      <c r="O67" s="146"/>
    </row>
    <row r="68" spans="12:15" x14ac:dyDescent="0.25">
      <c r="L68" s="144"/>
      <c r="M68" s="145"/>
      <c r="N68" s="146"/>
      <c r="O68" s="146"/>
    </row>
    <row r="69" spans="12:15" x14ac:dyDescent="0.25">
      <c r="L69" s="144"/>
      <c r="M69" s="145"/>
      <c r="N69" s="146"/>
      <c r="O69" s="146"/>
    </row>
    <row r="70" spans="12:15" x14ac:dyDescent="0.25">
      <c r="L70" s="144"/>
      <c r="M70" s="145"/>
      <c r="N70" s="146"/>
      <c r="O70" s="146"/>
    </row>
    <row r="71" spans="12:15" x14ac:dyDescent="0.25">
      <c r="L71" s="144"/>
      <c r="M71" s="145"/>
      <c r="N71" s="146"/>
      <c r="O71" s="146"/>
    </row>
    <row r="72" spans="12:15" x14ac:dyDescent="0.25">
      <c r="L72" s="144"/>
      <c r="M72" s="145"/>
      <c r="N72" s="146"/>
      <c r="O72" s="146"/>
    </row>
    <row r="73" spans="12:15" x14ac:dyDescent="0.25">
      <c r="L73" s="144"/>
      <c r="M73" s="145"/>
      <c r="N73" s="146"/>
      <c r="O73" s="146"/>
    </row>
    <row r="74" spans="12:15" x14ac:dyDescent="0.25">
      <c r="L74" s="144"/>
      <c r="M74" s="145"/>
      <c r="N74" s="146"/>
      <c r="O74" s="146"/>
    </row>
    <row r="75" spans="12:15" x14ac:dyDescent="0.25">
      <c r="L75" s="144"/>
      <c r="M75" s="145"/>
      <c r="N75" s="146"/>
      <c r="O75" s="146"/>
    </row>
    <row r="76" spans="12:15" x14ac:dyDescent="0.25">
      <c r="L76" s="144"/>
      <c r="M76" s="145"/>
      <c r="N76" s="146"/>
      <c r="O76" s="146"/>
    </row>
    <row r="77" spans="12:15" x14ac:dyDescent="0.25">
      <c r="L77" s="144"/>
      <c r="M77" s="145"/>
      <c r="N77" s="146"/>
      <c r="O77" s="146"/>
    </row>
    <row r="78" spans="12:15" x14ac:dyDescent="0.25">
      <c r="L78" s="144"/>
      <c r="M78" s="145"/>
      <c r="N78" s="146"/>
      <c r="O78" s="146"/>
    </row>
    <row r="79" spans="12:15" x14ac:dyDescent="0.25">
      <c r="L79" s="144"/>
      <c r="M79" s="145"/>
      <c r="N79" s="146"/>
      <c r="O79" s="146"/>
    </row>
    <row r="80" spans="12:15" x14ac:dyDescent="0.25">
      <c r="L80" s="144"/>
      <c r="M80" s="145"/>
      <c r="N80" s="146"/>
      <c r="O80" s="146"/>
    </row>
    <row r="81" spans="12:15" x14ac:dyDescent="0.25">
      <c r="L81" s="144"/>
      <c r="M81" s="145"/>
      <c r="N81" s="146"/>
      <c r="O81" s="146"/>
    </row>
    <row r="82" spans="12:15" x14ac:dyDescent="0.25">
      <c r="L82" s="144"/>
      <c r="M82" s="145"/>
      <c r="N82" s="146"/>
      <c r="O82" s="146"/>
    </row>
    <row r="83" spans="12:15" x14ac:dyDescent="0.25">
      <c r="L83" s="144"/>
      <c r="M83" s="145"/>
      <c r="N83" s="146"/>
      <c r="O83" s="146"/>
    </row>
    <row r="84" spans="12:15" x14ac:dyDescent="0.25">
      <c r="L84" s="144"/>
      <c r="M84" s="145"/>
      <c r="N84" s="146"/>
      <c r="O84" s="146"/>
    </row>
    <row r="85" spans="12:15" x14ac:dyDescent="0.25">
      <c r="L85" s="144"/>
      <c r="M85" s="145"/>
      <c r="N85" s="146"/>
      <c r="O85" s="146"/>
    </row>
    <row r="86" spans="12:15" x14ac:dyDescent="0.25">
      <c r="L86" s="144"/>
      <c r="M86" s="145"/>
      <c r="N86" s="146"/>
      <c r="O86" s="146"/>
    </row>
    <row r="87" spans="12:15" x14ac:dyDescent="0.25">
      <c r="L87" s="144"/>
      <c r="M87" s="145"/>
      <c r="N87" s="146"/>
      <c r="O87" s="146"/>
    </row>
    <row r="88" spans="12:15" x14ac:dyDescent="0.25">
      <c r="L88" s="144"/>
      <c r="M88" s="145"/>
      <c r="N88" s="146"/>
      <c r="O88" s="146"/>
    </row>
    <row r="89" spans="12:15" x14ac:dyDescent="0.25">
      <c r="L89" s="144"/>
      <c r="M89" s="145"/>
      <c r="N89" s="146"/>
      <c r="O89" s="146"/>
    </row>
    <row r="90" spans="12:15" x14ac:dyDescent="0.25">
      <c r="L90" s="144"/>
      <c r="M90" s="145"/>
      <c r="N90" s="146"/>
      <c r="O90" s="146"/>
    </row>
    <row r="91" spans="12:15" x14ac:dyDescent="0.25">
      <c r="L91" s="144"/>
      <c r="M91" s="145"/>
      <c r="N91" s="146"/>
      <c r="O91" s="146"/>
    </row>
    <row r="92" spans="12:15" x14ac:dyDescent="0.25">
      <c r="L92" s="144"/>
      <c r="M92" s="145"/>
      <c r="N92" s="146"/>
      <c r="O92" s="146"/>
    </row>
    <row r="93" spans="12:15" x14ac:dyDescent="0.25">
      <c r="L93" s="144"/>
      <c r="M93" s="145"/>
      <c r="N93" s="146"/>
      <c r="O93" s="146"/>
    </row>
    <row r="94" spans="12:15" x14ac:dyDescent="0.25">
      <c r="L94" s="144"/>
      <c r="M94" s="145"/>
      <c r="N94" s="146"/>
      <c r="O94" s="146"/>
    </row>
    <row r="95" spans="12:15" x14ac:dyDescent="0.25">
      <c r="L95" s="144"/>
      <c r="M95" s="145"/>
      <c r="N95" s="146"/>
      <c r="O95" s="146"/>
    </row>
    <row r="96" spans="12:15" x14ac:dyDescent="0.25">
      <c r="L96" s="144"/>
      <c r="M96" s="145"/>
      <c r="N96" s="146"/>
      <c r="O96" s="146"/>
    </row>
    <row r="97" spans="12:15" x14ac:dyDescent="0.25">
      <c r="L97" s="144"/>
      <c r="M97" s="145"/>
      <c r="N97" s="146"/>
      <c r="O97" s="146"/>
    </row>
    <row r="98" spans="12:15" x14ac:dyDescent="0.25">
      <c r="L98" s="144"/>
      <c r="M98" s="145"/>
      <c r="N98" s="146"/>
      <c r="O98" s="146"/>
    </row>
    <row r="99" spans="12:15" x14ac:dyDescent="0.25">
      <c r="L99" s="144"/>
      <c r="M99" s="145"/>
      <c r="N99" s="146"/>
      <c r="O99" s="146"/>
    </row>
    <row r="100" spans="12:15" x14ac:dyDescent="0.25">
      <c r="L100" s="144"/>
      <c r="M100" s="145"/>
      <c r="N100" s="146"/>
      <c r="O100" s="146"/>
    </row>
    <row r="101" spans="12:15" x14ac:dyDescent="0.25">
      <c r="L101" s="144"/>
      <c r="M101" s="145"/>
      <c r="N101" s="146"/>
      <c r="O101" s="146"/>
    </row>
    <row r="102" spans="12:15" x14ac:dyDescent="0.25">
      <c r="L102" s="144"/>
      <c r="M102" s="145"/>
      <c r="N102" s="146"/>
      <c r="O102" s="146"/>
    </row>
    <row r="103" spans="12:15" x14ac:dyDescent="0.25">
      <c r="L103" s="144"/>
      <c r="M103" s="145"/>
      <c r="N103" s="146"/>
      <c r="O103" s="146"/>
    </row>
    <row r="104" spans="12:15" x14ac:dyDescent="0.25">
      <c r="L104" s="144"/>
      <c r="M104" s="145"/>
      <c r="N104" s="146"/>
      <c r="O104" s="146"/>
    </row>
    <row r="105" spans="12:15" x14ac:dyDescent="0.25">
      <c r="L105" s="144"/>
      <c r="M105" s="145"/>
      <c r="N105" s="146"/>
      <c r="O105" s="146"/>
    </row>
    <row r="106" spans="12:15" x14ac:dyDescent="0.25">
      <c r="L106" s="144"/>
      <c r="M106" s="145"/>
      <c r="N106" s="146"/>
      <c r="O106" s="146"/>
    </row>
    <row r="107" spans="12:15" x14ac:dyDescent="0.25">
      <c r="L107" s="144"/>
      <c r="M107" s="145"/>
      <c r="N107" s="146"/>
      <c r="O107" s="146"/>
    </row>
    <row r="108" spans="12:15" x14ac:dyDescent="0.25">
      <c r="L108" s="144"/>
      <c r="M108" s="145"/>
      <c r="N108" s="146"/>
      <c r="O108" s="146"/>
    </row>
    <row r="109" spans="12:15" x14ac:dyDescent="0.25">
      <c r="L109" s="144"/>
      <c r="M109" s="145"/>
      <c r="N109" s="146"/>
      <c r="O109" s="146"/>
    </row>
    <row r="110" spans="12:15" x14ac:dyDescent="0.25">
      <c r="L110" s="144"/>
      <c r="M110" s="145"/>
      <c r="N110" s="146"/>
      <c r="O110" s="146"/>
    </row>
    <row r="111" spans="12:15" x14ac:dyDescent="0.25">
      <c r="L111" s="144"/>
      <c r="M111" s="145"/>
      <c r="N111" s="146"/>
      <c r="O111" s="146"/>
    </row>
    <row r="112" spans="12:15" x14ac:dyDescent="0.25">
      <c r="L112" s="144"/>
      <c r="M112" s="145"/>
      <c r="N112" s="146"/>
      <c r="O112" s="146"/>
    </row>
    <row r="113" spans="12:15" x14ac:dyDescent="0.25">
      <c r="L113" s="144"/>
      <c r="M113" s="145"/>
      <c r="N113" s="146"/>
      <c r="O113" s="146"/>
    </row>
    <row r="114" spans="12:15" x14ac:dyDescent="0.25">
      <c r="L114" s="148"/>
      <c r="M114" s="145"/>
      <c r="N114" s="146"/>
      <c r="O114" s="146"/>
    </row>
    <row r="115" spans="12:15" x14ac:dyDescent="0.25">
      <c r="L115" s="144"/>
      <c r="M115" s="145"/>
      <c r="N115" s="146"/>
      <c r="O115" s="146"/>
    </row>
    <row r="116" spans="12:15" x14ac:dyDescent="0.25">
      <c r="L116" s="144"/>
      <c r="M116" s="145"/>
      <c r="N116" s="146"/>
      <c r="O116" s="146"/>
    </row>
    <row r="117" spans="12:15" x14ac:dyDescent="0.25">
      <c r="L117" s="144"/>
      <c r="M117" s="145"/>
      <c r="N117" s="146"/>
      <c r="O117" s="146"/>
    </row>
    <row r="118" spans="12:15" x14ac:dyDescent="0.25">
      <c r="L118" s="144"/>
      <c r="M118" s="145"/>
      <c r="N118" s="146"/>
      <c r="O118" s="146"/>
    </row>
    <row r="119" spans="12:15" x14ac:dyDescent="0.25">
      <c r="L119" s="144"/>
      <c r="M119" s="145"/>
      <c r="N119" s="146"/>
      <c r="O119" s="146"/>
    </row>
    <row r="120" spans="12:15" x14ac:dyDescent="0.25">
      <c r="L120" s="144"/>
      <c r="M120" s="145"/>
      <c r="N120" s="146"/>
      <c r="O120" s="146"/>
    </row>
    <row r="121" spans="12:15" x14ac:dyDescent="0.25">
      <c r="L121" s="144"/>
      <c r="M121" s="145"/>
      <c r="N121" s="146"/>
      <c r="O121" s="146"/>
    </row>
    <row r="122" spans="12:15" x14ac:dyDescent="0.25">
      <c r="L122" s="144"/>
      <c r="M122" s="145"/>
      <c r="N122" s="146"/>
      <c r="O122" s="146"/>
    </row>
    <row r="123" spans="12:15" x14ac:dyDescent="0.25">
      <c r="L123" s="144"/>
      <c r="M123" s="145"/>
      <c r="N123" s="146"/>
      <c r="O123" s="146"/>
    </row>
    <row r="124" spans="12:15" x14ac:dyDescent="0.25">
      <c r="L124" s="144"/>
      <c r="M124" s="145"/>
      <c r="N124" s="146"/>
      <c r="O124" s="146"/>
    </row>
    <row r="125" spans="12:15" x14ac:dyDescent="0.25">
      <c r="L125" s="148"/>
      <c r="M125" s="145"/>
      <c r="N125" s="146"/>
      <c r="O125" s="146"/>
    </row>
    <row r="126" spans="12:15" x14ac:dyDescent="0.25">
      <c r="L126" s="144"/>
      <c r="M126" s="145"/>
      <c r="N126" s="146"/>
      <c r="O126" s="146"/>
    </row>
    <row r="127" spans="12:15" x14ac:dyDescent="0.25">
      <c r="L127" s="144"/>
      <c r="M127" s="145"/>
      <c r="N127" s="146"/>
      <c r="O127" s="146"/>
    </row>
    <row r="128" spans="12:15" x14ac:dyDescent="0.25">
      <c r="L128" s="144"/>
      <c r="M128" s="145"/>
      <c r="N128" s="146"/>
      <c r="O128" s="146"/>
    </row>
    <row r="129" spans="12:15" x14ac:dyDescent="0.25">
      <c r="L129" s="144"/>
      <c r="M129" s="145"/>
      <c r="N129" s="146"/>
      <c r="O129" s="146"/>
    </row>
    <row r="130" spans="12:15" x14ac:dyDescent="0.25">
      <c r="L130" s="144"/>
      <c r="M130" s="145"/>
      <c r="N130" s="146"/>
      <c r="O130" s="146"/>
    </row>
    <row r="131" spans="12:15" x14ac:dyDescent="0.25">
      <c r="L131" s="144"/>
      <c r="M131" s="145"/>
      <c r="N131" s="146"/>
      <c r="O131" s="146"/>
    </row>
    <row r="132" spans="12:15" x14ac:dyDescent="0.25">
      <c r="L132" s="144"/>
      <c r="M132" s="145"/>
      <c r="N132" s="146"/>
      <c r="O132" s="146"/>
    </row>
    <row r="133" spans="12:15" x14ac:dyDescent="0.25">
      <c r="L133" s="144"/>
      <c r="M133" s="145"/>
      <c r="N133" s="146"/>
      <c r="O133" s="146"/>
    </row>
    <row r="134" spans="12:15" x14ac:dyDescent="0.25">
      <c r="L134" s="144"/>
      <c r="M134" s="145"/>
      <c r="N134" s="146"/>
      <c r="O134" s="146"/>
    </row>
    <row r="135" spans="12:15" x14ac:dyDescent="0.25">
      <c r="L135" s="144"/>
      <c r="M135" s="145"/>
      <c r="N135" s="146"/>
      <c r="O135" s="146"/>
    </row>
    <row r="136" spans="12:15" x14ac:dyDescent="0.25">
      <c r="L136" s="148"/>
      <c r="M136" s="145"/>
      <c r="N136" s="146"/>
      <c r="O136" s="146"/>
    </row>
    <row r="137" spans="12:15" x14ac:dyDescent="0.25">
      <c r="L137" s="144"/>
      <c r="M137" s="145"/>
      <c r="N137" s="146"/>
      <c r="O137" s="146"/>
    </row>
    <row r="138" spans="12:15" x14ac:dyDescent="0.25">
      <c r="L138" s="144"/>
      <c r="M138" s="145"/>
      <c r="N138" s="146"/>
      <c r="O138" s="146"/>
    </row>
    <row r="139" spans="12:15" x14ac:dyDescent="0.25">
      <c r="L139" s="144"/>
      <c r="M139" s="145"/>
      <c r="N139" s="146"/>
      <c r="O139" s="146"/>
    </row>
    <row r="140" spans="12:15" x14ac:dyDescent="0.25">
      <c r="L140" s="144"/>
      <c r="M140" s="145"/>
      <c r="N140" s="146"/>
      <c r="O140" s="146"/>
    </row>
    <row r="141" spans="12:15" x14ac:dyDescent="0.25">
      <c r="L141" s="144"/>
      <c r="M141" s="145"/>
      <c r="N141" s="146"/>
      <c r="O141" s="146"/>
    </row>
    <row r="142" spans="12:15" x14ac:dyDescent="0.25">
      <c r="L142" s="144"/>
      <c r="M142" s="145"/>
      <c r="N142" s="146"/>
      <c r="O142" s="146"/>
    </row>
    <row r="143" spans="12:15" x14ac:dyDescent="0.25">
      <c r="L143" s="144"/>
      <c r="M143" s="145"/>
      <c r="N143" s="146"/>
      <c r="O143" s="146"/>
    </row>
    <row r="144" spans="12:15" x14ac:dyDescent="0.25">
      <c r="L144" s="144"/>
      <c r="M144" s="145"/>
      <c r="N144" s="146"/>
      <c r="O144" s="146"/>
    </row>
    <row r="145" spans="12:15" x14ac:dyDescent="0.25">
      <c r="L145" s="144"/>
      <c r="M145" s="145"/>
      <c r="N145" s="146"/>
      <c r="O145" s="146"/>
    </row>
    <row r="146" spans="12:15" x14ac:dyDescent="0.25">
      <c r="L146" s="144"/>
      <c r="M146" s="145"/>
      <c r="N146" s="146"/>
      <c r="O146" s="146"/>
    </row>
    <row r="147" spans="12:15" x14ac:dyDescent="0.25">
      <c r="L147" s="148"/>
      <c r="M147" s="145"/>
      <c r="N147" s="146"/>
      <c r="O147" s="146"/>
    </row>
    <row r="148" spans="12:15" x14ac:dyDescent="0.25">
      <c r="L148" s="144"/>
      <c r="M148" s="145"/>
      <c r="N148" s="146"/>
      <c r="O148" s="146"/>
    </row>
    <row r="149" spans="12:15" x14ac:dyDescent="0.25">
      <c r="L149" s="144"/>
      <c r="M149" s="145"/>
      <c r="N149" s="146"/>
      <c r="O149" s="146"/>
    </row>
    <row r="150" spans="12:15" x14ac:dyDescent="0.25">
      <c r="L150" s="144"/>
      <c r="M150" s="145"/>
      <c r="N150" s="146"/>
      <c r="O150" s="146"/>
    </row>
    <row r="151" spans="12:15" x14ac:dyDescent="0.25">
      <c r="L151" s="144"/>
      <c r="M151" s="145"/>
      <c r="N151" s="146"/>
      <c r="O151" s="146"/>
    </row>
    <row r="152" spans="12:15" x14ac:dyDescent="0.25">
      <c r="L152" s="144"/>
      <c r="M152" s="145"/>
      <c r="N152" s="146"/>
      <c r="O152" s="146"/>
    </row>
    <row r="153" spans="12:15" x14ac:dyDescent="0.25">
      <c r="L153" s="144"/>
      <c r="M153" s="145"/>
      <c r="N153" s="146"/>
      <c r="O153" s="146"/>
    </row>
    <row r="154" spans="12:15" x14ac:dyDescent="0.25">
      <c r="L154" s="144"/>
      <c r="M154" s="145"/>
      <c r="N154" s="145"/>
      <c r="O154" s="145"/>
    </row>
    <row r="155" spans="12:15" x14ac:dyDescent="0.25">
      <c r="L155" s="144"/>
      <c r="M155" s="145"/>
      <c r="N155" s="145"/>
      <c r="O155" s="145"/>
    </row>
    <row r="156" spans="12:15" x14ac:dyDescent="0.25">
      <c r="L156" s="149"/>
      <c r="M156" s="145"/>
      <c r="N156" s="145"/>
      <c r="O156" s="1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J121"/>
  <sheetViews>
    <sheetView workbookViewId="0"/>
  </sheetViews>
  <sheetFormatPr defaultRowHeight="15" x14ac:dyDescent="0.25"/>
  <cols>
    <col min="3" max="3" width="6.140625" customWidth="1"/>
    <col min="7" max="7" width="75" style="1" customWidth="1"/>
  </cols>
  <sheetData>
    <row r="2" spans="3:8" x14ac:dyDescent="0.25">
      <c r="C2" s="1" t="s">
        <v>41</v>
      </c>
      <c r="F2" s="23">
        <f>F14+F25+F36+F47+F58+F69+F80+F91+F102+F113</f>
        <v>18.324722222222221</v>
      </c>
    </row>
    <row r="3" spans="3:8" ht="15.75" thickBot="1" x14ac:dyDescent="0.3">
      <c r="C3" s="1"/>
      <c r="F3" s="23"/>
    </row>
    <row r="4" spans="3:8" x14ac:dyDescent="0.25">
      <c r="C4" s="5">
        <v>1</v>
      </c>
      <c r="D4" s="8">
        <v>0.23541666666666669</v>
      </c>
      <c r="E4" s="14">
        <f>5*60+39</f>
        <v>339</v>
      </c>
      <c r="F4" s="11"/>
      <c r="G4" s="2" t="s">
        <v>223</v>
      </c>
      <c r="H4" s="25"/>
    </row>
    <row r="5" spans="3:8" x14ac:dyDescent="0.25">
      <c r="C5" s="6">
        <v>2</v>
      </c>
      <c r="D5" s="34" t="s">
        <v>225</v>
      </c>
      <c r="E5" s="15">
        <f>45*60+54</f>
        <v>2754</v>
      </c>
      <c r="F5" s="12"/>
      <c r="G5" s="3" t="s">
        <v>224</v>
      </c>
      <c r="H5" s="25"/>
    </row>
    <row r="6" spans="3:8" x14ac:dyDescent="0.25">
      <c r="C6" s="6">
        <v>3</v>
      </c>
      <c r="D6" s="34" t="s">
        <v>227</v>
      </c>
      <c r="E6" s="15">
        <f>52*60+34</f>
        <v>3154</v>
      </c>
      <c r="F6" s="12"/>
      <c r="G6" s="3" t="s">
        <v>226</v>
      </c>
      <c r="H6" s="25"/>
    </row>
    <row r="7" spans="3:8" x14ac:dyDescent="0.25">
      <c r="C7" s="6">
        <v>4</v>
      </c>
      <c r="D7" s="34" t="s">
        <v>229</v>
      </c>
      <c r="E7" s="15">
        <f>42*60+50</f>
        <v>2570</v>
      </c>
      <c r="F7" s="12"/>
      <c r="G7" s="3" t="s">
        <v>228</v>
      </c>
      <c r="H7" s="25"/>
    </row>
    <row r="8" spans="3:8" x14ac:dyDescent="0.25">
      <c r="C8" s="6">
        <v>5</v>
      </c>
      <c r="D8" s="34" t="s">
        <v>231</v>
      </c>
      <c r="E8" s="15">
        <f>53*60+40</f>
        <v>3220</v>
      </c>
      <c r="F8" s="12"/>
      <c r="G8" s="3" t="s">
        <v>230</v>
      </c>
      <c r="H8" s="25"/>
    </row>
    <row r="9" spans="3:8" x14ac:dyDescent="0.25">
      <c r="C9" s="6">
        <v>6</v>
      </c>
      <c r="D9" s="34" t="s">
        <v>233</v>
      </c>
      <c r="E9" s="15">
        <f>54*60+43</f>
        <v>3283</v>
      </c>
      <c r="F9" s="12"/>
      <c r="G9" s="3" t="s">
        <v>232</v>
      </c>
      <c r="H9" s="25"/>
    </row>
    <row r="10" spans="3:8" x14ac:dyDescent="0.25">
      <c r="C10" s="6">
        <v>7</v>
      </c>
      <c r="D10" s="34" t="s">
        <v>235</v>
      </c>
      <c r="E10" s="15">
        <f>62*60+47</f>
        <v>3767</v>
      </c>
      <c r="F10" s="12"/>
      <c r="G10" s="3" t="s">
        <v>234</v>
      </c>
    </row>
    <row r="11" spans="3:8" x14ac:dyDescent="0.25">
      <c r="C11" s="6">
        <v>8</v>
      </c>
      <c r="D11" s="34" t="s">
        <v>237</v>
      </c>
      <c r="E11" s="15">
        <f>51*60+8</f>
        <v>3068</v>
      </c>
      <c r="F11" s="12"/>
      <c r="G11" s="3" t="s">
        <v>236</v>
      </c>
    </row>
    <row r="12" spans="3:8" x14ac:dyDescent="0.25">
      <c r="C12" s="6">
        <v>9</v>
      </c>
      <c r="D12" s="34" t="s">
        <v>239</v>
      </c>
      <c r="E12" s="15">
        <f>39*60+49</f>
        <v>2389</v>
      </c>
      <c r="F12" s="12"/>
      <c r="G12" s="3" t="s">
        <v>238</v>
      </c>
    </row>
    <row r="13" spans="3:8" x14ac:dyDescent="0.25">
      <c r="C13" s="6">
        <v>10</v>
      </c>
      <c r="D13" s="34" t="s">
        <v>241</v>
      </c>
      <c r="E13" s="15">
        <f>72*60+40</f>
        <v>4360</v>
      </c>
      <c r="F13" s="12"/>
      <c r="G13" s="3" t="s">
        <v>240</v>
      </c>
    </row>
    <row r="14" spans="3:8" ht="15.75" thickBot="1" x14ac:dyDescent="0.3">
      <c r="C14" s="17"/>
      <c r="D14" s="36"/>
      <c r="E14" s="19">
        <f>SUM(E4:E13)/60</f>
        <v>481.73333333333335</v>
      </c>
      <c r="F14" s="20">
        <f>E14/60</f>
        <v>8.0288888888888899</v>
      </c>
      <c r="G14" s="21"/>
    </row>
    <row r="15" spans="3:8" x14ac:dyDescent="0.25">
      <c r="C15" s="7">
        <v>11</v>
      </c>
      <c r="D15" s="24" t="s">
        <v>242</v>
      </c>
      <c r="E15" s="16">
        <f>25*60+4</f>
        <v>1504</v>
      </c>
      <c r="F15" s="13"/>
      <c r="G15" s="4" t="s">
        <v>243</v>
      </c>
    </row>
    <row r="16" spans="3:8" x14ac:dyDescent="0.25">
      <c r="C16" s="6">
        <v>12</v>
      </c>
      <c r="D16" s="34" t="s">
        <v>245</v>
      </c>
      <c r="E16" s="15">
        <f>51*60+14</f>
        <v>3074</v>
      </c>
      <c r="F16" s="12"/>
      <c r="G16" s="3" t="s">
        <v>244</v>
      </c>
    </row>
    <row r="17" spans="3:10" x14ac:dyDescent="0.25">
      <c r="C17" s="6">
        <v>13</v>
      </c>
      <c r="D17" s="34" t="s">
        <v>247</v>
      </c>
      <c r="E17" s="15">
        <f>61*60+28</f>
        <v>3688</v>
      </c>
      <c r="F17" s="12"/>
      <c r="G17" s="3" t="s">
        <v>246</v>
      </c>
    </row>
    <row r="18" spans="3:10" x14ac:dyDescent="0.25">
      <c r="C18" s="6">
        <v>14</v>
      </c>
      <c r="D18" s="34" t="s">
        <v>249</v>
      </c>
      <c r="E18" s="15">
        <f>96*60+36</f>
        <v>5796</v>
      </c>
      <c r="F18" s="12"/>
      <c r="G18" s="3" t="s">
        <v>248</v>
      </c>
    </row>
    <row r="19" spans="3:10" x14ac:dyDescent="0.25">
      <c r="C19" s="6">
        <v>15</v>
      </c>
      <c r="D19" s="34" t="s">
        <v>251</v>
      </c>
      <c r="E19" s="15">
        <f>40*60+20</f>
        <v>2420</v>
      </c>
      <c r="F19" s="12"/>
      <c r="G19" s="3" t="s">
        <v>250</v>
      </c>
      <c r="J19" s="22"/>
    </row>
    <row r="20" spans="3:10" x14ac:dyDescent="0.25">
      <c r="C20" s="6">
        <v>16</v>
      </c>
      <c r="D20" s="34" t="s">
        <v>253</v>
      </c>
      <c r="E20" s="15">
        <f>54*60+47</f>
        <v>3287</v>
      </c>
      <c r="F20" s="12"/>
      <c r="G20" s="3" t="s">
        <v>252</v>
      </c>
      <c r="J20" s="22"/>
    </row>
    <row r="21" spans="3:10" x14ac:dyDescent="0.25">
      <c r="C21" s="6">
        <v>17</v>
      </c>
      <c r="D21" s="34" t="s">
        <v>255</v>
      </c>
      <c r="E21" s="15">
        <f>63*60+43</f>
        <v>3823</v>
      </c>
      <c r="F21" s="12"/>
      <c r="G21" s="3" t="s">
        <v>254</v>
      </c>
      <c r="J21" s="22"/>
    </row>
    <row r="22" spans="3:10" x14ac:dyDescent="0.25">
      <c r="C22" s="6">
        <v>18</v>
      </c>
      <c r="D22" s="34" t="s">
        <v>257</v>
      </c>
      <c r="E22" s="15">
        <f>63*60+16</f>
        <v>3796</v>
      </c>
      <c r="F22" s="12"/>
      <c r="G22" s="3" t="s">
        <v>256</v>
      </c>
      <c r="J22" s="22"/>
    </row>
    <row r="23" spans="3:10" x14ac:dyDescent="0.25">
      <c r="C23" s="6">
        <v>19</v>
      </c>
      <c r="D23" s="34" t="s">
        <v>259</v>
      </c>
      <c r="E23" s="15">
        <f>57*60+28</f>
        <v>3448</v>
      </c>
      <c r="F23" s="12"/>
      <c r="G23" s="3" t="s">
        <v>258</v>
      </c>
      <c r="J23" s="22"/>
    </row>
    <row r="24" spans="3:10" x14ac:dyDescent="0.25">
      <c r="C24" s="6">
        <v>20</v>
      </c>
      <c r="D24" s="39" t="s">
        <v>261</v>
      </c>
      <c r="E24" s="15">
        <f>62*60+13</f>
        <v>3733</v>
      </c>
      <c r="F24" s="12"/>
      <c r="G24" s="3" t="s">
        <v>260</v>
      </c>
      <c r="J24" s="22"/>
    </row>
    <row r="25" spans="3:10" ht="15.75" thickBot="1" x14ac:dyDescent="0.3">
      <c r="C25" s="17"/>
      <c r="D25" s="36"/>
      <c r="E25" s="19">
        <f>SUM(E15:E24)/60</f>
        <v>576.15</v>
      </c>
      <c r="F25" s="20">
        <f>E25/60</f>
        <v>9.6024999999999991</v>
      </c>
      <c r="G25" s="21"/>
      <c r="J25" s="22"/>
    </row>
    <row r="26" spans="3:10" x14ac:dyDescent="0.25">
      <c r="C26" s="5">
        <v>21</v>
      </c>
      <c r="D26" s="40" t="s">
        <v>263</v>
      </c>
      <c r="E26" s="14">
        <f>41*60+36</f>
        <v>2496</v>
      </c>
      <c r="F26" s="11"/>
      <c r="G26" s="2" t="s">
        <v>262</v>
      </c>
      <c r="J26" s="22"/>
    </row>
    <row r="27" spans="3:10" x14ac:dyDescent="0.25">
      <c r="C27" s="6">
        <v>22</v>
      </c>
      <c r="D27" s="35"/>
      <c r="E27" s="15"/>
      <c r="F27" s="12"/>
      <c r="G27" s="3"/>
      <c r="J27" s="22"/>
    </row>
    <row r="28" spans="3:10" x14ac:dyDescent="0.25">
      <c r="C28" s="6">
        <v>23</v>
      </c>
      <c r="D28" s="35"/>
      <c r="E28" s="15"/>
      <c r="F28" s="12"/>
      <c r="G28" s="3"/>
      <c r="J28" s="22"/>
    </row>
    <row r="29" spans="3:10" x14ac:dyDescent="0.25">
      <c r="C29" s="6">
        <v>24</v>
      </c>
      <c r="D29" s="35"/>
      <c r="E29" s="15"/>
      <c r="F29" s="12"/>
      <c r="G29" s="3"/>
    </row>
    <row r="30" spans="3:10" x14ac:dyDescent="0.25">
      <c r="C30" s="6">
        <v>25</v>
      </c>
      <c r="D30" s="35"/>
      <c r="E30" s="15"/>
      <c r="F30" s="12"/>
      <c r="G30" s="3"/>
      <c r="J30" s="22"/>
    </row>
    <row r="31" spans="3:10" x14ac:dyDescent="0.25">
      <c r="C31" s="6">
        <v>26</v>
      </c>
      <c r="D31" s="35"/>
      <c r="E31" s="15"/>
      <c r="F31" s="12"/>
      <c r="G31" s="3"/>
      <c r="J31" s="22"/>
    </row>
    <row r="32" spans="3:10" x14ac:dyDescent="0.25">
      <c r="C32" s="6">
        <v>27</v>
      </c>
      <c r="D32" s="35"/>
      <c r="E32" s="15"/>
      <c r="F32" s="12"/>
      <c r="G32" s="3"/>
      <c r="J32" s="22"/>
    </row>
    <row r="33" spans="3:10" x14ac:dyDescent="0.25">
      <c r="C33" s="6">
        <v>28</v>
      </c>
      <c r="D33" s="35"/>
      <c r="E33" s="15"/>
      <c r="F33" s="12"/>
      <c r="G33" s="3"/>
      <c r="J33" s="22"/>
    </row>
    <row r="34" spans="3:10" x14ac:dyDescent="0.25">
      <c r="C34" s="6">
        <v>29</v>
      </c>
      <c r="D34" s="35"/>
      <c r="E34" s="15"/>
      <c r="F34" s="12"/>
      <c r="G34" s="3"/>
      <c r="J34" s="22"/>
    </row>
    <row r="35" spans="3:10" x14ac:dyDescent="0.25">
      <c r="C35" s="6">
        <v>30</v>
      </c>
      <c r="D35" s="35"/>
      <c r="E35" s="15"/>
      <c r="F35" s="12"/>
      <c r="G35" s="3"/>
      <c r="J35" s="22"/>
    </row>
    <row r="36" spans="3:10" ht="15.75" thickBot="1" x14ac:dyDescent="0.3">
      <c r="C36" s="17"/>
      <c r="D36" s="36"/>
      <c r="E36" s="19">
        <f>SUM(E26:E35)/60</f>
        <v>41.6</v>
      </c>
      <c r="F36" s="20">
        <f>E36/60</f>
        <v>0.69333333333333336</v>
      </c>
      <c r="G36" s="21"/>
      <c r="J36" s="22"/>
    </row>
    <row r="37" spans="3:10" x14ac:dyDescent="0.25">
      <c r="C37" s="7">
        <v>31</v>
      </c>
      <c r="D37" s="37"/>
      <c r="E37" s="16"/>
      <c r="F37" s="13"/>
      <c r="G37" s="4"/>
      <c r="J37" s="22"/>
    </row>
    <row r="38" spans="3:10" x14ac:dyDescent="0.25">
      <c r="C38" s="6">
        <v>32</v>
      </c>
      <c r="D38" s="35"/>
      <c r="E38" s="15"/>
      <c r="F38" s="12"/>
      <c r="G38" s="3"/>
      <c r="J38" s="22"/>
    </row>
    <row r="39" spans="3:10" x14ac:dyDescent="0.25">
      <c r="C39" s="6">
        <v>33</v>
      </c>
      <c r="D39" s="35"/>
      <c r="E39" s="15"/>
      <c r="F39" s="12"/>
      <c r="G39" s="3"/>
      <c r="J39" s="22"/>
    </row>
    <row r="40" spans="3:10" x14ac:dyDescent="0.25">
      <c r="C40" s="6">
        <v>34</v>
      </c>
      <c r="D40" s="35"/>
      <c r="E40" s="15"/>
      <c r="F40" s="12"/>
      <c r="G40" s="3"/>
    </row>
    <row r="41" spans="3:10" x14ac:dyDescent="0.25">
      <c r="C41" s="6">
        <v>35</v>
      </c>
      <c r="D41" s="35"/>
      <c r="E41" s="15"/>
      <c r="F41" s="12"/>
      <c r="G41" s="3"/>
    </row>
    <row r="42" spans="3:10" x14ac:dyDescent="0.25">
      <c r="C42" s="6">
        <v>36</v>
      </c>
      <c r="D42" s="35"/>
      <c r="E42" s="15"/>
      <c r="F42" s="12"/>
      <c r="G42" s="3"/>
    </row>
    <row r="43" spans="3:10" x14ac:dyDescent="0.25">
      <c r="C43" s="6">
        <v>37</v>
      </c>
      <c r="D43" s="35"/>
      <c r="E43" s="15"/>
      <c r="F43" s="12"/>
      <c r="G43" s="3"/>
    </row>
    <row r="44" spans="3:10" x14ac:dyDescent="0.25">
      <c r="C44" s="6">
        <v>38</v>
      </c>
      <c r="D44" s="35"/>
      <c r="E44" s="15"/>
      <c r="F44" s="12"/>
      <c r="G44" s="3"/>
    </row>
    <row r="45" spans="3:10" x14ac:dyDescent="0.25">
      <c r="C45" s="6">
        <v>39</v>
      </c>
      <c r="D45" s="35"/>
      <c r="E45" s="15"/>
      <c r="F45" s="12"/>
      <c r="G45" s="3"/>
    </row>
    <row r="46" spans="3:10" x14ac:dyDescent="0.25">
      <c r="C46" s="6">
        <v>40</v>
      </c>
      <c r="D46" s="35"/>
      <c r="E46" s="15"/>
      <c r="F46" s="12"/>
      <c r="G46" s="3"/>
    </row>
    <row r="47" spans="3:10" ht="15.75" thickBot="1" x14ac:dyDescent="0.3">
      <c r="C47" s="17"/>
      <c r="D47" s="36"/>
      <c r="E47" s="19">
        <f>SUM(E37:E46)/60</f>
        <v>0</v>
      </c>
      <c r="F47" s="20">
        <f>E47/60</f>
        <v>0</v>
      </c>
      <c r="G47" s="21"/>
    </row>
    <row r="48" spans="3:10" x14ac:dyDescent="0.25">
      <c r="C48" s="7">
        <v>41</v>
      </c>
      <c r="D48" s="37"/>
      <c r="E48" s="16"/>
      <c r="F48" s="13"/>
      <c r="G48" s="4"/>
    </row>
    <row r="49" spans="3:7" x14ac:dyDescent="0.25">
      <c r="C49" s="6">
        <v>42</v>
      </c>
      <c r="D49" s="35"/>
      <c r="E49" s="15"/>
      <c r="F49" s="12"/>
      <c r="G49" s="3"/>
    </row>
    <row r="50" spans="3:7" x14ac:dyDescent="0.25">
      <c r="C50" s="6">
        <v>43</v>
      </c>
      <c r="D50" s="35"/>
      <c r="E50" s="15"/>
      <c r="F50" s="12"/>
      <c r="G50" s="3"/>
    </row>
    <row r="51" spans="3:7" x14ac:dyDescent="0.25">
      <c r="C51" s="6">
        <v>44</v>
      </c>
      <c r="D51" s="35"/>
      <c r="E51" s="15"/>
      <c r="F51" s="12"/>
      <c r="G51" s="3"/>
    </row>
    <row r="52" spans="3:7" x14ac:dyDescent="0.25">
      <c r="C52" s="6">
        <v>45</v>
      </c>
      <c r="D52" s="35"/>
      <c r="E52" s="15"/>
      <c r="F52" s="12"/>
      <c r="G52" s="3"/>
    </row>
    <row r="53" spans="3:7" x14ac:dyDescent="0.25">
      <c r="C53" s="6">
        <v>46</v>
      </c>
      <c r="D53" s="35"/>
      <c r="E53" s="15"/>
      <c r="F53" s="12"/>
      <c r="G53" s="3"/>
    </row>
    <row r="54" spans="3:7" x14ac:dyDescent="0.25">
      <c r="C54" s="6">
        <v>47</v>
      </c>
      <c r="D54" s="35"/>
      <c r="E54" s="15"/>
      <c r="F54" s="12"/>
      <c r="G54" s="3"/>
    </row>
    <row r="55" spans="3:7" x14ac:dyDescent="0.25">
      <c r="C55" s="6">
        <v>48</v>
      </c>
      <c r="D55" s="35"/>
      <c r="E55" s="15"/>
      <c r="F55" s="12"/>
      <c r="G55" s="3"/>
    </row>
    <row r="56" spans="3:7" x14ac:dyDescent="0.25">
      <c r="C56" s="6">
        <v>49</v>
      </c>
      <c r="D56" s="35"/>
      <c r="E56" s="15"/>
      <c r="F56" s="12"/>
      <c r="G56" s="3"/>
    </row>
    <row r="57" spans="3:7" x14ac:dyDescent="0.25">
      <c r="C57" s="6">
        <v>50</v>
      </c>
      <c r="D57" s="35"/>
      <c r="E57" s="15"/>
      <c r="F57" s="12"/>
      <c r="G57" s="3"/>
    </row>
    <row r="58" spans="3:7" ht="15.75" thickBot="1" x14ac:dyDescent="0.3">
      <c r="C58" s="17"/>
      <c r="D58" s="36"/>
      <c r="E58" s="19">
        <f>SUM(E48:E57)/60</f>
        <v>0</v>
      </c>
      <c r="F58" s="20">
        <f>E58/60</f>
        <v>0</v>
      </c>
      <c r="G58" s="21"/>
    </row>
    <row r="59" spans="3:7" x14ac:dyDescent="0.25">
      <c r="C59" s="7">
        <v>51</v>
      </c>
      <c r="D59" s="37"/>
      <c r="E59" s="16"/>
      <c r="F59" s="13"/>
      <c r="G59" s="4"/>
    </row>
    <row r="60" spans="3:7" x14ac:dyDescent="0.25">
      <c r="C60" s="6">
        <v>52</v>
      </c>
      <c r="D60" s="35"/>
      <c r="E60" s="15"/>
      <c r="F60" s="12"/>
      <c r="G60" s="3"/>
    </row>
    <row r="61" spans="3:7" x14ac:dyDescent="0.25">
      <c r="C61" s="7">
        <v>53</v>
      </c>
      <c r="D61" s="35"/>
      <c r="E61" s="15"/>
      <c r="F61" s="12"/>
      <c r="G61" s="3"/>
    </row>
    <row r="62" spans="3:7" x14ac:dyDescent="0.25">
      <c r="C62" s="6">
        <v>54</v>
      </c>
      <c r="D62" s="35"/>
      <c r="E62" s="15"/>
      <c r="F62" s="12"/>
      <c r="G62" s="3"/>
    </row>
    <row r="63" spans="3:7" x14ac:dyDescent="0.25">
      <c r="C63" s="7">
        <v>55</v>
      </c>
      <c r="D63" s="35"/>
      <c r="E63" s="15"/>
      <c r="F63" s="12"/>
      <c r="G63" s="3"/>
    </row>
    <row r="64" spans="3:7" x14ac:dyDescent="0.25">
      <c r="C64" s="6">
        <v>56</v>
      </c>
      <c r="D64" s="35"/>
      <c r="E64" s="15"/>
      <c r="F64" s="12"/>
      <c r="G64" s="3"/>
    </row>
    <row r="65" spans="3:7" x14ac:dyDescent="0.25">
      <c r="C65" s="7">
        <v>57</v>
      </c>
      <c r="D65" s="35"/>
      <c r="E65" s="15"/>
      <c r="F65" s="12"/>
      <c r="G65" s="3"/>
    </row>
    <row r="66" spans="3:7" x14ac:dyDescent="0.25">
      <c r="C66" s="6">
        <v>58</v>
      </c>
      <c r="D66" s="35"/>
      <c r="E66" s="15"/>
      <c r="F66" s="12"/>
      <c r="G66" s="3"/>
    </row>
    <row r="67" spans="3:7" x14ac:dyDescent="0.25">
      <c r="C67" s="7">
        <v>59</v>
      </c>
      <c r="D67" s="35"/>
      <c r="E67" s="15"/>
      <c r="F67" s="12"/>
      <c r="G67" s="3"/>
    </row>
    <row r="68" spans="3:7" x14ac:dyDescent="0.25">
      <c r="C68" s="6">
        <v>60</v>
      </c>
      <c r="D68" s="35"/>
      <c r="E68" s="15"/>
      <c r="F68" s="12"/>
      <c r="G68" s="3"/>
    </row>
    <row r="69" spans="3:7" ht="15.75" thickBot="1" x14ac:dyDescent="0.3">
      <c r="C69" s="17"/>
      <c r="D69" s="36"/>
      <c r="E69" s="19">
        <f>SUM(E59:E68)/60</f>
        <v>0</v>
      </c>
      <c r="F69" s="20">
        <f>E69/60</f>
        <v>0</v>
      </c>
      <c r="G69" s="21"/>
    </row>
    <row r="70" spans="3:7" x14ac:dyDescent="0.25">
      <c r="C70" s="7">
        <v>61</v>
      </c>
      <c r="D70" s="37"/>
      <c r="E70" s="16"/>
      <c r="F70" s="13"/>
      <c r="G70" s="4"/>
    </row>
    <row r="71" spans="3:7" x14ac:dyDescent="0.25">
      <c r="C71" s="6">
        <v>62</v>
      </c>
      <c r="D71" s="35"/>
      <c r="E71" s="15"/>
      <c r="F71" s="12"/>
      <c r="G71" s="3"/>
    </row>
    <row r="72" spans="3:7" x14ac:dyDescent="0.25">
      <c r="C72" s="6">
        <v>63</v>
      </c>
      <c r="D72" s="35"/>
      <c r="E72" s="15"/>
      <c r="F72" s="12"/>
      <c r="G72" s="3"/>
    </row>
    <row r="73" spans="3:7" x14ac:dyDescent="0.25">
      <c r="C73" s="6">
        <v>64</v>
      </c>
      <c r="D73" s="35"/>
      <c r="E73" s="15"/>
      <c r="F73" s="12"/>
      <c r="G73" s="3"/>
    </row>
    <row r="74" spans="3:7" x14ac:dyDescent="0.25">
      <c r="C74" s="6">
        <v>65</v>
      </c>
      <c r="D74" s="35"/>
      <c r="E74" s="15"/>
      <c r="F74" s="12"/>
      <c r="G74" s="3"/>
    </row>
    <row r="75" spans="3:7" x14ac:dyDescent="0.25">
      <c r="C75" s="6">
        <v>66</v>
      </c>
      <c r="D75" s="35"/>
      <c r="E75" s="15"/>
      <c r="F75" s="12"/>
      <c r="G75" s="3"/>
    </row>
    <row r="76" spans="3:7" x14ac:dyDescent="0.25">
      <c r="C76" s="6">
        <v>67</v>
      </c>
      <c r="D76" s="35"/>
      <c r="E76" s="15"/>
      <c r="F76" s="12"/>
      <c r="G76" s="3"/>
    </row>
    <row r="77" spans="3:7" x14ac:dyDescent="0.25">
      <c r="C77" s="6">
        <v>68</v>
      </c>
      <c r="D77" s="35"/>
      <c r="E77" s="15"/>
      <c r="F77" s="12"/>
      <c r="G77" s="3"/>
    </row>
    <row r="78" spans="3:7" x14ac:dyDescent="0.25">
      <c r="C78" s="6">
        <v>69</v>
      </c>
      <c r="D78" s="35"/>
      <c r="E78" s="15"/>
      <c r="F78" s="12"/>
      <c r="G78" s="3"/>
    </row>
    <row r="79" spans="3:7" x14ac:dyDescent="0.25">
      <c r="C79" s="6">
        <v>70</v>
      </c>
      <c r="D79" s="35"/>
      <c r="E79" s="15"/>
      <c r="F79" s="12"/>
      <c r="G79" s="3"/>
    </row>
    <row r="80" spans="3:7" ht="15.75" thickBot="1" x14ac:dyDescent="0.3">
      <c r="C80" s="17"/>
      <c r="D80" s="36"/>
      <c r="E80" s="19">
        <f>SUM(E70:E79)/60</f>
        <v>0</v>
      </c>
      <c r="F80" s="20">
        <f>E80/60</f>
        <v>0</v>
      </c>
      <c r="G80" s="21"/>
    </row>
    <row r="81" spans="3:7" x14ac:dyDescent="0.25">
      <c r="C81" s="7">
        <v>71</v>
      </c>
      <c r="D81" s="37"/>
      <c r="E81" s="16"/>
      <c r="F81" s="13"/>
      <c r="G81" s="4"/>
    </row>
    <row r="82" spans="3:7" x14ac:dyDescent="0.25">
      <c r="C82" s="6">
        <v>72</v>
      </c>
      <c r="D82" s="35"/>
      <c r="E82" s="15"/>
      <c r="F82" s="12"/>
      <c r="G82" s="3"/>
    </row>
    <row r="83" spans="3:7" x14ac:dyDescent="0.25">
      <c r="C83" s="6">
        <v>73</v>
      </c>
      <c r="D83" s="35"/>
      <c r="E83" s="15"/>
      <c r="F83" s="12"/>
      <c r="G83" s="3"/>
    </row>
    <row r="84" spans="3:7" x14ac:dyDescent="0.25">
      <c r="C84" s="6">
        <v>74</v>
      </c>
      <c r="D84" s="35"/>
      <c r="E84" s="15"/>
      <c r="F84" s="12"/>
      <c r="G84" s="3"/>
    </row>
    <row r="85" spans="3:7" x14ac:dyDescent="0.25">
      <c r="C85" s="6">
        <v>75</v>
      </c>
      <c r="D85" s="35"/>
      <c r="E85" s="15"/>
      <c r="F85" s="12"/>
      <c r="G85" s="3"/>
    </row>
    <row r="86" spans="3:7" x14ac:dyDescent="0.25">
      <c r="C86" s="6">
        <v>76</v>
      </c>
      <c r="D86" s="35"/>
      <c r="E86" s="15"/>
      <c r="F86" s="12"/>
      <c r="G86" s="3"/>
    </row>
    <row r="87" spans="3:7" x14ac:dyDescent="0.25">
      <c r="C87" s="6">
        <v>77</v>
      </c>
      <c r="D87" s="35"/>
      <c r="E87" s="15"/>
      <c r="F87" s="12"/>
      <c r="G87" s="3"/>
    </row>
    <row r="88" spans="3:7" x14ac:dyDescent="0.25">
      <c r="C88" s="6">
        <v>78</v>
      </c>
      <c r="D88" s="35"/>
      <c r="E88" s="15"/>
      <c r="F88" s="12"/>
      <c r="G88" s="3"/>
    </row>
    <row r="89" spans="3:7" x14ac:dyDescent="0.25">
      <c r="C89" s="6">
        <v>79</v>
      </c>
      <c r="D89" s="35"/>
      <c r="E89" s="15"/>
      <c r="F89" s="12"/>
      <c r="G89" s="3"/>
    </row>
    <row r="90" spans="3:7" x14ac:dyDescent="0.25">
      <c r="C90" s="6">
        <v>80</v>
      </c>
      <c r="D90" s="35"/>
      <c r="E90" s="15"/>
      <c r="F90" s="12"/>
      <c r="G90" s="3"/>
    </row>
    <row r="91" spans="3:7" ht="15.75" thickBot="1" x14ac:dyDescent="0.3">
      <c r="C91" s="17"/>
      <c r="D91" s="36"/>
      <c r="E91" s="19">
        <f>SUM(E81:E90)/60</f>
        <v>0</v>
      </c>
      <c r="F91" s="20">
        <f>E91/60</f>
        <v>0</v>
      </c>
      <c r="G91" s="21"/>
    </row>
    <row r="92" spans="3:7" x14ac:dyDescent="0.25">
      <c r="C92" s="7">
        <v>81</v>
      </c>
      <c r="D92" s="37"/>
      <c r="E92" s="16"/>
      <c r="F92" s="13"/>
      <c r="G92" s="4"/>
    </row>
    <row r="93" spans="3:7" x14ac:dyDescent="0.25">
      <c r="C93" s="6">
        <v>82</v>
      </c>
      <c r="D93" s="35"/>
      <c r="E93" s="15"/>
      <c r="F93" s="12"/>
      <c r="G93" s="3"/>
    </row>
    <row r="94" spans="3:7" x14ac:dyDescent="0.25">
      <c r="C94" s="6">
        <v>83</v>
      </c>
      <c r="D94" s="35"/>
      <c r="E94" s="15"/>
      <c r="F94" s="12"/>
      <c r="G94" s="3"/>
    </row>
    <row r="95" spans="3:7" x14ac:dyDescent="0.25">
      <c r="C95" s="6">
        <v>84</v>
      </c>
      <c r="D95" s="35"/>
      <c r="E95" s="15"/>
      <c r="F95" s="12"/>
      <c r="G95" s="3"/>
    </row>
    <row r="96" spans="3:7" x14ac:dyDescent="0.25">
      <c r="C96" s="6">
        <v>85</v>
      </c>
      <c r="D96" s="35"/>
      <c r="E96" s="15"/>
      <c r="F96" s="12"/>
      <c r="G96" s="3"/>
    </row>
    <row r="97" spans="3:7" x14ac:dyDescent="0.25">
      <c r="C97" s="6">
        <v>86</v>
      </c>
      <c r="D97" s="35"/>
      <c r="E97" s="15"/>
      <c r="F97" s="12"/>
      <c r="G97" s="3"/>
    </row>
    <row r="98" spans="3:7" x14ac:dyDescent="0.25">
      <c r="C98" s="6">
        <v>87</v>
      </c>
      <c r="D98" s="35"/>
      <c r="E98" s="15"/>
      <c r="F98" s="12"/>
      <c r="G98" s="3"/>
    </row>
    <row r="99" spans="3:7" x14ac:dyDescent="0.25">
      <c r="C99" s="6">
        <v>88</v>
      </c>
      <c r="D99" s="35"/>
      <c r="E99" s="15"/>
      <c r="F99" s="12"/>
      <c r="G99" s="3"/>
    </row>
    <row r="100" spans="3:7" x14ac:dyDescent="0.25">
      <c r="C100" s="6">
        <v>89</v>
      </c>
      <c r="D100" s="35"/>
      <c r="E100" s="15"/>
      <c r="F100" s="12"/>
      <c r="G100" s="3"/>
    </row>
    <row r="101" spans="3:7" x14ac:dyDescent="0.25">
      <c r="C101" s="6">
        <v>90</v>
      </c>
      <c r="D101" s="35"/>
      <c r="E101" s="15"/>
      <c r="F101" s="12"/>
      <c r="G101" s="3"/>
    </row>
    <row r="102" spans="3:7" ht="15.75" thickBot="1" x14ac:dyDescent="0.3">
      <c r="C102" s="17"/>
      <c r="D102" s="36"/>
      <c r="E102" s="19">
        <f>SUM(E92:E101)/60</f>
        <v>0</v>
      </c>
      <c r="F102" s="20">
        <f>E102/60</f>
        <v>0</v>
      </c>
      <c r="G102" s="21"/>
    </row>
    <row r="103" spans="3:7" x14ac:dyDescent="0.25">
      <c r="C103" s="7">
        <v>91</v>
      </c>
      <c r="D103" s="24"/>
      <c r="E103" s="16"/>
      <c r="F103" s="13"/>
      <c r="G103" s="4"/>
    </row>
    <row r="104" spans="3:7" x14ac:dyDescent="0.25">
      <c r="C104" s="6">
        <v>92</v>
      </c>
      <c r="D104" s="35"/>
      <c r="E104" s="15"/>
      <c r="F104" s="12"/>
      <c r="G104" s="3"/>
    </row>
    <row r="105" spans="3:7" x14ac:dyDescent="0.25">
      <c r="C105" s="6">
        <v>93</v>
      </c>
      <c r="D105" s="35"/>
      <c r="E105" s="15"/>
      <c r="F105" s="12"/>
      <c r="G105" s="3"/>
    </row>
    <row r="106" spans="3:7" x14ac:dyDescent="0.25">
      <c r="C106" s="6">
        <v>94</v>
      </c>
      <c r="D106" s="35"/>
      <c r="E106" s="15"/>
      <c r="F106" s="12"/>
      <c r="G106" s="3"/>
    </row>
    <row r="107" spans="3:7" x14ac:dyDescent="0.25">
      <c r="C107" s="6">
        <v>95</v>
      </c>
      <c r="D107" s="35"/>
      <c r="E107" s="15"/>
      <c r="F107" s="12"/>
      <c r="G107" s="3"/>
    </row>
    <row r="108" spans="3:7" x14ac:dyDescent="0.25">
      <c r="C108" s="6">
        <v>96</v>
      </c>
      <c r="D108" s="35"/>
      <c r="E108" s="15"/>
      <c r="F108" s="12"/>
      <c r="G108" s="3"/>
    </row>
    <row r="109" spans="3:7" x14ac:dyDescent="0.25">
      <c r="C109" s="6">
        <v>97</v>
      </c>
      <c r="D109" s="35"/>
      <c r="E109" s="15"/>
      <c r="F109" s="12"/>
      <c r="G109" s="3"/>
    </row>
    <row r="110" spans="3:7" x14ac:dyDescent="0.25">
      <c r="C110" s="6">
        <v>98</v>
      </c>
      <c r="D110" s="35"/>
      <c r="E110" s="15"/>
      <c r="F110" s="12"/>
      <c r="G110" s="3"/>
    </row>
    <row r="111" spans="3:7" x14ac:dyDescent="0.25">
      <c r="C111" s="6">
        <v>99</v>
      </c>
      <c r="D111" s="35"/>
      <c r="E111" s="15"/>
      <c r="F111" s="12"/>
      <c r="G111" s="3"/>
    </row>
    <row r="112" spans="3:7" x14ac:dyDescent="0.25">
      <c r="C112" s="6">
        <v>100</v>
      </c>
      <c r="D112" s="35"/>
      <c r="E112" s="15"/>
      <c r="F112" s="12"/>
      <c r="G112" s="3"/>
    </row>
    <row r="113" spans="3:7" ht="15.75" thickBot="1" x14ac:dyDescent="0.3">
      <c r="C113" s="17"/>
      <c r="D113" s="36"/>
      <c r="E113" s="19">
        <f>SUM(E103:E112)/60</f>
        <v>0</v>
      </c>
      <c r="F113" s="20">
        <f>E113/60</f>
        <v>0</v>
      </c>
      <c r="G113" s="21"/>
    </row>
    <row r="114" spans="3:7" x14ac:dyDescent="0.25">
      <c r="D114" s="38"/>
    </row>
    <row r="115" spans="3:7" x14ac:dyDescent="0.25">
      <c r="D115" s="38"/>
    </row>
    <row r="116" spans="3:7" x14ac:dyDescent="0.25">
      <c r="D116" s="38"/>
    </row>
    <row r="117" spans="3:7" x14ac:dyDescent="0.25">
      <c r="D117" s="38"/>
    </row>
    <row r="118" spans="3:7" x14ac:dyDescent="0.25">
      <c r="D118" s="38"/>
    </row>
    <row r="119" spans="3:7" x14ac:dyDescent="0.25">
      <c r="D119" s="38"/>
    </row>
    <row r="120" spans="3:7" x14ac:dyDescent="0.25">
      <c r="D120" s="38"/>
    </row>
    <row r="121" spans="3:7" x14ac:dyDescent="0.25">
      <c r="D121" s="3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K61"/>
  <sheetViews>
    <sheetView workbookViewId="0"/>
  </sheetViews>
  <sheetFormatPr defaultRowHeight="15" x14ac:dyDescent="0.25"/>
  <cols>
    <col min="3" max="3" width="6.140625" customWidth="1"/>
    <col min="7" max="7" width="75" style="1" customWidth="1"/>
    <col min="8" max="8" width="6.85546875" style="63" customWidth="1"/>
    <col min="9" max="9" width="4.7109375" style="63" customWidth="1"/>
    <col min="10" max="11" width="4.7109375" customWidth="1"/>
  </cols>
  <sheetData>
    <row r="1" spans="3:11" x14ac:dyDescent="0.25">
      <c r="G1" s="116">
        <f>SUM(E4:E13)+SUM(E15:E24)+SUM(E26:E35)+SUM(E37:E46)+SUM(E48:E57)+SUM(E59:E61)</f>
        <v>43282</v>
      </c>
    </row>
    <row r="2" spans="3:11" x14ac:dyDescent="0.25">
      <c r="C2" s="1" t="s">
        <v>41</v>
      </c>
      <c r="F2" s="23">
        <f>F14+F25+F36+F47+F58+(E59+E60+E61)/3600</f>
        <v>12.022777777777776</v>
      </c>
    </row>
    <row r="3" spans="3:11" ht="15.75" thickBot="1" x14ac:dyDescent="0.3">
      <c r="C3" s="1"/>
      <c r="F3" s="23"/>
      <c r="I3" s="115" t="s">
        <v>1004</v>
      </c>
      <c r="J3" s="115" t="s">
        <v>1132</v>
      </c>
      <c r="K3" s="115" t="s">
        <v>1133</v>
      </c>
    </row>
    <row r="4" spans="3:11" x14ac:dyDescent="0.25">
      <c r="C4" s="5">
        <v>1</v>
      </c>
      <c r="D4" s="40" t="s">
        <v>265</v>
      </c>
      <c r="E4" s="14">
        <f>10*60+8</f>
        <v>608</v>
      </c>
      <c r="F4" s="11"/>
      <c r="G4" s="2" t="s">
        <v>264</v>
      </c>
      <c r="H4" s="117">
        <f>E4/G1</f>
        <v>1.4047410008779631E-2</v>
      </c>
      <c r="I4" s="63">
        <v>1</v>
      </c>
    </row>
    <row r="5" spans="3:11" x14ac:dyDescent="0.25">
      <c r="C5" s="6">
        <v>2</v>
      </c>
      <c r="D5" s="34" t="s">
        <v>267</v>
      </c>
      <c r="E5" s="15">
        <f>26*60+36</f>
        <v>1596</v>
      </c>
      <c r="F5" s="12"/>
      <c r="G5" s="3" t="s">
        <v>266</v>
      </c>
      <c r="H5" s="117">
        <f>(E5/$G$1)+H4</f>
        <v>5.0921861281826165E-2</v>
      </c>
      <c r="I5" s="63">
        <v>1</v>
      </c>
    </row>
    <row r="6" spans="3:11" x14ac:dyDescent="0.25">
      <c r="C6" s="6">
        <v>3</v>
      </c>
      <c r="D6" s="34" t="s">
        <v>269</v>
      </c>
      <c r="E6" s="15">
        <f>28*60+14</f>
        <v>1694</v>
      </c>
      <c r="F6" s="12"/>
      <c r="G6" s="3" t="s">
        <v>268</v>
      </c>
      <c r="H6" s="117">
        <f t="shared" ref="H6:H61" si="0">(E6/$G$1)+H5</f>
        <v>9.0060533247077301E-2</v>
      </c>
      <c r="I6" s="63">
        <v>1</v>
      </c>
    </row>
    <row r="7" spans="3:11" x14ac:dyDescent="0.25">
      <c r="C7" s="6">
        <v>4</v>
      </c>
      <c r="D7" s="34" t="s">
        <v>220</v>
      </c>
      <c r="E7" s="15">
        <f>20*60+12</f>
        <v>1212</v>
      </c>
      <c r="F7" s="12"/>
      <c r="G7" s="3" t="s">
        <v>270</v>
      </c>
      <c r="H7" s="117">
        <f t="shared" si="0"/>
        <v>0.11806293609352617</v>
      </c>
      <c r="I7" s="63">
        <v>1</v>
      </c>
    </row>
    <row r="8" spans="3:11" x14ac:dyDescent="0.25">
      <c r="C8" s="6">
        <v>5</v>
      </c>
      <c r="D8" s="34" t="s">
        <v>280</v>
      </c>
      <c r="E8" s="15">
        <f>7*60+36</f>
        <v>456</v>
      </c>
      <c r="F8" s="12"/>
      <c r="G8" s="3" t="s">
        <v>271</v>
      </c>
      <c r="H8" s="117">
        <f t="shared" si="0"/>
        <v>0.12859849360011089</v>
      </c>
      <c r="I8" s="63">
        <v>1</v>
      </c>
    </row>
    <row r="9" spans="3:11" x14ac:dyDescent="0.25">
      <c r="C9" s="6">
        <v>6</v>
      </c>
      <c r="D9" s="34" t="s">
        <v>273</v>
      </c>
      <c r="E9" s="15">
        <f>35*60+41</f>
        <v>2141</v>
      </c>
      <c r="F9" s="12"/>
      <c r="G9" s="3" t="s">
        <v>272</v>
      </c>
      <c r="H9" s="117">
        <f t="shared" si="0"/>
        <v>0.17806478443694837</v>
      </c>
      <c r="I9" s="63">
        <v>1</v>
      </c>
    </row>
    <row r="10" spans="3:11" x14ac:dyDescent="0.25">
      <c r="C10" s="6">
        <v>7</v>
      </c>
      <c r="D10" s="34" t="s">
        <v>275</v>
      </c>
      <c r="E10" s="15">
        <f>30*60+41</f>
        <v>1841</v>
      </c>
      <c r="F10" s="12"/>
      <c r="G10" s="3" t="s">
        <v>274</v>
      </c>
      <c r="H10" s="117">
        <f t="shared" si="0"/>
        <v>0.22059978744050643</v>
      </c>
      <c r="I10" s="63">
        <v>1</v>
      </c>
    </row>
    <row r="11" spans="3:11" x14ac:dyDescent="0.25">
      <c r="C11" s="6">
        <v>8</v>
      </c>
      <c r="D11" s="34" t="s">
        <v>277</v>
      </c>
      <c r="E11" s="15">
        <f>10*60+4</f>
        <v>604</v>
      </c>
      <c r="F11" s="12"/>
      <c r="G11" s="3" t="s">
        <v>276</v>
      </c>
      <c r="H11" s="117">
        <f t="shared" si="0"/>
        <v>0.23455478027817567</v>
      </c>
      <c r="I11" s="63">
        <v>1</v>
      </c>
    </row>
    <row r="12" spans="3:11" x14ac:dyDescent="0.25">
      <c r="C12" s="6">
        <v>9</v>
      </c>
      <c r="D12" s="34" t="s">
        <v>279</v>
      </c>
      <c r="E12" s="15">
        <f>7*60+24</f>
        <v>444</v>
      </c>
      <c r="F12" s="12"/>
      <c r="G12" s="3" t="s">
        <v>278</v>
      </c>
      <c r="H12" s="117">
        <f t="shared" si="0"/>
        <v>0.24481308627142923</v>
      </c>
      <c r="I12" s="63">
        <v>1</v>
      </c>
    </row>
    <row r="13" spans="3:11" x14ac:dyDescent="0.25">
      <c r="C13" s="6">
        <v>10</v>
      </c>
      <c r="D13" s="34" t="s">
        <v>281</v>
      </c>
      <c r="E13" s="15">
        <f>31*60+20</f>
        <v>1880</v>
      </c>
      <c r="F13" s="12"/>
      <c r="G13" s="3" t="s">
        <v>282</v>
      </c>
      <c r="H13" s="117">
        <f t="shared" si="0"/>
        <v>0.28824915669331364</v>
      </c>
      <c r="I13" s="63">
        <v>1</v>
      </c>
    </row>
    <row r="14" spans="3:11" ht="15.75" thickBot="1" x14ac:dyDescent="0.3">
      <c r="C14" s="17"/>
      <c r="D14" s="36"/>
      <c r="E14" s="19">
        <f>SUM(E4:E13)/60</f>
        <v>207.93333333333334</v>
      </c>
      <c r="F14" s="20">
        <f>E14/60</f>
        <v>3.4655555555555555</v>
      </c>
      <c r="G14" s="21"/>
      <c r="H14" s="117">
        <f>H13</f>
        <v>0.28824915669331364</v>
      </c>
    </row>
    <row r="15" spans="3:11" x14ac:dyDescent="0.25">
      <c r="C15" s="7">
        <v>11</v>
      </c>
      <c r="D15" s="24" t="s">
        <v>284</v>
      </c>
      <c r="E15" s="16">
        <f>11*60+41</f>
        <v>701</v>
      </c>
      <c r="F15" s="13"/>
      <c r="G15" s="4" t="s">
        <v>283</v>
      </c>
      <c r="H15" s="117">
        <f t="shared" si="0"/>
        <v>0.30444526593040988</v>
      </c>
      <c r="J15">
        <v>1</v>
      </c>
    </row>
    <row r="16" spans="3:11" x14ac:dyDescent="0.25">
      <c r="C16" s="6">
        <v>12</v>
      </c>
      <c r="D16" s="34" t="s">
        <v>286</v>
      </c>
      <c r="E16" s="15">
        <f>17*60+53</f>
        <v>1073</v>
      </c>
      <c r="F16" s="12"/>
      <c r="G16" s="3" t="s">
        <v>285</v>
      </c>
      <c r="H16" s="117">
        <f t="shared" si="0"/>
        <v>0.3292361720807726</v>
      </c>
      <c r="J16">
        <v>1</v>
      </c>
    </row>
    <row r="17" spans="3:10" x14ac:dyDescent="0.25">
      <c r="C17" s="6">
        <v>13</v>
      </c>
      <c r="D17" s="34" t="s">
        <v>288</v>
      </c>
      <c r="E17" s="15">
        <f>18*60+8</f>
        <v>1088</v>
      </c>
      <c r="F17" s="12"/>
      <c r="G17" s="3" t="s">
        <v>287</v>
      </c>
      <c r="H17" s="117">
        <f t="shared" si="0"/>
        <v>0.3543736426227993</v>
      </c>
      <c r="J17">
        <v>1</v>
      </c>
    </row>
    <row r="18" spans="3:10" x14ac:dyDescent="0.25">
      <c r="C18" s="6">
        <v>14</v>
      </c>
      <c r="D18" s="34" t="s">
        <v>290</v>
      </c>
      <c r="E18" s="15">
        <f>9*60+11</f>
        <v>551</v>
      </c>
      <c r="F18" s="12"/>
      <c r="G18" s="3" t="s">
        <v>289</v>
      </c>
      <c r="H18" s="117">
        <f t="shared" si="0"/>
        <v>0.36710410794325582</v>
      </c>
      <c r="J18">
        <v>1</v>
      </c>
    </row>
    <row r="19" spans="3:10" x14ac:dyDescent="0.25">
      <c r="C19" s="6">
        <v>15</v>
      </c>
      <c r="D19" s="34" t="s">
        <v>292</v>
      </c>
      <c r="E19" s="15">
        <f>9*60+38</f>
        <v>578</v>
      </c>
      <c r="F19" s="12"/>
      <c r="G19" s="3" t="s">
        <v>291</v>
      </c>
      <c r="H19" s="117">
        <f t="shared" si="0"/>
        <v>0.3804583891687075</v>
      </c>
      <c r="J19">
        <v>1</v>
      </c>
    </row>
    <row r="20" spans="3:10" x14ac:dyDescent="0.25">
      <c r="C20" s="6">
        <v>16</v>
      </c>
      <c r="D20" s="34" t="s">
        <v>294</v>
      </c>
      <c r="E20" s="15">
        <f>13*60+13</f>
        <v>793</v>
      </c>
      <c r="F20" s="12"/>
      <c r="G20" s="3" t="s">
        <v>293</v>
      </c>
      <c r="H20" s="117">
        <f t="shared" si="0"/>
        <v>0.39878009334134279</v>
      </c>
      <c r="J20">
        <v>1</v>
      </c>
    </row>
    <row r="21" spans="3:10" x14ac:dyDescent="0.25">
      <c r="C21" s="6">
        <v>17</v>
      </c>
      <c r="D21" s="34" t="s">
        <v>296</v>
      </c>
      <c r="E21" s="15">
        <f>12*60+53</f>
        <v>773</v>
      </c>
      <c r="F21" s="12"/>
      <c r="G21" s="3" t="s">
        <v>295</v>
      </c>
      <c r="H21" s="117">
        <f t="shared" si="0"/>
        <v>0.41663971165842612</v>
      </c>
      <c r="J21">
        <v>1</v>
      </c>
    </row>
    <row r="22" spans="3:10" x14ac:dyDescent="0.25">
      <c r="C22" s="6">
        <v>18</v>
      </c>
      <c r="D22" s="34" t="s">
        <v>298</v>
      </c>
      <c r="E22" s="15">
        <f>7*60+46</f>
        <v>466</v>
      </c>
      <c r="F22" s="12"/>
      <c r="G22" s="3" t="s">
        <v>297</v>
      </c>
      <c r="H22" s="117">
        <f t="shared" si="0"/>
        <v>0.42740631209278684</v>
      </c>
      <c r="J22">
        <v>1</v>
      </c>
    </row>
    <row r="23" spans="3:10" x14ac:dyDescent="0.25">
      <c r="C23" s="6">
        <v>19</v>
      </c>
      <c r="D23" s="34" t="s">
        <v>300</v>
      </c>
      <c r="E23" s="15">
        <f>8*60+16</f>
        <v>496</v>
      </c>
      <c r="F23" s="12"/>
      <c r="G23" s="3" t="s">
        <v>299</v>
      </c>
      <c r="H23" s="117">
        <f t="shared" si="0"/>
        <v>0.43886604131047546</v>
      </c>
      <c r="J23">
        <v>1</v>
      </c>
    </row>
    <row r="24" spans="3:10" x14ac:dyDescent="0.25">
      <c r="C24" s="6">
        <v>20</v>
      </c>
      <c r="D24" s="39" t="s">
        <v>302</v>
      </c>
      <c r="E24" s="15">
        <f>18*60+50</f>
        <v>1130</v>
      </c>
      <c r="F24" s="12"/>
      <c r="G24" s="3" t="s">
        <v>301</v>
      </c>
      <c r="H24" s="117">
        <f t="shared" si="0"/>
        <v>0.46497389214916129</v>
      </c>
      <c r="J24">
        <v>1</v>
      </c>
    </row>
    <row r="25" spans="3:10" ht="15.75" thickBot="1" x14ac:dyDescent="0.3">
      <c r="C25" s="17"/>
      <c r="D25" s="36"/>
      <c r="E25" s="19">
        <f>SUM(E15:E24)/60</f>
        <v>127.48333333333333</v>
      </c>
      <c r="F25" s="20">
        <f>E25/60</f>
        <v>2.1247222222222222</v>
      </c>
      <c r="G25" s="21"/>
      <c r="H25" s="117">
        <f>H24</f>
        <v>0.46497389214916129</v>
      </c>
      <c r="J25">
        <v>1</v>
      </c>
    </row>
    <row r="26" spans="3:10" x14ac:dyDescent="0.25">
      <c r="C26" s="5">
        <v>21</v>
      </c>
      <c r="D26" s="40" t="s">
        <v>304</v>
      </c>
      <c r="E26" s="14">
        <f>16*60+4</f>
        <v>964</v>
      </c>
      <c r="F26" s="11"/>
      <c r="G26" s="2" t="s">
        <v>303</v>
      </c>
      <c r="H26" s="117">
        <f t="shared" si="0"/>
        <v>0.48724643038676585</v>
      </c>
      <c r="J26">
        <v>1</v>
      </c>
    </row>
    <row r="27" spans="3:10" x14ac:dyDescent="0.25">
      <c r="C27" s="6">
        <v>22</v>
      </c>
      <c r="D27" s="34" t="s">
        <v>306</v>
      </c>
      <c r="E27" s="15">
        <f>7*60+27</f>
        <v>447</v>
      </c>
      <c r="F27" s="12"/>
      <c r="G27" s="3" t="s">
        <v>305</v>
      </c>
      <c r="H27" s="117">
        <f t="shared" si="0"/>
        <v>0.49757404925835219</v>
      </c>
      <c r="J27">
        <v>1</v>
      </c>
    </row>
    <row r="28" spans="3:10" x14ac:dyDescent="0.25">
      <c r="C28" s="6">
        <v>23</v>
      </c>
      <c r="D28" s="34" t="s">
        <v>308</v>
      </c>
      <c r="E28" s="15">
        <f>60+22</f>
        <v>82</v>
      </c>
      <c r="F28" s="12"/>
      <c r="G28" s="3" t="s">
        <v>307</v>
      </c>
      <c r="H28" s="117">
        <f t="shared" si="0"/>
        <v>0.49946860126611525</v>
      </c>
      <c r="J28">
        <v>1</v>
      </c>
    </row>
    <row r="29" spans="3:10" x14ac:dyDescent="0.25">
      <c r="C29" s="6">
        <v>24</v>
      </c>
      <c r="D29" s="34" t="s">
        <v>310</v>
      </c>
      <c r="E29" s="15">
        <f>23*60+5</f>
        <v>1385</v>
      </c>
      <c r="F29" s="12"/>
      <c r="G29" s="3" t="s">
        <v>309</v>
      </c>
      <c r="H29" s="117">
        <f t="shared" si="0"/>
        <v>0.53146804676308856</v>
      </c>
      <c r="J29">
        <v>1</v>
      </c>
    </row>
    <row r="30" spans="3:10" x14ac:dyDescent="0.25">
      <c r="C30" s="6">
        <v>25</v>
      </c>
      <c r="D30" s="34" t="s">
        <v>312</v>
      </c>
      <c r="E30" s="15">
        <f>15*60+29</f>
        <v>929</v>
      </c>
      <c r="F30" s="12"/>
      <c r="G30" s="3" t="s">
        <v>311</v>
      </c>
      <c r="H30" s="117">
        <f t="shared" si="0"/>
        <v>0.55293193475347713</v>
      </c>
      <c r="J30">
        <v>1</v>
      </c>
    </row>
    <row r="31" spans="3:10" x14ac:dyDescent="0.25">
      <c r="C31" s="6">
        <v>26</v>
      </c>
      <c r="D31" s="34" t="s">
        <v>314</v>
      </c>
      <c r="E31" s="15">
        <f>5*60+55</f>
        <v>355</v>
      </c>
      <c r="F31" s="12"/>
      <c r="G31" s="3" t="s">
        <v>313</v>
      </c>
      <c r="H31" s="117">
        <f t="shared" si="0"/>
        <v>0.56113395868952443</v>
      </c>
      <c r="J31">
        <v>1</v>
      </c>
    </row>
    <row r="32" spans="3:10" x14ac:dyDescent="0.25">
      <c r="C32" s="6">
        <v>27</v>
      </c>
      <c r="D32" s="34" t="s">
        <v>316</v>
      </c>
      <c r="E32" s="15">
        <f>10*60+39</f>
        <v>639</v>
      </c>
      <c r="F32" s="12"/>
      <c r="G32" s="3" t="s">
        <v>315</v>
      </c>
      <c r="H32" s="117">
        <f t="shared" si="0"/>
        <v>0.57589760177440963</v>
      </c>
      <c r="J32">
        <v>1</v>
      </c>
    </row>
    <row r="33" spans="3:11" x14ac:dyDescent="0.25">
      <c r="C33" s="6">
        <v>28</v>
      </c>
      <c r="D33" s="34" t="s">
        <v>318</v>
      </c>
      <c r="E33" s="15">
        <f>6*60+27</f>
        <v>387</v>
      </c>
      <c r="F33" s="12"/>
      <c r="G33" s="3" t="s">
        <v>317</v>
      </c>
      <c r="H33" s="117">
        <f t="shared" si="0"/>
        <v>0.58483896307934014</v>
      </c>
      <c r="J33">
        <v>1</v>
      </c>
    </row>
    <row r="34" spans="3:11" x14ac:dyDescent="0.25">
      <c r="C34" s="6">
        <v>29</v>
      </c>
      <c r="D34" s="34" t="s">
        <v>185</v>
      </c>
      <c r="E34" s="15">
        <f>10*60+31</f>
        <v>631</v>
      </c>
      <c r="F34" s="12"/>
      <c r="G34" s="3" t="s">
        <v>319</v>
      </c>
      <c r="H34" s="117">
        <f t="shared" si="0"/>
        <v>0.59941777182200451</v>
      </c>
      <c r="J34">
        <v>1</v>
      </c>
    </row>
    <row r="35" spans="3:11" x14ac:dyDescent="0.25">
      <c r="C35" s="6">
        <v>30</v>
      </c>
      <c r="D35" s="34" t="s">
        <v>321</v>
      </c>
      <c r="E35" s="15">
        <f>3*60+10</f>
        <v>190</v>
      </c>
      <c r="F35" s="12"/>
      <c r="G35" s="3" t="s">
        <v>320</v>
      </c>
      <c r="H35" s="117">
        <f t="shared" si="0"/>
        <v>0.60380758744974816</v>
      </c>
      <c r="J35">
        <v>1</v>
      </c>
    </row>
    <row r="36" spans="3:11" ht="15.75" thickBot="1" x14ac:dyDescent="0.3">
      <c r="C36" s="17"/>
      <c r="D36" s="36"/>
      <c r="E36" s="19">
        <f>SUM(E26:E35)/60</f>
        <v>100.15</v>
      </c>
      <c r="F36" s="20">
        <f>E36/60</f>
        <v>1.6691666666666667</v>
      </c>
      <c r="G36" s="21"/>
      <c r="H36" s="117">
        <f>H35</f>
        <v>0.60380758744974816</v>
      </c>
      <c r="J36">
        <v>1</v>
      </c>
    </row>
    <row r="37" spans="3:11" x14ac:dyDescent="0.25">
      <c r="C37" s="7">
        <v>31</v>
      </c>
      <c r="D37" s="24" t="s">
        <v>373</v>
      </c>
      <c r="E37" s="16">
        <f>8*60+18</f>
        <v>498</v>
      </c>
      <c r="F37" s="13"/>
      <c r="G37" s="4" t="s">
        <v>372</v>
      </c>
      <c r="H37" s="117">
        <f t="shared" si="0"/>
        <v>0.61531352525299199</v>
      </c>
      <c r="J37">
        <v>1</v>
      </c>
    </row>
    <row r="38" spans="3:11" x14ac:dyDescent="0.25">
      <c r="C38" s="6">
        <v>32</v>
      </c>
      <c r="D38" s="34" t="s">
        <v>375</v>
      </c>
      <c r="E38" s="15">
        <f>11*60+22</f>
        <v>682</v>
      </c>
      <c r="F38" s="12"/>
      <c r="G38" s="3" t="s">
        <v>374</v>
      </c>
      <c r="H38" s="117">
        <f t="shared" si="0"/>
        <v>0.6310706529273139</v>
      </c>
      <c r="J38" s="22"/>
      <c r="K38">
        <v>1</v>
      </c>
    </row>
    <row r="39" spans="3:11" x14ac:dyDescent="0.25">
      <c r="C39" s="6">
        <v>33</v>
      </c>
      <c r="D39" s="34" t="s">
        <v>377</v>
      </c>
      <c r="E39" s="15">
        <f>12*60+39</f>
        <v>759</v>
      </c>
      <c r="F39" s="12"/>
      <c r="G39" s="3" t="s">
        <v>376</v>
      </c>
      <c r="H39" s="117">
        <f t="shared" si="0"/>
        <v>0.64860681114551089</v>
      </c>
      <c r="J39" s="22"/>
      <c r="K39">
        <v>1</v>
      </c>
    </row>
    <row r="40" spans="3:11" x14ac:dyDescent="0.25">
      <c r="C40" s="6">
        <v>34</v>
      </c>
      <c r="D40" s="34" t="s">
        <v>379</v>
      </c>
      <c r="E40" s="15">
        <f>22*60+7</f>
        <v>1327</v>
      </c>
      <c r="F40" s="12"/>
      <c r="G40" s="3" t="s">
        <v>378</v>
      </c>
      <c r="H40" s="117">
        <f t="shared" si="0"/>
        <v>0.67926620766138357</v>
      </c>
      <c r="K40">
        <v>1</v>
      </c>
    </row>
    <row r="41" spans="3:11" x14ac:dyDescent="0.25">
      <c r="C41" s="6">
        <v>35</v>
      </c>
      <c r="D41" s="34" t="s">
        <v>381</v>
      </c>
      <c r="E41" s="15">
        <f>22*60+59</f>
        <v>1379</v>
      </c>
      <c r="F41" s="12"/>
      <c r="G41" s="3" t="s">
        <v>380</v>
      </c>
      <c r="H41" s="117">
        <f t="shared" si="0"/>
        <v>0.71112702740169131</v>
      </c>
      <c r="K41">
        <v>1</v>
      </c>
    </row>
    <row r="42" spans="3:11" x14ac:dyDescent="0.25">
      <c r="C42" s="6">
        <v>36</v>
      </c>
      <c r="D42" s="34" t="s">
        <v>383</v>
      </c>
      <c r="E42" s="15">
        <f>3*60+35</f>
        <v>215</v>
      </c>
      <c r="F42" s="12"/>
      <c r="G42" s="3" t="s">
        <v>382</v>
      </c>
      <c r="H42" s="117">
        <f t="shared" si="0"/>
        <v>0.71609445034887487</v>
      </c>
      <c r="K42">
        <v>1</v>
      </c>
    </row>
    <row r="43" spans="3:11" x14ac:dyDescent="0.25">
      <c r="C43" s="6">
        <v>37</v>
      </c>
      <c r="D43" s="34" t="s">
        <v>385</v>
      </c>
      <c r="E43" s="15">
        <f>10*60+49</f>
        <v>649</v>
      </c>
      <c r="F43" s="12"/>
      <c r="G43" s="3" t="s">
        <v>384</v>
      </c>
      <c r="H43" s="117">
        <f t="shared" si="0"/>
        <v>0.73108913636153605</v>
      </c>
      <c r="K43">
        <v>1</v>
      </c>
    </row>
    <row r="44" spans="3:11" x14ac:dyDescent="0.25">
      <c r="C44" s="6">
        <v>38</v>
      </c>
      <c r="D44" s="34" t="s">
        <v>387</v>
      </c>
      <c r="E44" s="15">
        <f>10*60+19</f>
        <v>619</v>
      </c>
      <c r="F44" s="12"/>
      <c r="G44" s="3" t="s">
        <v>386</v>
      </c>
      <c r="H44" s="117">
        <f t="shared" si="0"/>
        <v>0.74539069359086929</v>
      </c>
      <c r="K44">
        <v>1</v>
      </c>
    </row>
    <row r="45" spans="3:11" x14ac:dyDescent="0.25">
      <c r="C45" s="6">
        <v>39</v>
      </c>
      <c r="D45" s="34" t="s">
        <v>389</v>
      </c>
      <c r="E45" s="15">
        <f>10*60+42</f>
        <v>642</v>
      </c>
      <c r="F45" s="12"/>
      <c r="G45" s="3" t="s">
        <v>388</v>
      </c>
      <c r="H45" s="117">
        <f t="shared" si="0"/>
        <v>0.76022364955408728</v>
      </c>
      <c r="K45">
        <v>1</v>
      </c>
    </row>
    <row r="46" spans="3:11" x14ac:dyDescent="0.25">
      <c r="C46" s="6">
        <v>40</v>
      </c>
      <c r="D46" s="34" t="s">
        <v>391</v>
      </c>
      <c r="E46" s="15">
        <f>10*60+16</f>
        <v>616</v>
      </c>
      <c r="F46" s="12"/>
      <c r="G46" s="3" t="s">
        <v>390</v>
      </c>
      <c r="H46" s="117">
        <f t="shared" si="0"/>
        <v>0.77445589390508773</v>
      </c>
      <c r="K46">
        <v>1</v>
      </c>
    </row>
    <row r="47" spans="3:11" ht="15.75" thickBot="1" x14ac:dyDescent="0.3">
      <c r="C47" s="17"/>
      <c r="D47" s="36"/>
      <c r="E47" s="19">
        <f>SUM(E37:E46)/60</f>
        <v>123.1</v>
      </c>
      <c r="F47" s="20">
        <f>E47/60</f>
        <v>2.0516666666666667</v>
      </c>
      <c r="G47" s="21"/>
      <c r="H47" s="117">
        <f>H46</f>
        <v>0.77445589390508773</v>
      </c>
      <c r="K47">
        <v>1</v>
      </c>
    </row>
    <row r="48" spans="3:11" x14ac:dyDescent="0.25">
      <c r="C48" s="7">
        <v>41</v>
      </c>
      <c r="D48" s="24" t="s">
        <v>393</v>
      </c>
      <c r="E48" s="16">
        <f>3*60+23</f>
        <v>203</v>
      </c>
      <c r="F48" s="13"/>
      <c r="G48" s="4" t="s">
        <v>392</v>
      </c>
      <c r="H48" s="117">
        <f t="shared" si="0"/>
        <v>0.77914606533894015</v>
      </c>
      <c r="K48">
        <v>1</v>
      </c>
    </row>
    <row r="49" spans="3:11" x14ac:dyDescent="0.25">
      <c r="C49" s="6">
        <v>42</v>
      </c>
      <c r="D49" s="34" t="s">
        <v>395</v>
      </c>
      <c r="E49" s="15">
        <f>8*60+37</f>
        <v>517</v>
      </c>
      <c r="F49" s="12"/>
      <c r="G49" s="3" t="s">
        <v>394</v>
      </c>
      <c r="H49" s="117">
        <f t="shared" si="0"/>
        <v>0.79109098470495831</v>
      </c>
      <c r="K49">
        <v>1</v>
      </c>
    </row>
    <row r="50" spans="3:11" x14ac:dyDescent="0.25">
      <c r="C50" s="6">
        <v>43</v>
      </c>
      <c r="D50" s="34" t="s">
        <v>397</v>
      </c>
      <c r="E50" s="15">
        <f>26*60+58</f>
        <v>1618</v>
      </c>
      <c r="F50" s="12"/>
      <c r="G50" s="3" t="s">
        <v>396</v>
      </c>
      <c r="H50" s="117">
        <f t="shared" si="0"/>
        <v>0.82847373041911199</v>
      </c>
      <c r="K50">
        <v>1</v>
      </c>
    </row>
    <row r="51" spans="3:11" x14ac:dyDescent="0.25">
      <c r="C51" s="6">
        <v>44</v>
      </c>
      <c r="D51" s="34" t="s">
        <v>399</v>
      </c>
      <c r="E51" s="15">
        <f>5*60+14</f>
        <v>314</v>
      </c>
      <c r="F51" s="12"/>
      <c r="G51" s="3" t="s">
        <v>398</v>
      </c>
      <c r="H51" s="117">
        <f t="shared" si="0"/>
        <v>0.83572847835127784</v>
      </c>
      <c r="K51">
        <v>1</v>
      </c>
    </row>
    <row r="52" spans="3:11" x14ac:dyDescent="0.25">
      <c r="C52" s="6">
        <v>45</v>
      </c>
      <c r="D52" s="34" t="s">
        <v>401</v>
      </c>
      <c r="E52" s="15">
        <f>23*60+4</f>
        <v>1384</v>
      </c>
      <c r="F52" s="12"/>
      <c r="G52" s="3" t="s">
        <v>400</v>
      </c>
      <c r="H52" s="117">
        <f t="shared" si="0"/>
        <v>0.86770481955547363</v>
      </c>
      <c r="K52">
        <v>1</v>
      </c>
    </row>
    <row r="53" spans="3:11" x14ac:dyDescent="0.25">
      <c r="C53" s="6">
        <v>46</v>
      </c>
      <c r="D53" s="34" t="s">
        <v>403</v>
      </c>
      <c r="E53" s="15">
        <f>14*60+37</f>
        <v>877</v>
      </c>
      <c r="F53" s="12"/>
      <c r="G53" s="3" t="s">
        <v>402</v>
      </c>
      <c r="H53" s="117">
        <f t="shared" si="0"/>
        <v>0.88796728432142713</v>
      </c>
      <c r="K53">
        <v>1</v>
      </c>
    </row>
    <row r="54" spans="3:11" x14ac:dyDescent="0.25">
      <c r="C54" s="6">
        <v>47</v>
      </c>
      <c r="D54" s="34" t="s">
        <v>405</v>
      </c>
      <c r="E54" s="15">
        <f>16*60+2</f>
        <v>962</v>
      </c>
      <c r="F54" s="12"/>
      <c r="G54" s="3" t="s">
        <v>404</v>
      </c>
      <c r="H54" s="117">
        <f t="shared" si="0"/>
        <v>0.91019361397347653</v>
      </c>
      <c r="K54">
        <v>1</v>
      </c>
    </row>
    <row r="55" spans="3:11" x14ac:dyDescent="0.25">
      <c r="C55" s="6">
        <v>48</v>
      </c>
      <c r="D55" s="34" t="s">
        <v>407</v>
      </c>
      <c r="E55" s="15">
        <f>13*60+45</f>
        <v>825</v>
      </c>
      <c r="F55" s="12"/>
      <c r="G55" s="3" t="s">
        <v>406</v>
      </c>
      <c r="H55" s="117">
        <f t="shared" si="0"/>
        <v>0.92925465551499498</v>
      </c>
      <c r="K55">
        <v>1</v>
      </c>
    </row>
    <row r="56" spans="3:11" x14ac:dyDescent="0.25">
      <c r="C56" s="6">
        <v>49</v>
      </c>
      <c r="D56" s="34" t="s">
        <v>409</v>
      </c>
      <c r="E56" s="15">
        <f>2*60+57</f>
        <v>177</v>
      </c>
      <c r="F56" s="12"/>
      <c r="G56" s="3" t="s">
        <v>408</v>
      </c>
      <c r="H56" s="117">
        <f t="shared" si="0"/>
        <v>0.93334411533662986</v>
      </c>
      <c r="K56">
        <v>1</v>
      </c>
    </row>
    <row r="57" spans="3:11" x14ac:dyDescent="0.25">
      <c r="C57" s="6">
        <v>50</v>
      </c>
      <c r="D57" s="34" t="s">
        <v>411</v>
      </c>
      <c r="E57" s="15">
        <f>14*60+5</f>
        <v>845</v>
      </c>
      <c r="F57" s="12"/>
      <c r="G57" s="3" t="s">
        <v>410</v>
      </c>
      <c r="H57" s="117">
        <f t="shared" si="0"/>
        <v>0.95286724273370027</v>
      </c>
      <c r="K57">
        <v>1</v>
      </c>
    </row>
    <row r="58" spans="3:11" ht="15.75" thickBot="1" x14ac:dyDescent="0.3">
      <c r="C58" s="17"/>
      <c r="D58" s="36"/>
      <c r="E58" s="19">
        <f>SUM(E48:E57)/60</f>
        <v>128.69999999999999</v>
      </c>
      <c r="F58" s="20">
        <f>E58/60</f>
        <v>2.145</v>
      </c>
      <c r="G58" s="21"/>
      <c r="H58" s="117">
        <f>H57</f>
        <v>0.95286724273370027</v>
      </c>
      <c r="K58">
        <v>1</v>
      </c>
    </row>
    <row r="59" spans="3:11" x14ac:dyDescent="0.25">
      <c r="C59" s="7">
        <v>51</v>
      </c>
      <c r="D59" s="24" t="s">
        <v>413</v>
      </c>
      <c r="E59" s="16">
        <f>2*60+59</f>
        <v>179</v>
      </c>
      <c r="F59" s="13"/>
      <c r="G59" s="4" t="s">
        <v>412</v>
      </c>
      <c r="H59" s="117">
        <f t="shared" si="0"/>
        <v>0.95700291114089031</v>
      </c>
      <c r="K59">
        <v>1</v>
      </c>
    </row>
    <row r="60" spans="3:11" x14ac:dyDescent="0.25">
      <c r="C60" s="6">
        <v>52</v>
      </c>
      <c r="D60" s="34" t="s">
        <v>415</v>
      </c>
      <c r="E60" s="15">
        <f>20*60+24</f>
        <v>1224</v>
      </c>
      <c r="F60" s="12"/>
      <c r="G60" s="3" t="s">
        <v>414</v>
      </c>
      <c r="H60" s="117">
        <f t="shared" si="0"/>
        <v>0.98528256550067039</v>
      </c>
      <c r="K60">
        <v>1</v>
      </c>
    </row>
    <row r="61" spans="3:11" x14ac:dyDescent="0.25">
      <c r="C61" s="7">
        <v>53</v>
      </c>
      <c r="D61" s="34" t="s">
        <v>417</v>
      </c>
      <c r="E61" s="15">
        <f>10*60+37</f>
        <v>637</v>
      </c>
      <c r="F61" s="12"/>
      <c r="G61" s="3" t="s">
        <v>416</v>
      </c>
      <c r="H61" s="117">
        <f t="shared" si="0"/>
        <v>1.0000000000000004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K112"/>
  <sheetViews>
    <sheetView topLeftCell="A8" workbookViewId="0"/>
  </sheetViews>
  <sheetFormatPr defaultRowHeight="15" x14ac:dyDescent="0.25"/>
  <cols>
    <col min="3" max="3" width="6.140625" customWidth="1"/>
    <col min="7" max="7" width="89.7109375" style="1" customWidth="1"/>
    <col min="9" max="9" width="5.5703125" style="120" customWidth="1"/>
    <col min="10" max="10" width="10.42578125" style="63" customWidth="1"/>
  </cols>
  <sheetData>
    <row r="1" spans="3:10" x14ac:dyDescent="0.25">
      <c r="G1" s="116">
        <f>SUM(E4:E13)+SUM(E15:E24)+SUM(E26:E30)</f>
        <v>17977</v>
      </c>
    </row>
    <row r="2" spans="3:10" x14ac:dyDescent="0.25">
      <c r="C2" s="1" t="s">
        <v>41</v>
      </c>
      <c r="F2" s="23">
        <f>F14+F25+(E26+E27+E28+E29+E30)/3600</f>
        <v>4.993611111111111</v>
      </c>
    </row>
    <row r="3" spans="3:10" ht="15.75" thickBot="1" x14ac:dyDescent="0.3">
      <c r="C3" s="1"/>
      <c r="F3" s="23"/>
      <c r="J3" s="113" t="s">
        <v>1620</v>
      </c>
    </row>
    <row r="4" spans="3:10" x14ac:dyDescent="0.25">
      <c r="C4" s="5">
        <v>1</v>
      </c>
      <c r="D4" s="40" t="s">
        <v>323</v>
      </c>
      <c r="E4" s="14">
        <f>18*60+1</f>
        <v>1081</v>
      </c>
      <c r="F4" s="11"/>
      <c r="G4" s="2" t="s">
        <v>322</v>
      </c>
      <c r="H4" s="25"/>
      <c r="I4" s="119">
        <f>E4/G1</f>
        <v>6.013239138899705E-2</v>
      </c>
      <c r="J4" s="63">
        <v>1</v>
      </c>
    </row>
    <row r="5" spans="3:10" x14ac:dyDescent="0.25">
      <c r="C5" s="6">
        <v>2</v>
      </c>
      <c r="D5" s="34" t="s">
        <v>325</v>
      </c>
      <c r="E5" s="15">
        <f>15*60+27</f>
        <v>927</v>
      </c>
      <c r="F5" s="12"/>
      <c r="G5" s="3" t="s">
        <v>324</v>
      </c>
      <c r="H5" s="25"/>
      <c r="I5" s="119">
        <f t="shared" ref="I5:I13" si="0">(E5/$G$1)+I4</f>
        <v>0.1116982811370084</v>
      </c>
      <c r="J5" s="63">
        <v>1</v>
      </c>
    </row>
    <row r="6" spans="3:10" x14ac:dyDescent="0.25">
      <c r="C6" s="6">
        <v>3</v>
      </c>
      <c r="D6" s="34" t="s">
        <v>327</v>
      </c>
      <c r="E6" s="15">
        <f>16*60+26</f>
        <v>986</v>
      </c>
      <c r="F6" s="12"/>
      <c r="G6" s="3" t="s">
        <v>326</v>
      </c>
      <c r="H6" s="25"/>
      <c r="I6" s="119">
        <f t="shared" si="0"/>
        <v>0.16654614229292986</v>
      </c>
      <c r="J6" s="63">
        <v>1</v>
      </c>
    </row>
    <row r="7" spans="3:10" x14ac:dyDescent="0.25">
      <c r="C7" s="6">
        <v>4</v>
      </c>
      <c r="D7" s="34" t="s">
        <v>329</v>
      </c>
      <c r="E7" s="15">
        <f>6*60+19</f>
        <v>379</v>
      </c>
      <c r="F7" s="12"/>
      <c r="G7" s="3" t="s">
        <v>328</v>
      </c>
      <c r="H7" s="25"/>
      <c r="I7" s="119">
        <f t="shared" si="0"/>
        <v>0.18762863659119988</v>
      </c>
      <c r="J7" s="63">
        <v>1</v>
      </c>
    </row>
    <row r="8" spans="3:10" x14ac:dyDescent="0.25">
      <c r="C8" s="6">
        <v>5</v>
      </c>
      <c r="D8" s="34" t="s">
        <v>331</v>
      </c>
      <c r="E8" s="15">
        <f>7*60+37</f>
        <v>457</v>
      </c>
      <c r="F8" s="12"/>
      <c r="G8" s="3" t="s">
        <v>330</v>
      </c>
      <c r="H8" s="25"/>
      <c r="I8" s="119">
        <f t="shared" si="0"/>
        <v>0.21305000834399512</v>
      </c>
      <c r="J8" s="63">
        <v>1</v>
      </c>
    </row>
    <row r="9" spans="3:10" x14ac:dyDescent="0.25">
      <c r="C9" s="6">
        <v>6</v>
      </c>
      <c r="D9" s="34" t="s">
        <v>333</v>
      </c>
      <c r="E9" s="15">
        <f>8*60+49</f>
        <v>529</v>
      </c>
      <c r="F9" s="12"/>
      <c r="G9" s="3" t="s">
        <v>332</v>
      </c>
      <c r="H9" s="25"/>
      <c r="I9" s="119">
        <f t="shared" si="0"/>
        <v>0.24247649774712135</v>
      </c>
      <c r="J9" s="63">
        <v>1</v>
      </c>
    </row>
    <row r="10" spans="3:10" x14ac:dyDescent="0.25">
      <c r="C10" s="6">
        <v>7</v>
      </c>
      <c r="D10" s="34" t="s">
        <v>335</v>
      </c>
      <c r="E10" s="15">
        <f>12*60+8</f>
        <v>728</v>
      </c>
      <c r="F10" s="12"/>
      <c r="G10" s="3" t="s">
        <v>334</v>
      </c>
      <c r="I10" s="119">
        <f t="shared" si="0"/>
        <v>0.28297268732269015</v>
      </c>
      <c r="J10" s="63">
        <v>1</v>
      </c>
    </row>
    <row r="11" spans="3:10" x14ac:dyDescent="0.25">
      <c r="C11" s="6">
        <v>8</v>
      </c>
      <c r="D11" s="34" t="s">
        <v>337</v>
      </c>
      <c r="E11" s="15">
        <f>16*60+17</f>
        <v>977</v>
      </c>
      <c r="F11" s="12"/>
      <c r="G11" s="3" t="s">
        <v>336</v>
      </c>
      <c r="I11" s="119">
        <f t="shared" si="0"/>
        <v>0.33731990877232021</v>
      </c>
      <c r="J11" s="63">
        <v>1</v>
      </c>
    </row>
    <row r="12" spans="3:10" x14ac:dyDescent="0.25">
      <c r="C12" s="6">
        <v>9</v>
      </c>
      <c r="D12" s="34" t="s">
        <v>339</v>
      </c>
      <c r="E12" s="15">
        <f>6*60+51</f>
        <v>411</v>
      </c>
      <c r="F12" s="12"/>
      <c r="G12" s="3" t="s">
        <v>338</v>
      </c>
      <c r="I12" s="119">
        <f t="shared" si="0"/>
        <v>0.36018245535962623</v>
      </c>
      <c r="J12" s="63">
        <v>1</v>
      </c>
    </row>
    <row r="13" spans="3:10" x14ac:dyDescent="0.25">
      <c r="C13" s="6">
        <v>10</v>
      </c>
      <c r="D13" s="34" t="s">
        <v>341</v>
      </c>
      <c r="E13" s="15">
        <f>10*60</f>
        <v>600</v>
      </c>
      <c r="F13" s="12"/>
      <c r="G13" s="3" t="s">
        <v>340</v>
      </c>
      <c r="I13" s="119">
        <f t="shared" si="0"/>
        <v>0.39355843577905103</v>
      </c>
      <c r="J13" s="63">
        <v>1</v>
      </c>
    </row>
    <row r="14" spans="3:10" ht="15.75" thickBot="1" x14ac:dyDescent="0.3">
      <c r="C14" s="17"/>
      <c r="D14" s="36"/>
      <c r="E14" s="19">
        <f>SUM(E4:E13)/60</f>
        <v>117.91666666666667</v>
      </c>
      <c r="F14" s="20">
        <f>E14/60</f>
        <v>1.9652777777777779</v>
      </c>
      <c r="G14" s="21"/>
      <c r="I14" s="119"/>
    </row>
    <row r="15" spans="3:10" x14ac:dyDescent="0.25">
      <c r="C15" s="7">
        <v>11</v>
      </c>
      <c r="D15" s="24" t="s">
        <v>343</v>
      </c>
      <c r="E15" s="16">
        <f>13*60+21</f>
        <v>801</v>
      </c>
      <c r="F15" s="13"/>
      <c r="G15" s="4" t="s">
        <v>342</v>
      </c>
      <c r="I15" s="119">
        <f>(E15/$G$1)+I13</f>
        <v>0.43811536963898318</v>
      </c>
      <c r="J15" s="63">
        <v>1</v>
      </c>
    </row>
    <row r="16" spans="3:10" x14ac:dyDescent="0.25">
      <c r="C16" s="6">
        <v>12</v>
      </c>
      <c r="D16" s="34" t="s">
        <v>345</v>
      </c>
      <c r="E16" s="15">
        <f>20*60+8</f>
        <v>1208</v>
      </c>
      <c r="F16" s="12"/>
      <c r="G16" s="3" t="s">
        <v>344</v>
      </c>
      <c r="I16" s="119">
        <f t="shared" ref="I16:I24" si="1">(E16/$G$1)+I15</f>
        <v>0.5053123435500918</v>
      </c>
      <c r="J16" s="63">
        <v>1</v>
      </c>
    </row>
    <row r="17" spans="3:11" x14ac:dyDescent="0.25">
      <c r="C17" s="6">
        <v>13</v>
      </c>
      <c r="D17" s="34" t="s">
        <v>347</v>
      </c>
      <c r="E17" s="15">
        <f>6*60+45</f>
        <v>405</v>
      </c>
      <c r="F17" s="12"/>
      <c r="G17" s="3" t="s">
        <v>346</v>
      </c>
      <c r="I17" s="119">
        <f t="shared" si="1"/>
        <v>0.52784113033320357</v>
      </c>
      <c r="J17" s="63">
        <v>1</v>
      </c>
    </row>
    <row r="18" spans="3:11" x14ac:dyDescent="0.25">
      <c r="C18" s="6">
        <v>14</v>
      </c>
      <c r="D18" s="34" t="s">
        <v>349</v>
      </c>
      <c r="E18" s="15">
        <f>8*60+8</f>
        <v>488</v>
      </c>
      <c r="F18" s="12"/>
      <c r="G18" s="3" t="s">
        <v>348</v>
      </c>
      <c r="I18" s="119">
        <f t="shared" si="1"/>
        <v>0.55498692774100244</v>
      </c>
      <c r="J18" s="63">
        <v>1</v>
      </c>
    </row>
    <row r="19" spans="3:11" x14ac:dyDescent="0.25">
      <c r="C19" s="6">
        <v>15</v>
      </c>
      <c r="D19" s="34" t="s">
        <v>351</v>
      </c>
      <c r="E19" s="15">
        <f>4*60+48</f>
        <v>288</v>
      </c>
      <c r="F19" s="12"/>
      <c r="G19" s="3" t="s">
        <v>350</v>
      </c>
      <c r="I19" s="119">
        <f t="shared" si="1"/>
        <v>0.57100739834232639</v>
      </c>
      <c r="J19" s="63">
        <v>1</v>
      </c>
    </row>
    <row r="20" spans="3:11" x14ac:dyDescent="0.25">
      <c r="C20" s="6">
        <v>16</v>
      </c>
      <c r="D20" s="34" t="s">
        <v>352</v>
      </c>
      <c r="E20" s="15">
        <f>11*60+6</f>
        <v>666</v>
      </c>
      <c r="F20" s="12"/>
      <c r="G20" s="3" t="s">
        <v>353</v>
      </c>
      <c r="I20" s="119">
        <f t="shared" si="1"/>
        <v>0.60805473660788789</v>
      </c>
      <c r="J20" s="63">
        <v>1</v>
      </c>
    </row>
    <row r="21" spans="3:11" x14ac:dyDescent="0.25">
      <c r="C21" s="6">
        <v>17</v>
      </c>
      <c r="D21" s="34" t="s">
        <v>355</v>
      </c>
      <c r="E21" s="15">
        <f>6*60+28</f>
        <v>388</v>
      </c>
      <c r="F21" s="12"/>
      <c r="G21" s="3" t="s">
        <v>354</v>
      </c>
      <c r="I21" s="119">
        <f t="shared" si="1"/>
        <v>0.62963787061244925</v>
      </c>
      <c r="J21" s="63">
        <v>1</v>
      </c>
    </row>
    <row r="22" spans="3:11" x14ac:dyDescent="0.25">
      <c r="C22" s="6">
        <v>18</v>
      </c>
      <c r="D22" s="34" t="s">
        <v>357</v>
      </c>
      <c r="E22" s="15">
        <f>21*60+6</f>
        <v>1266</v>
      </c>
      <c r="F22" s="12"/>
      <c r="G22" s="3" t="s">
        <v>356</v>
      </c>
      <c r="I22" s="119">
        <f t="shared" si="1"/>
        <v>0.70006118929743566</v>
      </c>
      <c r="J22" s="63">
        <v>1</v>
      </c>
      <c r="K22" s="156"/>
    </row>
    <row r="23" spans="3:11" x14ac:dyDescent="0.25">
      <c r="C23" s="6">
        <v>19</v>
      </c>
      <c r="D23" s="34" t="s">
        <v>359</v>
      </c>
      <c r="E23" s="15">
        <f>12*60+33</f>
        <v>753</v>
      </c>
      <c r="F23" s="12"/>
      <c r="G23" s="3" t="s">
        <v>358</v>
      </c>
      <c r="I23" s="119">
        <f t="shared" si="1"/>
        <v>0.74194804472381382</v>
      </c>
    </row>
    <row r="24" spans="3:11" x14ac:dyDescent="0.25">
      <c r="C24" s="6">
        <v>20</v>
      </c>
      <c r="D24" s="39" t="s">
        <v>361</v>
      </c>
      <c r="E24" s="15">
        <f>13*60+56</f>
        <v>836</v>
      </c>
      <c r="F24" s="12"/>
      <c r="G24" s="3" t="s">
        <v>360</v>
      </c>
      <c r="I24" s="119">
        <f t="shared" si="1"/>
        <v>0.78845191077487908</v>
      </c>
    </row>
    <row r="25" spans="3:11" ht="15.75" thickBot="1" x14ac:dyDescent="0.3">
      <c r="C25" s="17"/>
      <c r="D25" s="36"/>
      <c r="E25" s="19">
        <f>SUM(E15:E24)/60</f>
        <v>118.31666666666666</v>
      </c>
      <c r="F25" s="20">
        <f>E25/60</f>
        <v>1.9719444444444443</v>
      </c>
      <c r="G25" s="21"/>
      <c r="I25" s="119"/>
    </row>
    <row r="26" spans="3:11" x14ac:dyDescent="0.25">
      <c r="C26" s="5">
        <v>21</v>
      </c>
      <c r="D26" s="40" t="s">
        <v>363</v>
      </c>
      <c r="E26" s="14">
        <f>13*60+35</f>
        <v>815</v>
      </c>
      <c r="F26" s="11"/>
      <c r="G26" s="2" t="s">
        <v>362</v>
      </c>
      <c r="I26" s="119">
        <f>(E26/$G$1)+I24</f>
        <v>0.83378761751126451</v>
      </c>
    </row>
    <row r="27" spans="3:11" x14ac:dyDescent="0.25">
      <c r="C27" s="6">
        <v>22</v>
      </c>
      <c r="D27" s="34" t="s">
        <v>365</v>
      </c>
      <c r="E27" s="15">
        <f>13*60+36</f>
        <v>816</v>
      </c>
      <c r="F27" s="12"/>
      <c r="G27" s="3" t="s">
        <v>364</v>
      </c>
      <c r="I27" s="119">
        <f t="shared" ref="I27:I30" si="2">(E27/$G$1)+I26</f>
        <v>0.8791789508816823</v>
      </c>
    </row>
    <row r="28" spans="3:11" x14ac:dyDescent="0.25">
      <c r="C28" s="6">
        <v>23</v>
      </c>
      <c r="D28" s="34" t="s">
        <v>367</v>
      </c>
      <c r="E28" s="15">
        <f>12*60+29</f>
        <v>749</v>
      </c>
      <c r="F28" s="12"/>
      <c r="G28" s="3" t="s">
        <v>366</v>
      </c>
      <c r="I28" s="119">
        <f t="shared" si="2"/>
        <v>0.92084329977193091</v>
      </c>
    </row>
    <row r="29" spans="3:11" x14ac:dyDescent="0.25">
      <c r="C29" s="6">
        <v>24</v>
      </c>
      <c r="D29" s="34" t="s">
        <v>369</v>
      </c>
      <c r="E29" s="15">
        <f>14*60+58</f>
        <v>898</v>
      </c>
      <c r="F29" s="12"/>
      <c r="G29" s="3" t="s">
        <v>368</v>
      </c>
      <c r="I29" s="119">
        <f t="shared" si="2"/>
        <v>0.97079601713300334</v>
      </c>
    </row>
    <row r="30" spans="3:11" x14ac:dyDescent="0.25">
      <c r="C30" s="6">
        <v>25</v>
      </c>
      <c r="D30" s="34" t="s">
        <v>371</v>
      </c>
      <c r="E30" s="15">
        <f>8*60+45</f>
        <v>525</v>
      </c>
      <c r="F30" s="12"/>
      <c r="G30" s="3" t="s">
        <v>370</v>
      </c>
      <c r="I30" s="119">
        <f t="shared" si="2"/>
        <v>1</v>
      </c>
    </row>
    <row r="31" spans="3:11" x14ac:dyDescent="0.25">
      <c r="I31" s="119"/>
    </row>
    <row r="32" spans="3:11" x14ac:dyDescent="0.25">
      <c r="I32" s="119"/>
    </row>
    <row r="33" spans="9:9" x14ac:dyDescent="0.25">
      <c r="I33" s="119"/>
    </row>
    <row r="34" spans="9:9" x14ac:dyDescent="0.25">
      <c r="I34" s="119"/>
    </row>
    <row r="35" spans="9:9" x14ac:dyDescent="0.25">
      <c r="I35" s="119"/>
    </row>
    <row r="36" spans="9:9" x14ac:dyDescent="0.25">
      <c r="I36" s="119"/>
    </row>
    <row r="37" spans="9:9" x14ac:dyDescent="0.25">
      <c r="I37" s="119"/>
    </row>
    <row r="38" spans="9:9" x14ac:dyDescent="0.25">
      <c r="I38" s="119"/>
    </row>
    <row r="39" spans="9:9" x14ac:dyDescent="0.25">
      <c r="I39" s="119"/>
    </row>
    <row r="40" spans="9:9" x14ac:dyDescent="0.25">
      <c r="I40" s="119"/>
    </row>
    <row r="41" spans="9:9" x14ac:dyDescent="0.25">
      <c r="I41" s="119"/>
    </row>
    <row r="42" spans="9:9" x14ac:dyDescent="0.25">
      <c r="I42" s="119"/>
    </row>
    <row r="43" spans="9:9" x14ac:dyDescent="0.25">
      <c r="I43" s="119"/>
    </row>
    <row r="44" spans="9:9" x14ac:dyDescent="0.25">
      <c r="I44" s="119"/>
    </row>
    <row r="45" spans="9:9" x14ac:dyDescent="0.25">
      <c r="I45" s="119"/>
    </row>
    <row r="46" spans="9:9" x14ac:dyDescent="0.25">
      <c r="I46" s="119"/>
    </row>
    <row r="47" spans="9:9" x14ac:dyDescent="0.25">
      <c r="I47" s="119"/>
    </row>
    <row r="48" spans="9:9" x14ac:dyDescent="0.25">
      <c r="I48" s="119"/>
    </row>
    <row r="49" spans="9:9" x14ac:dyDescent="0.25">
      <c r="I49" s="119"/>
    </row>
    <row r="50" spans="9:9" x14ac:dyDescent="0.25">
      <c r="I50" s="119"/>
    </row>
    <row r="51" spans="9:9" x14ac:dyDescent="0.25">
      <c r="I51" s="119"/>
    </row>
    <row r="52" spans="9:9" x14ac:dyDescent="0.25">
      <c r="I52" s="119"/>
    </row>
    <row r="53" spans="9:9" x14ac:dyDescent="0.25">
      <c r="I53" s="119"/>
    </row>
    <row r="54" spans="9:9" x14ac:dyDescent="0.25">
      <c r="I54" s="119"/>
    </row>
    <row r="55" spans="9:9" x14ac:dyDescent="0.25">
      <c r="I55" s="119"/>
    </row>
    <row r="56" spans="9:9" x14ac:dyDescent="0.25">
      <c r="I56" s="119"/>
    </row>
    <row r="57" spans="9:9" x14ac:dyDescent="0.25">
      <c r="I57" s="119"/>
    </row>
    <row r="58" spans="9:9" x14ac:dyDescent="0.25">
      <c r="I58" s="119"/>
    </row>
    <row r="59" spans="9:9" x14ac:dyDescent="0.25">
      <c r="I59" s="119"/>
    </row>
    <row r="60" spans="9:9" x14ac:dyDescent="0.25">
      <c r="I60" s="119"/>
    </row>
    <row r="61" spans="9:9" x14ac:dyDescent="0.25">
      <c r="I61" s="119"/>
    </row>
    <row r="62" spans="9:9" x14ac:dyDescent="0.25">
      <c r="I62" s="119"/>
    </row>
    <row r="63" spans="9:9" x14ac:dyDescent="0.25">
      <c r="I63" s="119"/>
    </row>
    <row r="64" spans="9:9" x14ac:dyDescent="0.25">
      <c r="I64" s="119"/>
    </row>
    <row r="65" spans="9:9" x14ac:dyDescent="0.25">
      <c r="I65" s="119"/>
    </row>
    <row r="66" spans="9:9" x14ac:dyDescent="0.25">
      <c r="I66" s="119"/>
    </row>
    <row r="67" spans="9:9" x14ac:dyDescent="0.25">
      <c r="I67" s="119"/>
    </row>
    <row r="68" spans="9:9" x14ac:dyDescent="0.25">
      <c r="I68" s="119"/>
    </row>
    <row r="69" spans="9:9" x14ac:dyDescent="0.25">
      <c r="I69" s="119"/>
    </row>
    <row r="70" spans="9:9" x14ac:dyDescent="0.25">
      <c r="I70" s="119"/>
    </row>
    <row r="71" spans="9:9" x14ac:dyDescent="0.25">
      <c r="I71" s="119"/>
    </row>
    <row r="72" spans="9:9" x14ac:dyDescent="0.25">
      <c r="I72" s="119"/>
    </row>
    <row r="73" spans="9:9" x14ac:dyDescent="0.25">
      <c r="I73" s="119"/>
    </row>
    <row r="74" spans="9:9" x14ac:dyDescent="0.25">
      <c r="I74" s="119"/>
    </row>
    <row r="75" spans="9:9" x14ac:dyDescent="0.25">
      <c r="I75" s="119"/>
    </row>
    <row r="76" spans="9:9" x14ac:dyDescent="0.25">
      <c r="I76" s="119"/>
    </row>
    <row r="77" spans="9:9" x14ac:dyDescent="0.25">
      <c r="I77" s="119"/>
    </row>
    <row r="78" spans="9:9" x14ac:dyDescent="0.25">
      <c r="I78" s="119"/>
    </row>
    <row r="79" spans="9:9" x14ac:dyDescent="0.25">
      <c r="I79" s="119"/>
    </row>
    <row r="80" spans="9:9" x14ac:dyDescent="0.25">
      <c r="I80" s="119"/>
    </row>
    <row r="81" spans="9:9" x14ac:dyDescent="0.25">
      <c r="I81" s="119"/>
    </row>
    <row r="82" spans="9:9" x14ac:dyDescent="0.25">
      <c r="I82" s="119"/>
    </row>
    <row r="83" spans="9:9" x14ac:dyDescent="0.25">
      <c r="I83" s="119"/>
    </row>
    <row r="84" spans="9:9" x14ac:dyDescent="0.25">
      <c r="I84" s="119"/>
    </row>
    <row r="85" spans="9:9" x14ac:dyDescent="0.25">
      <c r="I85" s="119"/>
    </row>
    <row r="86" spans="9:9" x14ac:dyDescent="0.25">
      <c r="I86" s="119"/>
    </row>
    <row r="87" spans="9:9" x14ac:dyDescent="0.25">
      <c r="I87" s="119"/>
    </row>
    <row r="88" spans="9:9" x14ac:dyDescent="0.25">
      <c r="I88" s="119"/>
    </row>
    <row r="89" spans="9:9" x14ac:dyDescent="0.25">
      <c r="I89" s="119"/>
    </row>
    <row r="90" spans="9:9" x14ac:dyDescent="0.25">
      <c r="I90" s="119"/>
    </row>
    <row r="91" spans="9:9" x14ac:dyDescent="0.25">
      <c r="I91" s="119"/>
    </row>
    <row r="92" spans="9:9" x14ac:dyDescent="0.25">
      <c r="I92" s="119"/>
    </row>
    <row r="93" spans="9:9" x14ac:dyDescent="0.25">
      <c r="I93" s="119"/>
    </row>
    <row r="94" spans="9:9" x14ac:dyDescent="0.25">
      <c r="I94" s="119"/>
    </row>
    <row r="95" spans="9:9" x14ac:dyDescent="0.25">
      <c r="I95" s="119"/>
    </row>
    <row r="96" spans="9:9" x14ac:dyDescent="0.25">
      <c r="I96" s="119"/>
    </row>
    <row r="97" spans="9:9" x14ac:dyDescent="0.25">
      <c r="I97" s="119"/>
    </row>
    <row r="98" spans="9:9" x14ac:dyDescent="0.25">
      <c r="I98" s="119"/>
    </row>
    <row r="99" spans="9:9" x14ac:dyDescent="0.25">
      <c r="I99" s="119"/>
    </row>
    <row r="100" spans="9:9" x14ac:dyDescent="0.25">
      <c r="I100" s="119"/>
    </row>
    <row r="101" spans="9:9" x14ac:dyDescent="0.25">
      <c r="I101" s="119"/>
    </row>
    <row r="102" spans="9:9" x14ac:dyDescent="0.25">
      <c r="I102" s="119"/>
    </row>
    <row r="103" spans="9:9" x14ac:dyDescent="0.25">
      <c r="I103" s="119"/>
    </row>
    <row r="104" spans="9:9" x14ac:dyDescent="0.25">
      <c r="I104" s="119"/>
    </row>
    <row r="105" spans="9:9" x14ac:dyDescent="0.25">
      <c r="I105" s="119"/>
    </row>
    <row r="106" spans="9:9" x14ac:dyDescent="0.25">
      <c r="I106" s="119"/>
    </row>
    <row r="107" spans="9:9" x14ac:dyDescent="0.25">
      <c r="I107" s="119"/>
    </row>
    <row r="108" spans="9:9" x14ac:dyDescent="0.25">
      <c r="I108" s="119"/>
    </row>
    <row r="109" spans="9:9" x14ac:dyDescent="0.25">
      <c r="I109" s="119"/>
    </row>
    <row r="110" spans="9:9" x14ac:dyDescent="0.25">
      <c r="I110" s="119"/>
    </row>
    <row r="111" spans="9:9" x14ac:dyDescent="0.25">
      <c r="I111" s="119"/>
    </row>
    <row r="112" spans="9:9" x14ac:dyDescent="0.25">
      <c r="I112" s="11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L60"/>
  <sheetViews>
    <sheetView topLeftCell="A3" workbookViewId="0">
      <selection activeCell="L14" sqref="L14"/>
    </sheetView>
  </sheetViews>
  <sheetFormatPr defaultRowHeight="15" x14ac:dyDescent="0.25"/>
  <cols>
    <col min="3" max="3" width="6.140625" customWidth="1"/>
    <col min="7" max="7" width="75" style="1" customWidth="1"/>
    <col min="8" max="8" width="6.85546875" style="63" customWidth="1"/>
    <col min="10" max="12" width="4.7109375" style="63" customWidth="1"/>
  </cols>
  <sheetData>
    <row r="1" spans="3:12" x14ac:dyDescent="0.25">
      <c r="G1" s="116">
        <f>SUM(E4:E13)+SUM(E15:E24)+SUM(E26:E35)+SUM(E37:E46)+SUM(E48:E57)+E59+E60</f>
        <v>26308</v>
      </c>
    </row>
    <row r="2" spans="3:12" x14ac:dyDescent="0.25">
      <c r="C2" s="1" t="s">
        <v>41</v>
      </c>
      <c r="F2" s="23">
        <f>F14+F25+F36+F47+F58+(E59+E60)/3600</f>
        <v>7.3077777777777788</v>
      </c>
    </row>
    <row r="3" spans="3:12" ht="15.75" thickBot="1" x14ac:dyDescent="0.3">
      <c r="C3" s="1"/>
      <c r="F3" s="23"/>
      <c r="J3" s="115" t="s">
        <v>1146</v>
      </c>
      <c r="K3" s="115" t="s">
        <v>1135</v>
      </c>
      <c r="L3" s="113" t="s">
        <v>1621</v>
      </c>
    </row>
    <row r="4" spans="3:12" x14ac:dyDescent="0.25">
      <c r="C4" s="5">
        <v>1</v>
      </c>
      <c r="D4" s="40">
        <v>0.7090277777777777</v>
      </c>
      <c r="E4" s="14">
        <f>17*60+1</f>
        <v>1021</v>
      </c>
      <c r="F4" s="11"/>
      <c r="G4" s="2" t="s">
        <v>1136</v>
      </c>
      <c r="H4" s="117"/>
      <c r="I4" s="119">
        <f>E4/G1</f>
        <v>3.8809487608332069E-2</v>
      </c>
      <c r="K4" s="63">
        <v>1</v>
      </c>
      <c r="L4" s="63">
        <v>1</v>
      </c>
    </row>
    <row r="5" spans="3:12" x14ac:dyDescent="0.25">
      <c r="C5" s="6">
        <v>2</v>
      </c>
      <c r="D5" s="34">
        <v>0.32291666666666669</v>
      </c>
      <c r="E5" s="15">
        <f>7*60+45</f>
        <v>465</v>
      </c>
      <c r="F5" s="12"/>
      <c r="G5" s="3" t="s">
        <v>1137</v>
      </c>
      <c r="H5" s="117"/>
      <c r="I5" s="119">
        <f>E5/$G$1+I4</f>
        <v>5.6484719476965185E-2</v>
      </c>
      <c r="K5" s="63">
        <v>1</v>
      </c>
      <c r="L5" s="63">
        <v>1</v>
      </c>
    </row>
    <row r="6" spans="3:12" x14ac:dyDescent="0.25">
      <c r="C6" s="6">
        <v>3</v>
      </c>
      <c r="D6" s="34">
        <v>0.53263888888888888</v>
      </c>
      <c r="E6" s="15">
        <f>12*60+47</f>
        <v>767</v>
      </c>
      <c r="F6" s="12"/>
      <c r="G6" s="3" t="s">
        <v>1138</v>
      </c>
      <c r="H6" s="117"/>
      <c r="I6" s="119">
        <f t="shared" ref="I6:I60" si="0">E6/$G$1+I5</f>
        <v>8.5639349247377233E-2</v>
      </c>
      <c r="J6" s="63">
        <v>1</v>
      </c>
      <c r="L6" s="63">
        <v>1</v>
      </c>
    </row>
    <row r="7" spans="3:12" x14ac:dyDescent="0.25">
      <c r="C7" s="6">
        <v>4</v>
      </c>
      <c r="D7" s="34">
        <v>0.67847222222222225</v>
      </c>
      <c r="E7" s="15">
        <f>16*60+17</f>
        <v>977</v>
      </c>
      <c r="F7" s="12"/>
      <c r="G7" s="3" t="s">
        <v>1139</v>
      </c>
      <c r="H7" s="117"/>
      <c r="I7" s="119">
        <f t="shared" si="0"/>
        <v>0.12277634179717198</v>
      </c>
      <c r="J7" s="63">
        <v>1</v>
      </c>
      <c r="L7" s="63">
        <v>1</v>
      </c>
    </row>
    <row r="8" spans="3:12" x14ac:dyDescent="0.25">
      <c r="C8" s="6">
        <v>5</v>
      </c>
      <c r="D8" s="34">
        <v>0.3756944444444445</v>
      </c>
      <c r="E8" s="15">
        <f>9*60+1</f>
        <v>541</v>
      </c>
      <c r="F8" s="12"/>
      <c r="G8" s="3" t="s">
        <v>1140</v>
      </c>
      <c r="H8" s="117"/>
      <c r="I8" s="119">
        <f t="shared" si="0"/>
        <v>0.14334042876691502</v>
      </c>
      <c r="J8" s="63">
        <v>1</v>
      </c>
      <c r="L8" s="63">
        <v>1</v>
      </c>
    </row>
    <row r="9" spans="3:12" x14ac:dyDescent="0.25">
      <c r="C9" s="6">
        <v>6</v>
      </c>
      <c r="D9" s="34">
        <v>0.94236111111111109</v>
      </c>
      <c r="E9" s="15">
        <f>22*60+37</f>
        <v>1357</v>
      </c>
      <c r="F9" s="12"/>
      <c r="G9" s="3" t="s">
        <v>1141</v>
      </c>
      <c r="H9" s="117"/>
      <c r="I9" s="119">
        <f t="shared" si="0"/>
        <v>0.1949216968222594</v>
      </c>
      <c r="J9" s="63">
        <v>1</v>
      </c>
      <c r="L9" s="63">
        <v>1</v>
      </c>
    </row>
    <row r="10" spans="3:12" x14ac:dyDescent="0.25">
      <c r="C10" s="6">
        <v>7</v>
      </c>
      <c r="D10" s="34">
        <v>0.47291666666666665</v>
      </c>
      <c r="E10" s="15">
        <f>11*60+21</f>
        <v>681</v>
      </c>
      <c r="F10" s="12"/>
      <c r="G10" s="3" t="s">
        <v>1142</v>
      </c>
      <c r="H10" s="117"/>
      <c r="I10" s="119">
        <f t="shared" si="0"/>
        <v>0.2208073589782576</v>
      </c>
      <c r="J10" s="63">
        <v>1</v>
      </c>
      <c r="L10" s="63">
        <v>1</v>
      </c>
    </row>
    <row r="11" spans="3:12" x14ac:dyDescent="0.25">
      <c r="C11" s="6">
        <v>8</v>
      </c>
      <c r="D11" s="34">
        <v>0.51111111111111118</v>
      </c>
      <c r="E11" s="15">
        <f>12*60+16</f>
        <v>736</v>
      </c>
      <c r="F11" s="12"/>
      <c r="G11" s="3" t="s">
        <v>1143</v>
      </c>
      <c r="H11" s="117"/>
      <c r="I11" s="119">
        <f t="shared" si="0"/>
        <v>0.24878363995742742</v>
      </c>
      <c r="L11" s="63">
        <v>1</v>
      </c>
    </row>
    <row r="12" spans="3:12" x14ac:dyDescent="0.25">
      <c r="C12" s="6">
        <v>9</v>
      </c>
      <c r="D12" s="34">
        <v>0.19444444444444445</v>
      </c>
      <c r="E12" s="15">
        <f>4*60+40</f>
        <v>280</v>
      </c>
      <c r="F12" s="12"/>
      <c r="G12" s="3" t="s">
        <v>1144</v>
      </c>
      <c r="H12" s="117"/>
      <c r="I12" s="119">
        <f t="shared" si="0"/>
        <v>0.25942679032993765</v>
      </c>
      <c r="L12" s="63">
        <v>1</v>
      </c>
    </row>
    <row r="13" spans="3:12" x14ac:dyDescent="0.25">
      <c r="C13" s="6">
        <v>10</v>
      </c>
      <c r="D13" s="34">
        <v>0.2902777777777778</v>
      </c>
      <c r="E13" s="15">
        <f>6*60+58</f>
        <v>418</v>
      </c>
      <c r="F13" s="12"/>
      <c r="G13" s="3" t="s">
        <v>1145</v>
      </c>
      <c r="H13" s="117"/>
      <c r="I13" s="119">
        <f t="shared" si="0"/>
        <v>0.27531549338604228</v>
      </c>
      <c r="L13" s="63">
        <v>1</v>
      </c>
    </row>
    <row r="14" spans="3:12" ht="15.75" thickBot="1" x14ac:dyDescent="0.3">
      <c r="C14" s="17"/>
      <c r="D14" s="36"/>
      <c r="E14" s="19">
        <f>SUM(E4:E13)/60</f>
        <v>120.71666666666667</v>
      </c>
      <c r="F14" s="20">
        <f>E14/60</f>
        <v>2.0119444444444445</v>
      </c>
      <c r="G14" s="21"/>
      <c r="H14" s="117"/>
      <c r="I14" s="119"/>
    </row>
    <row r="15" spans="3:12" x14ac:dyDescent="0.25">
      <c r="C15" s="7">
        <v>11</v>
      </c>
      <c r="D15" s="24">
        <v>0.38819444444444445</v>
      </c>
      <c r="E15" s="16">
        <f>9*60+19</f>
        <v>559</v>
      </c>
      <c r="F15" s="13"/>
      <c r="G15" s="4" t="s">
        <v>1145</v>
      </c>
      <c r="H15" s="117"/>
      <c r="I15" s="119">
        <f>E15/$G$1+I13</f>
        <v>0.2965637828797324</v>
      </c>
    </row>
    <row r="16" spans="3:12" x14ac:dyDescent="0.25">
      <c r="C16" s="6">
        <v>12</v>
      </c>
      <c r="D16" s="34">
        <v>0.22152777777777777</v>
      </c>
      <c r="E16" s="15">
        <f>5*60+19</f>
        <v>319</v>
      </c>
      <c r="F16" s="12"/>
      <c r="G16" s="3" t="s">
        <v>1201</v>
      </c>
      <c r="H16" s="117"/>
      <c r="I16" s="119">
        <f t="shared" si="0"/>
        <v>0.308689372054128</v>
      </c>
    </row>
    <row r="17" spans="3:9" x14ac:dyDescent="0.25">
      <c r="C17" s="6">
        <v>13</v>
      </c>
      <c r="D17" s="34">
        <v>0.41180555555555554</v>
      </c>
      <c r="E17" s="15">
        <f>9*60+53</f>
        <v>593</v>
      </c>
      <c r="F17" s="12"/>
      <c r="G17" s="3" t="s">
        <v>1202</v>
      </c>
      <c r="H17" s="117"/>
      <c r="I17" s="119">
        <f>E17/$G$1+I16</f>
        <v>0.33123004409305151</v>
      </c>
    </row>
    <row r="18" spans="3:9" x14ac:dyDescent="0.25">
      <c r="C18" s="6">
        <v>14</v>
      </c>
      <c r="D18" s="34">
        <v>0.2673611111111111</v>
      </c>
      <c r="E18" s="15">
        <f>6*60+25</f>
        <v>385</v>
      </c>
      <c r="F18" s="12"/>
      <c r="G18" s="3" t="s">
        <v>1203</v>
      </c>
      <c r="H18" s="117"/>
      <c r="I18" s="119">
        <f t="shared" si="0"/>
        <v>0.34586437585525315</v>
      </c>
    </row>
    <row r="19" spans="3:9" x14ac:dyDescent="0.25">
      <c r="C19" s="6">
        <v>15</v>
      </c>
      <c r="D19" s="34">
        <v>0.73263888888888884</v>
      </c>
      <c r="E19" s="15">
        <f>17*60+35</f>
        <v>1055</v>
      </c>
      <c r="F19" s="12"/>
      <c r="G19" s="3" t="s">
        <v>1204</v>
      </c>
      <c r="H19" s="117"/>
      <c r="I19" s="119">
        <f t="shared" si="0"/>
        <v>0.38596624600881863</v>
      </c>
    </row>
    <row r="20" spans="3:9" x14ac:dyDescent="0.25">
      <c r="C20" s="6">
        <v>16</v>
      </c>
      <c r="D20" s="34">
        <v>0.22500000000000001</v>
      </c>
      <c r="E20" s="15">
        <f>5*60+24</f>
        <v>324</v>
      </c>
      <c r="F20" s="12"/>
      <c r="G20" s="3" t="s">
        <v>1205</v>
      </c>
      <c r="H20" s="117"/>
      <c r="I20" s="119">
        <f t="shared" si="0"/>
        <v>0.3982818914398662</v>
      </c>
    </row>
    <row r="21" spans="3:9" x14ac:dyDescent="0.25">
      <c r="C21" s="6">
        <v>17</v>
      </c>
      <c r="D21" s="34">
        <v>0.33819444444444446</v>
      </c>
      <c r="E21" s="15">
        <f>8*60+7</f>
        <v>487</v>
      </c>
      <c r="F21" s="12"/>
      <c r="G21" s="3" t="s">
        <v>1206</v>
      </c>
      <c r="H21" s="117"/>
      <c r="I21" s="119">
        <f t="shared" si="0"/>
        <v>0.41679337083776796</v>
      </c>
    </row>
    <row r="22" spans="3:9" x14ac:dyDescent="0.25">
      <c r="C22" s="6">
        <v>18</v>
      </c>
      <c r="D22" s="34">
        <v>0.43541666666666662</v>
      </c>
      <c r="E22" s="15">
        <f>10*60+27</f>
        <v>627</v>
      </c>
      <c r="F22" s="12"/>
      <c r="G22" s="3" t="s">
        <v>1207</v>
      </c>
      <c r="H22" s="117"/>
      <c r="I22" s="119">
        <f t="shared" si="0"/>
        <v>0.44062642542192487</v>
      </c>
    </row>
    <row r="23" spans="3:9" x14ac:dyDescent="0.25">
      <c r="C23" s="6">
        <v>19</v>
      </c>
      <c r="D23" s="34">
        <v>0.44236111111111115</v>
      </c>
      <c r="E23" s="15">
        <f>10*60+37</f>
        <v>637</v>
      </c>
      <c r="F23" s="12"/>
      <c r="G23" s="3" t="s">
        <v>1208</v>
      </c>
      <c r="H23" s="117"/>
      <c r="I23" s="119">
        <f t="shared" si="0"/>
        <v>0.46483959251938572</v>
      </c>
    </row>
    <row r="24" spans="3:9" x14ac:dyDescent="0.25">
      <c r="C24" s="6">
        <v>20</v>
      </c>
      <c r="D24" s="39" t="s">
        <v>1210</v>
      </c>
      <c r="E24" s="15">
        <f>12*60+11</f>
        <v>731</v>
      </c>
      <c r="F24" s="12"/>
      <c r="G24" s="3" t="s">
        <v>1209</v>
      </c>
      <c r="H24" s="117"/>
      <c r="I24" s="119">
        <f t="shared" si="0"/>
        <v>0.49262581724190357</v>
      </c>
    </row>
    <row r="25" spans="3:9" ht="15.75" thickBot="1" x14ac:dyDescent="0.3">
      <c r="C25" s="17"/>
      <c r="D25" s="36"/>
      <c r="E25" s="19">
        <f>SUM(E15:E24)/60</f>
        <v>95.283333333333331</v>
      </c>
      <c r="F25" s="20">
        <f>E25/60</f>
        <v>1.5880555555555556</v>
      </c>
      <c r="G25" s="21"/>
      <c r="H25" s="117"/>
      <c r="I25" s="119"/>
    </row>
    <row r="26" spans="3:9" x14ac:dyDescent="0.25">
      <c r="C26" s="5">
        <v>21</v>
      </c>
      <c r="D26" s="40">
        <v>0.43194444444444446</v>
      </c>
      <c r="E26" s="14">
        <f>10*60+22</f>
        <v>622</v>
      </c>
      <c r="F26" s="11"/>
      <c r="G26" s="2" t="s">
        <v>1211</v>
      </c>
      <c r="H26" s="117"/>
      <c r="I26" s="119">
        <f>E26/$G$1+I24</f>
        <v>0.51626881556940851</v>
      </c>
    </row>
    <row r="27" spans="3:9" x14ac:dyDescent="0.25">
      <c r="C27" s="6">
        <v>22</v>
      </c>
      <c r="D27" s="34">
        <v>0.28541666666666665</v>
      </c>
      <c r="E27" s="15">
        <f>6*60+51</f>
        <v>411</v>
      </c>
      <c r="F27" s="12"/>
      <c r="G27" s="3" t="s">
        <v>1212</v>
      </c>
      <c r="H27" s="117"/>
      <c r="I27" s="119">
        <f t="shared" si="0"/>
        <v>0.53189143986620036</v>
      </c>
    </row>
    <row r="28" spans="3:9" x14ac:dyDescent="0.25">
      <c r="C28" s="6">
        <v>23</v>
      </c>
      <c r="D28" s="34">
        <v>0.19166666666666665</v>
      </c>
      <c r="E28" s="15">
        <f>4*60+36</f>
        <v>276</v>
      </c>
      <c r="F28" s="12"/>
      <c r="G28" s="3" t="s">
        <v>1213</v>
      </c>
      <c r="H28" s="117"/>
      <c r="I28" s="119">
        <f t="shared" si="0"/>
        <v>0.54238254523338902</v>
      </c>
    </row>
    <row r="29" spans="3:9" x14ac:dyDescent="0.25">
      <c r="C29" s="6">
        <v>24</v>
      </c>
      <c r="D29" s="34">
        <v>0.33749999999999997</v>
      </c>
      <c r="E29" s="15">
        <f>8*60+6</f>
        <v>486</v>
      </c>
      <c r="F29" s="12"/>
      <c r="G29" s="3" t="s">
        <v>1214</v>
      </c>
      <c r="H29" s="117"/>
      <c r="I29" s="119">
        <f t="shared" si="0"/>
        <v>0.56085601337996038</v>
      </c>
    </row>
    <row r="30" spans="3:9" x14ac:dyDescent="0.25">
      <c r="C30" s="6">
        <v>25</v>
      </c>
      <c r="D30" s="34">
        <v>0.23333333333333331</v>
      </c>
      <c r="E30" s="15">
        <f>5*60+36</f>
        <v>336</v>
      </c>
      <c r="F30" s="12"/>
      <c r="G30" s="3" t="s">
        <v>1215</v>
      </c>
      <c r="H30" s="117"/>
      <c r="I30" s="119">
        <f t="shared" si="0"/>
        <v>0.57362779382697271</v>
      </c>
    </row>
    <row r="31" spans="3:9" x14ac:dyDescent="0.25">
      <c r="C31" s="6">
        <v>26</v>
      </c>
      <c r="D31" s="34">
        <v>0.4861111111111111</v>
      </c>
      <c r="E31" s="15">
        <f>11*60+40</f>
        <v>700</v>
      </c>
      <c r="F31" s="12"/>
      <c r="G31" s="3" t="s">
        <v>1216</v>
      </c>
      <c r="H31" s="117"/>
      <c r="I31" s="119">
        <f t="shared" si="0"/>
        <v>0.60023566975824838</v>
      </c>
    </row>
    <row r="32" spans="3:9" x14ac:dyDescent="0.25">
      <c r="C32" s="6">
        <v>27</v>
      </c>
      <c r="D32" s="34">
        <v>0.19513888888888889</v>
      </c>
      <c r="E32" s="15">
        <f>4*60+41</f>
        <v>281</v>
      </c>
      <c r="F32" s="12"/>
      <c r="G32" s="3" t="s">
        <v>1217</v>
      </c>
      <c r="H32" s="117"/>
      <c r="I32" s="119">
        <f t="shared" si="0"/>
        <v>0.61091683138208908</v>
      </c>
    </row>
    <row r="33" spans="3:9" x14ac:dyDescent="0.25">
      <c r="C33" s="6">
        <v>28</v>
      </c>
      <c r="D33" s="34">
        <v>0.30763888888888891</v>
      </c>
      <c r="E33" s="15">
        <f>7*60+23</f>
        <v>443</v>
      </c>
      <c r="F33" s="12"/>
      <c r="G33" s="3" t="s">
        <v>1218</v>
      </c>
      <c r="H33" s="117"/>
      <c r="I33" s="119">
        <f t="shared" si="0"/>
        <v>0.62775581572145356</v>
      </c>
    </row>
    <row r="34" spans="3:9" x14ac:dyDescent="0.25">
      <c r="C34" s="6">
        <v>29</v>
      </c>
      <c r="D34" s="34">
        <v>5.9027777777777783E-2</v>
      </c>
      <c r="E34" s="15">
        <f>1*60+25</f>
        <v>85</v>
      </c>
      <c r="F34" s="12"/>
      <c r="G34" s="3" t="s">
        <v>1219</v>
      </c>
      <c r="H34" s="117"/>
      <c r="I34" s="119">
        <f t="shared" si="0"/>
        <v>0.63098677208453702</v>
      </c>
    </row>
    <row r="35" spans="3:9" x14ac:dyDescent="0.25">
      <c r="C35" s="6">
        <v>30</v>
      </c>
      <c r="D35" s="34">
        <v>0.11597222222222221</v>
      </c>
      <c r="E35" s="15">
        <f>2*60+47</f>
        <v>167</v>
      </c>
      <c r="F35" s="12"/>
      <c r="G35" s="3" t="s">
        <v>1220</v>
      </c>
      <c r="H35" s="117"/>
      <c r="I35" s="119">
        <f t="shared" si="0"/>
        <v>0.63733465105671283</v>
      </c>
    </row>
    <row r="36" spans="3:9" ht="15.75" thickBot="1" x14ac:dyDescent="0.3">
      <c r="C36" s="17"/>
      <c r="D36" s="36"/>
      <c r="E36" s="19">
        <f>SUM(E26:E35)/60</f>
        <v>63.45</v>
      </c>
      <c r="F36" s="20">
        <f>E36/60</f>
        <v>1.0575000000000001</v>
      </c>
      <c r="G36" s="21"/>
      <c r="H36" s="117"/>
      <c r="I36" s="119"/>
    </row>
    <row r="37" spans="3:9" x14ac:dyDescent="0.25">
      <c r="C37" s="7">
        <v>31</v>
      </c>
      <c r="D37" s="24">
        <v>0.20625000000000002</v>
      </c>
      <c r="E37" s="16">
        <f>4*60+57</f>
        <v>297</v>
      </c>
      <c r="F37" s="13"/>
      <c r="G37" s="4" t="s">
        <v>1221</v>
      </c>
      <c r="H37" s="117"/>
      <c r="I37" s="119">
        <f>E37/$G$1+I35</f>
        <v>0.64862399270183979</v>
      </c>
    </row>
    <row r="38" spans="3:9" x14ac:dyDescent="0.25">
      <c r="C38" s="6">
        <v>32</v>
      </c>
      <c r="D38" s="34">
        <v>0.3833333333333333</v>
      </c>
      <c r="E38" s="15">
        <f>9*60+12</f>
        <v>552</v>
      </c>
      <c r="F38" s="12"/>
      <c r="G38" s="3" t="s">
        <v>1222</v>
      </c>
      <c r="H38" s="117"/>
      <c r="I38" s="119">
        <f t="shared" si="0"/>
        <v>0.66960620343621713</v>
      </c>
    </row>
    <row r="39" spans="3:9" x14ac:dyDescent="0.25">
      <c r="C39" s="6">
        <v>33</v>
      </c>
      <c r="D39" s="34">
        <v>0.3215277777777778</v>
      </c>
      <c r="E39" s="15">
        <f>7*60+43</f>
        <v>463</v>
      </c>
      <c r="F39" s="12"/>
      <c r="G39" s="3" t="s">
        <v>1223</v>
      </c>
      <c r="H39" s="117"/>
      <c r="I39" s="119">
        <f t="shared" si="0"/>
        <v>0.6872054128021895</v>
      </c>
    </row>
    <row r="40" spans="3:9" x14ac:dyDescent="0.25">
      <c r="C40" s="6">
        <v>34</v>
      </c>
      <c r="D40" s="34">
        <v>0.36249999999999999</v>
      </c>
      <c r="E40" s="15">
        <f>8*60+42</f>
        <v>522</v>
      </c>
      <c r="F40" s="12"/>
      <c r="G40" s="3" t="s">
        <v>1224</v>
      </c>
      <c r="H40" s="117"/>
      <c r="I40" s="119">
        <f t="shared" si="0"/>
        <v>0.70704728599665501</v>
      </c>
    </row>
    <row r="41" spans="3:9" x14ac:dyDescent="0.25">
      <c r="C41" s="6">
        <v>35</v>
      </c>
      <c r="D41" s="34">
        <v>0.21319444444444444</v>
      </c>
      <c r="E41" s="15">
        <f>5*60+7</f>
        <v>307</v>
      </c>
      <c r="F41" s="12"/>
      <c r="G41" s="3" t="s">
        <v>1226</v>
      </c>
      <c r="H41" s="117"/>
      <c r="I41" s="119">
        <f t="shared" si="0"/>
        <v>0.71871674015508591</v>
      </c>
    </row>
    <row r="42" spans="3:9" x14ac:dyDescent="0.25">
      <c r="C42" s="6">
        <v>36</v>
      </c>
      <c r="D42" s="34">
        <v>0.25694444444444448</v>
      </c>
      <c r="E42" s="15">
        <f>6*60+10</f>
        <v>370</v>
      </c>
      <c r="F42" s="12"/>
      <c r="G42" s="3" t="s">
        <v>1225</v>
      </c>
      <c r="H42" s="117"/>
      <c r="I42" s="119">
        <f t="shared" si="0"/>
        <v>0.73278090314733157</v>
      </c>
    </row>
    <row r="43" spans="3:9" x14ac:dyDescent="0.25">
      <c r="C43" s="6">
        <v>37</v>
      </c>
      <c r="D43" s="34">
        <v>0.18958333333333333</v>
      </c>
      <c r="E43" s="15">
        <f>4*60+33</f>
        <v>273</v>
      </c>
      <c r="F43" s="12"/>
      <c r="G43" s="3" t="s">
        <v>1227</v>
      </c>
      <c r="H43" s="117"/>
      <c r="I43" s="119">
        <f t="shared" si="0"/>
        <v>0.74315797476052903</v>
      </c>
    </row>
    <row r="44" spans="3:9" x14ac:dyDescent="0.25">
      <c r="C44" s="6">
        <v>38</v>
      </c>
      <c r="D44" s="34">
        <v>0.3</v>
      </c>
      <c r="E44" s="15">
        <f>7*60+12</f>
        <v>432</v>
      </c>
      <c r="F44" s="12"/>
      <c r="G44" s="3" t="s">
        <v>1228</v>
      </c>
      <c r="H44" s="117"/>
      <c r="I44" s="119">
        <f t="shared" si="0"/>
        <v>0.75957883533525916</v>
      </c>
    </row>
    <row r="45" spans="3:9" x14ac:dyDescent="0.25">
      <c r="C45" s="6">
        <v>39</v>
      </c>
      <c r="D45" s="34">
        <v>0.27361111111111108</v>
      </c>
      <c r="E45" s="15">
        <f>6*60+34</f>
        <v>394</v>
      </c>
      <c r="F45" s="12"/>
      <c r="G45" s="3" t="s">
        <v>1229</v>
      </c>
      <c r="H45" s="117"/>
      <c r="I45" s="119">
        <f t="shared" si="0"/>
        <v>0.77455526835943433</v>
      </c>
    </row>
    <row r="46" spans="3:9" x14ac:dyDescent="0.25">
      <c r="C46" s="6">
        <v>40</v>
      </c>
      <c r="D46" s="34">
        <v>0.41180555555555554</v>
      </c>
      <c r="E46" s="15">
        <f>9*60+53</f>
        <v>593</v>
      </c>
      <c r="F46" s="12"/>
      <c r="G46" s="3" t="s">
        <v>1230</v>
      </c>
      <c r="H46" s="117"/>
      <c r="I46" s="119">
        <f t="shared" si="0"/>
        <v>0.79709594039835785</v>
      </c>
    </row>
    <row r="47" spans="3:9" ht="15.75" thickBot="1" x14ac:dyDescent="0.3">
      <c r="C47" s="17"/>
      <c r="D47" s="36"/>
      <c r="E47" s="19">
        <f>SUM(E37:E46)/60</f>
        <v>70.05</v>
      </c>
      <c r="F47" s="20">
        <f>E47/60</f>
        <v>1.1675</v>
      </c>
      <c r="G47" s="21"/>
      <c r="H47" s="117"/>
      <c r="I47" s="119"/>
    </row>
    <row r="48" spans="3:9" x14ac:dyDescent="0.25">
      <c r="C48" s="7">
        <v>41</v>
      </c>
      <c r="D48" s="24">
        <v>0.21736111111111112</v>
      </c>
      <c r="E48" s="16">
        <f>5*60+13</f>
        <v>313</v>
      </c>
      <c r="F48" s="13"/>
      <c r="G48" s="4" t="s">
        <v>1231</v>
      </c>
      <c r="H48" s="117"/>
      <c r="I48" s="119">
        <f>E48/$G$1+I46</f>
        <v>0.80899346206477107</v>
      </c>
    </row>
    <row r="49" spans="3:9" x14ac:dyDescent="0.25">
      <c r="C49" s="6">
        <v>42</v>
      </c>
      <c r="D49" s="34">
        <v>0.18194444444444444</v>
      </c>
      <c r="E49" s="15">
        <f>4*60+22</f>
        <v>262</v>
      </c>
      <c r="F49" s="12"/>
      <c r="G49" s="3" t="s">
        <v>1232</v>
      </c>
      <c r="H49" s="117"/>
      <c r="I49" s="119">
        <f t="shared" si="0"/>
        <v>0.81895240991333429</v>
      </c>
    </row>
    <row r="50" spans="3:9" x14ac:dyDescent="0.25">
      <c r="C50" s="6">
        <v>43</v>
      </c>
      <c r="D50" s="34">
        <v>0.64097222222222217</v>
      </c>
      <c r="E50" s="15">
        <f>15*60+23</f>
        <v>923</v>
      </c>
      <c r="F50" s="12"/>
      <c r="G50" s="3" t="s">
        <v>1233</v>
      </c>
      <c r="H50" s="117"/>
      <c r="I50" s="119">
        <f t="shared" si="0"/>
        <v>0.85403679489128781</v>
      </c>
    </row>
    <row r="51" spans="3:9" x14ac:dyDescent="0.25">
      <c r="C51" s="6">
        <v>44</v>
      </c>
      <c r="D51" s="34">
        <v>0.14652777777777778</v>
      </c>
      <c r="E51" s="15">
        <f>3*60+31</f>
        <v>211</v>
      </c>
      <c r="F51" s="12"/>
      <c r="G51" s="3" t="s">
        <v>1234</v>
      </c>
      <c r="H51" s="117"/>
      <c r="I51" s="119">
        <f t="shared" si="0"/>
        <v>0.8620571689220009</v>
      </c>
    </row>
    <row r="52" spans="3:9" x14ac:dyDescent="0.25">
      <c r="C52" s="6">
        <v>45</v>
      </c>
      <c r="D52" s="34">
        <v>0.20486111111111113</v>
      </c>
      <c r="E52" s="15">
        <f>4*60+55</f>
        <v>295</v>
      </c>
      <c r="F52" s="12"/>
      <c r="G52" s="3" t="s">
        <v>1235</v>
      </c>
      <c r="H52" s="117"/>
      <c r="I52" s="119">
        <f t="shared" si="0"/>
        <v>0.87327048806446705</v>
      </c>
    </row>
    <row r="53" spans="3:9" x14ac:dyDescent="0.25">
      <c r="C53" s="6">
        <v>46</v>
      </c>
      <c r="D53" s="34">
        <v>0.19166666666666665</v>
      </c>
      <c r="E53" s="15">
        <f>4*60+36</f>
        <v>276</v>
      </c>
      <c r="F53" s="12"/>
      <c r="G53" s="3" t="s">
        <v>1236</v>
      </c>
      <c r="H53" s="117"/>
      <c r="I53" s="119">
        <f t="shared" si="0"/>
        <v>0.88376159343165572</v>
      </c>
    </row>
    <row r="54" spans="3:9" x14ac:dyDescent="0.25">
      <c r="C54" s="6">
        <v>47</v>
      </c>
      <c r="D54" s="34">
        <v>0.40902777777777777</v>
      </c>
      <c r="E54" s="15">
        <f>9*60+49</f>
        <v>589</v>
      </c>
      <c r="F54" s="12"/>
      <c r="G54" s="3" t="s">
        <v>1237</v>
      </c>
      <c r="H54" s="117"/>
      <c r="I54" s="119">
        <f t="shared" si="0"/>
        <v>0.90615022046525762</v>
      </c>
    </row>
    <row r="55" spans="3:9" x14ac:dyDescent="0.25">
      <c r="C55" s="6">
        <v>48</v>
      </c>
      <c r="D55" s="34">
        <v>0.25069444444444444</v>
      </c>
      <c r="E55" s="15">
        <f>6*60+1</f>
        <v>361</v>
      </c>
      <c r="F55" s="12"/>
      <c r="G55" s="3" t="s">
        <v>1238</v>
      </c>
      <c r="H55" s="117"/>
      <c r="I55" s="119">
        <f t="shared" si="0"/>
        <v>0.91987228219552974</v>
      </c>
    </row>
    <row r="56" spans="3:9" x14ac:dyDescent="0.25">
      <c r="C56" s="6">
        <v>49</v>
      </c>
      <c r="D56" s="34">
        <v>0.37361111111111112</v>
      </c>
      <c r="E56" s="15">
        <f>8*60+58</f>
        <v>538</v>
      </c>
      <c r="F56" s="12"/>
      <c r="G56" s="3" t="s">
        <v>1239</v>
      </c>
      <c r="H56" s="117"/>
      <c r="I56" s="119">
        <f t="shared" si="0"/>
        <v>0.94032233541128163</v>
      </c>
    </row>
    <row r="57" spans="3:9" x14ac:dyDescent="0.25">
      <c r="C57" s="6">
        <v>50</v>
      </c>
      <c r="D57" s="34">
        <v>0.62083333333333335</v>
      </c>
      <c r="E57" s="15">
        <f>14*60+54</f>
        <v>894</v>
      </c>
      <c r="F57" s="12"/>
      <c r="G57" s="3" t="s">
        <v>1240</v>
      </c>
      <c r="H57" s="117"/>
      <c r="I57" s="119">
        <f t="shared" si="0"/>
        <v>0.97430439410065373</v>
      </c>
    </row>
    <row r="58" spans="3:9" ht="15.75" thickBot="1" x14ac:dyDescent="0.3">
      <c r="C58" s="17"/>
      <c r="D58" s="36"/>
      <c r="E58" s="19">
        <f>SUM(E48:E57)/60</f>
        <v>77.7</v>
      </c>
      <c r="F58" s="20">
        <f>E58/60</f>
        <v>1.2950000000000002</v>
      </c>
      <c r="G58" s="21"/>
      <c r="H58" s="117"/>
      <c r="I58" s="119"/>
    </row>
    <row r="59" spans="3:9" x14ac:dyDescent="0.25">
      <c r="C59" s="7">
        <v>51</v>
      </c>
      <c r="D59" s="24">
        <v>0.22083333333333333</v>
      </c>
      <c r="E59" s="16">
        <f>5*60+18</f>
        <v>318</v>
      </c>
      <c r="F59" s="13"/>
      <c r="G59" s="4" t="s">
        <v>1241</v>
      </c>
      <c r="H59" s="117"/>
      <c r="I59" s="119">
        <f>E59/$G$1+I57</f>
        <v>0.98639197202371898</v>
      </c>
    </row>
    <row r="60" spans="3:9" x14ac:dyDescent="0.25">
      <c r="C60" s="6">
        <v>52</v>
      </c>
      <c r="D60" s="34">
        <v>0.24861111111111112</v>
      </c>
      <c r="E60" s="15">
        <f>5*60+58</f>
        <v>358</v>
      </c>
      <c r="F60" s="12"/>
      <c r="G60" s="3" t="s">
        <v>1242</v>
      </c>
      <c r="H60" s="117"/>
      <c r="I60" s="119">
        <f t="shared" si="0"/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H10"/>
  <sheetViews>
    <sheetView workbookViewId="0"/>
  </sheetViews>
  <sheetFormatPr defaultRowHeight="15" x14ac:dyDescent="0.25"/>
  <cols>
    <col min="3" max="3" width="6.140625" customWidth="1"/>
    <col min="7" max="7" width="75" style="1" customWidth="1"/>
  </cols>
  <sheetData>
    <row r="2" spans="3:8" x14ac:dyDescent="0.25">
      <c r="C2" s="1" t="s">
        <v>41</v>
      </c>
      <c r="F2" s="23">
        <f>SUM(E4:E10)/(60*60)</f>
        <v>1.5705555555555555</v>
      </c>
    </row>
    <row r="3" spans="3:8" ht="15.75" thickBot="1" x14ac:dyDescent="0.3">
      <c r="C3" s="1"/>
      <c r="F3" s="23"/>
    </row>
    <row r="4" spans="3:8" x14ac:dyDescent="0.25">
      <c r="C4" s="5">
        <v>1</v>
      </c>
      <c r="D4" s="40">
        <v>0.63472222222222219</v>
      </c>
      <c r="E4" s="14">
        <f>15*60+14</f>
        <v>914</v>
      </c>
      <c r="F4" s="11"/>
      <c r="G4" s="2" t="s">
        <v>772</v>
      </c>
      <c r="H4" s="25"/>
    </row>
    <row r="5" spans="3:8" x14ac:dyDescent="0.25">
      <c r="C5" s="6">
        <v>2</v>
      </c>
      <c r="D5" s="34">
        <v>0.65694444444444444</v>
      </c>
      <c r="E5" s="15">
        <f>15*60+46</f>
        <v>946</v>
      </c>
      <c r="F5" s="12"/>
      <c r="G5" s="3" t="s">
        <v>773</v>
      </c>
      <c r="H5" s="25"/>
    </row>
    <row r="6" spans="3:8" x14ac:dyDescent="0.25">
      <c r="C6" s="6">
        <v>3</v>
      </c>
      <c r="D6" s="34">
        <v>0.65347222222222223</v>
      </c>
      <c r="E6" s="15">
        <f>15*60+41</f>
        <v>941</v>
      </c>
      <c r="F6" s="12"/>
      <c r="G6" s="3" t="s">
        <v>774</v>
      </c>
      <c r="H6" s="25"/>
    </row>
    <row r="7" spans="3:8" x14ac:dyDescent="0.25">
      <c r="C7" s="6">
        <v>4</v>
      </c>
      <c r="D7" s="34">
        <v>0.24791666666666667</v>
      </c>
      <c r="E7" s="15">
        <f>5*60+57</f>
        <v>357</v>
      </c>
      <c r="F7" s="12"/>
      <c r="G7" s="3" t="s">
        <v>775</v>
      </c>
      <c r="H7" s="25"/>
    </row>
    <row r="8" spans="3:8" x14ac:dyDescent="0.25">
      <c r="C8" s="6">
        <v>5</v>
      </c>
      <c r="D8" s="34">
        <v>0.22500000000000001</v>
      </c>
      <c r="E8" s="15">
        <f>5*60+24</f>
        <v>324</v>
      </c>
      <c r="F8" s="12"/>
      <c r="G8" s="3" t="s">
        <v>776</v>
      </c>
      <c r="H8" s="25"/>
    </row>
    <row r="9" spans="3:8" x14ac:dyDescent="0.25">
      <c r="C9" s="6">
        <v>6</v>
      </c>
      <c r="D9" s="34">
        <v>0.98333333333333339</v>
      </c>
      <c r="E9" s="15">
        <f>23*60+36</f>
        <v>1416</v>
      </c>
      <c r="F9" s="12"/>
      <c r="G9" s="3" t="s">
        <v>777</v>
      </c>
      <c r="H9" s="25"/>
    </row>
    <row r="10" spans="3:8" ht="15.75" thickBot="1" x14ac:dyDescent="0.3">
      <c r="C10" s="41">
        <v>7</v>
      </c>
      <c r="D10" s="45">
        <v>0.52500000000000002</v>
      </c>
      <c r="E10" s="42">
        <f>12*60+36</f>
        <v>756</v>
      </c>
      <c r="F10" s="43"/>
      <c r="G10" s="44" t="s">
        <v>778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62"/>
  <sheetViews>
    <sheetView workbookViewId="0"/>
  </sheetViews>
  <sheetFormatPr defaultRowHeight="15" x14ac:dyDescent="0.25"/>
  <cols>
    <col min="1" max="1" width="11.42578125" bestFit="1" customWidth="1"/>
    <col min="3" max="3" width="6.140625" customWidth="1"/>
    <col min="7" max="7" width="75" style="1" customWidth="1"/>
    <col min="8" max="8" width="9.140625" style="92"/>
    <col min="11" max="15" width="4.7109375" customWidth="1"/>
    <col min="16" max="16" width="4.7109375" style="63" customWidth="1"/>
  </cols>
  <sheetData>
    <row r="1" spans="1:16" x14ac:dyDescent="0.25">
      <c r="A1" s="112">
        <f>A62/(60*(E14+E25+E36+E47+E58+E62))</f>
        <v>1</v>
      </c>
    </row>
    <row r="2" spans="1:16" ht="15.75" thickBot="1" x14ac:dyDescent="0.3">
      <c r="C2" s="1" t="s">
        <v>41</v>
      </c>
      <c r="F2" s="23">
        <f>F14+F25+F36+F47+F58+F62</f>
        <v>7.1505555555555551</v>
      </c>
    </row>
    <row r="3" spans="1:16" ht="15.75" thickBot="1" x14ac:dyDescent="0.3">
      <c r="C3" s="1"/>
      <c r="F3" s="23"/>
      <c r="I3" s="47" t="s">
        <v>735</v>
      </c>
      <c r="J3" s="48" t="s">
        <v>736</v>
      </c>
      <c r="K3" s="64" t="s">
        <v>779</v>
      </c>
      <c r="L3" s="64" t="s">
        <v>781</v>
      </c>
      <c r="M3" s="64" t="s">
        <v>802</v>
      </c>
      <c r="N3" s="64" t="s">
        <v>900</v>
      </c>
      <c r="O3" s="64" t="s">
        <v>908</v>
      </c>
      <c r="P3" s="103" t="s">
        <v>937</v>
      </c>
    </row>
    <row r="4" spans="1:16" x14ac:dyDescent="0.25">
      <c r="A4">
        <f>B4*E4</f>
        <v>627</v>
      </c>
      <c r="B4" s="63">
        <v>1</v>
      </c>
      <c r="C4" s="5">
        <v>1</v>
      </c>
      <c r="D4" s="8">
        <v>0.43541666666666662</v>
      </c>
      <c r="E4" s="14">
        <f>10*60+27</f>
        <v>627</v>
      </c>
      <c r="F4" s="11"/>
      <c r="G4" s="2" t="s">
        <v>689</v>
      </c>
      <c r="H4" s="103"/>
      <c r="I4" s="67">
        <f>E4</f>
        <v>627</v>
      </c>
      <c r="J4" s="68">
        <f>I4/60</f>
        <v>10.45</v>
      </c>
      <c r="K4" s="63" t="s">
        <v>780</v>
      </c>
      <c r="L4" s="63"/>
      <c r="M4" s="63"/>
      <c r="N4" s="63"/>
      <c r="O4" s="63"/>
    </row>
    <row r="5" spans="1:16" x14ac:dyDescent="0.25">
      <c r="A5">
        <f t="shared" ref="A5:A61" si="0">B5*E5</f>
        <v>706</v>
      </c>
      <c r="B5" s="63">
        <v>1</v>
      </c>
      <c r="C5" s="6">
        <v>2</v>
      </c>
      <c r="D5" s="9">
        <v>0.49027777777777781</v>
      </c>
      <c r="E5" s="15">
        <f>11*60+46</f>
        <v>706</v>
      </c>
      <c r="F5" s="12"/>
      <c r="G5" s="3" t="s">
        <v>690</v>
      </c>
      <c r="H5" s="103"/>
      <c r="I5" s="55">
        <f>E5+I4</f>
        <v>1333</v>
      </c>
      <c r="J5" s="56">
        <f t="shared" ref="J5:J54" si="1">I5/60</f>
        <v>22.216666666666665</v>
      </c>
      <c r="K5" s="63" t="s">
        <v>780</v>
      </c>
      <c r="L5" s="63"/>
      <c r="M5" s="63"/>
      <c r="N5" s="63"/>
      <c r="O5" s="63"/>
    </row>
    <row r="6" spans="1:16" x14ac:dyDescent="0.25">
      <c r="A6">
        <f t="shared" si="0"/>
        <v>655</v>
      </c>
      <c r="B6" s="63">
        <v>1</v>
      </c>
      <c r="C6" s="6">
        <v>3</v>
      </c>
      <c r="D6" s="9">
        <v>0.4548611111111111</v>
      </c>
      <c r="E6" s="15">
        <f>10*60+55</f>
        <v>655</v>
      </c>
      <c r="F6" s="12"/>
      <c r="G6" s="3" t="s">
        <v>691</v>
      </c>
      <c r="H6" s="103"/>
      <c r="I6" s="55">
        <f t="shared" ref="I6:I13" si="2">E6+I5</f>
        <v>1988</v>
      </c>
      <c r="J6" s="56">
        <f t="shared" si="1"/>
        <v>33.133333333333333</v>
      </c>
      <c r="K6" s="63" t="s">
        <v>780</v>
      </c>
      <c r="L6" s="63"/>
      <c r="M6" s="63"/>
      <c r="N6" s="63"/>
      <c r="O6" s="63"/>
    </row>
    <row r="7" spans="1:16" x14ac:dyDescent="0.25">
      <c r="A7">
        <f t="shared" si="0"/>
        <v>587</v>
      </c>
      <c r="B7" s="63">
        <v>1</v>
      </c>
      <c r="C7" s="6">
        <v>4</v>
      </c>
      <c r="D7" s="9">
        <v>0.40763888888888888</v>
      </c>
      <c r="E7" s="15">
        <f>9*60+47</f>
        <v>587</v>
      </c>
      <c r="F7" s="12"/>
      <c r="G7" s="3" t="s">
        <v>692</v>
      </c>
      <c r="H7" s="103"/>
      <c r="I7" s="55">
        <f t="shared" si="2"/>
        <v>2575</v>
      </c>
      <c r="J7" s="56">
        <f t="shared" si="1"/>
        <v>42.916666666666664</v>
      </c>
      <c r="K7" s="63" t="s">
        <v>780</v>
      </c>
      <c r="L7" s="63"/>
      <c r="M7" s="63"/>
      <c r="N7" s="63"/>
      <c r="O7" s="63"/>
    </row>
    <row r="8" spans="1:16" x14ac:dyDescent="0.25">
      <c r="A8">
        <f t="shared" si="0"/>
        <v>449</v>
      </c>
      <c r="B8" s="63">
        <v>1</v>
      </c>
      <c r="C8" s="6">
        <v>5</v>
      </c>
      <c r="D8" s="9">
        <v>0.31180555555555556</v>
      </c>
      <c r="E8" s="15">
        <f>7*60+29</f>
        <v>449</v>
      </c>
      <c r="F8" s="12"/>
      <c r="G8" s="3" t="s">
        <v>693</v>
      </c>
      <c r="H8" s="103"/>
      <c r="I8" s="55">
        <f t="shared" si="2"/>
        <v>3024</v>
      </c>
      <c r="J8" s="56">
        <f t="shared" si="1"/>
        <v>50.4</v>
      </c>
      <c r="K8" s="63" t="s">
        <v>780</v>
      </c>
      <c r="L8" s="63"/>
      <c r="M8" s="63"/>
      <c r="N8" s="63"/>
      <c r="O8" s="63"/>
    </row>
    <row r="9" spans="1:16" x14ac:dyDescent="0.25">
      <c r="A9">
        <f t="shared" si="0"/>
        <v>663</v>
      </c>
      <c r="B9" s="63">
        <v>1</v>
      </c>
      <c r="C9" s="6">
        <v>6</v>
      </c>
      <c r="D9" s="9">
        <v>0.4604166666666667</v>
      </c>
      <c r="E9" s="15">
        <f>11*60+3</f>
        <v>663</v>
      </c>
      <c r="F9" s="12"/>
      <c r="G9" s="3" t="s">
        <v>694</v>
      </c>
      <c r="H9" s="103" t="s">
        <v>901</v>
      </c>
      <c r="I9" s="70">
        <f t="shared" si="2"/>
        <v>3687</v>
      </c>
      <c r="J9" s="66">
        <f t="shared" si="1"/>
        <v>61.45</v>
      </c>
      <c r="K9" s="63" t="s">
        <v>780</v>
      </c>
      <c r="L9" s="63"/>
      <c r="M9" s="63"/>
      <c r="N9" s="63"/>
      <c r="O9" s="63"/>
    </row>
    <row r="10" spans="1:16" x14ac:dyDescent="0.25">
      <c r="A10">
        <f t="shared" si="0"/>
        <v>476</v>
      </c>
      <c r="B10" s="63">
        <v>1</v>
      </c>
      <c r="C10" s="6">
        <v>7</v>
      </c>
      <c r="D10" s="9">
        <v>0.33055555555555555</v>
      </c>
      <c r="E10" s="15">
        <f>7*60+56</f>
        <v>476</v>
      </c>
      <c r="F10" s="12"/>
      <c r="G10" s="3" t="s">
        <v>695</v>
      </c>
      <c r="I10" s="51">
        <f t="shared" si="2"/>
        <v>4163</v>
      </c>
      <c r="J10" s="52">
        <f t="shared" si="1"/>
        <v>69.38333333333334</v>
      </c>
      <c r="K10" s="63"/>
      <c r="L10" s="63" t="s">
        <v>780</v>
      </c>
      <c r="M10" s="63"/>
      <c r="N10" s="63"/>
      <c r="O10" s="63"/>
    </row>
    <row r="11" spans="1:16" x14ac:dyDescent="0.25">
      <c r="A11">
        <f t="shared" si="0"/>
        <v>962</v>
      </c>
      <c r="B11" s="63">
        <v>1</v>
      </c>
      <c r="C11" s="6">
        <v>8</v>
      </c>
      <c r="D11" s="9">
        <v>0.66805555555555562</v>
      </c>
      <c r="E11" s="15">
        <f>16*60+2</f>
        <v>962</v>
      </c>
      <c r="F11" s="12"/>
      <c r="G11" s="3" t="s">
        <v>696</v>
      </c>
      <c r="I11" s="51">
        <f t="shared" si="2"/>
        <v>5125</v>
      </c>
      <c r="J11" s="52">
        <f t="shared" si="1"/>
        <v>85.416666666666671</v>
      </c>
      <c r="K11" s="63"/>
      <c r="L11" s="63" t="s">
        <v>780</v>
      </c>
      <c r="M11" s="63"/>
      <c r="N11" s="63"/>
      <c r="O11" s="63"/>
    </row>
    <row r="12" spans="1:16" x14ac:dyDescent="0.25">
      <c r="A12">
        <f t="shared" si="0"/>
        <v>511</v>
      </c>
      <c r="B12" s="63">
        <v>1</v>
      </c>
      <c r="C12" s="6">
        <v>9</v>
      </c>
      <c r="D12" s="9">
        <v>0.35486111111111113</v>
      </c>
      <c r="E12" s="15">
        <f>8*60+31</f>
        <v>511</v>
      </c>
      <c r="F12" s="12"/>
      <c r="G12" s="3" t="s">
        <v>697</v>
      </c>
      <c r="I12" s="51">
        <f t="shared" si="2"/>
        <v>5636</v>
      </c>
      <c r="J12" s="52">
        <f t="shared" si="1"/>
        <v>93.933333333333337</v>
      </c>
      <c r="K12" s="63"/>
      <c r="L12" s="63" t="s">
        <v>780</v>
      </c>
      <c r="M12" s="63"/>
      <c r="N12" s="63"/>
      <c r="O12" s="63"/>
    </row>
    <row r="13" spans="1:16" x14ac:dyDescent="0.25">
      <c r="A13">
        <f t="shared" si="0"/>
        <v>730</v>
      </c>
      <c r="B13" s="63">
        <v>1</v>
      </c>
      <c r="C13" s="6">
        <v>10</v>
      </c>
      <c r="D13" s="9">
        <v>0.50694444444444442</v>
      </c>
      <c r="E13" s="15">
        <f>12*60+10</f>
        <v>730</v>
      </c>
      <c r="F13" s="12"/>
      <c r="G13" s="3" t="s">
        <v>698</v>
      </c>
      <c r="I13" s="51">
        <f t="shared" si="2"/>
        <v>6366</v>
      </c>
      <c r="J13" s="52">
        <f t="shared" si="1"/>
        <v>106.1</v>
      </c>
      <c r="K13" s="63"/>
      <c r="L13" s="63" t="s">
        <v>780</v>
      </c>
      <c r="M13" s="63"/>
      <c r="N13" s="63"/>
      <c r="O13" s="63"/>
    </row>
    <row r="14" spans="1:16" ht="15.75" thickBot="1" x14ac:dyDescent="0.3">
      <c r="B14" s="63"/>
      <c r="C14" s="17"/>
      <c r="D14" s="18"/>
      <c r="E14" s="19">
        <f>SUM(E4:E13)/60</f>
        <v>106.1</v>
      </c>
      <c r="F14" s="20">
        <f>E14/60</f>
        <v>1.7683333333333333</v>
      </c>
      <c r="G14" s="21"/>
      <c r="I14" s="51"/>
      <c r="J14" s="52"/>
      <c r="K14" s="63"/>
      <c r="L14" s="63"/>
      <c r="M14" s="63"/>
      <c r="N14" s="63"/>
      <c r="O14" s="63"/>
    </row>
    <row r="15" spans="1:16" x14ac:dyDescent="0.25">
      <c r="A15">
        <f t="shared" si="0"/>
        <v>343</v>
      </c>
      <c r="B15" s="63">
        <v>1</v>
      </c>
      <c r="C15" s="7">
        <v>11</v>
      </c>
      <c r="D15" s="10">
        <v>0.23819444444444446</v>
      </c>
      <c r="E15" s="16">
        <f>5*60+43</f>
        <v>343</v>
      </c>
      <c r="F15" s="13"/>
      <c r="G15" s="4" t="s">
        <v>699</v>
      </c>
      <c r="I15" s="51">
        <f>E15+I13</f>
        <v>6709</v>
      </c>
      <c r="J15" s="52">
        <f t="shared" si="1"/>
        <v>111.81666666666666</v>
      </c>
      <c r="K15" s="63"/>
      <c r="L15" s="63" t="s">
        <v>780</v>
      </c>
      <c r="M15" s="63"/>
      <c r="N15" s="63"/>
      <c r="O15" s="63"/>
    </row>
    <row r="16" spans="1:16" x14ac:dyDescent="0.25">
      <c r="A16">
        <f t="shared" si="0"/>
        <v>659</v>
      </c>
      <c r="B16" s="63">
        <v>1</v>
      </c>
      <c r="C16" s="6">
        <v>12</v>
      </c>
      <c r="D16" s="9">
        <v>0.45763888888888887</v>
      </c>
      <c r="E16" s="15">
        <f>10*60+59</f>
        <v>659</v>
      </c>
      <c r="F16" s="12"/>
      <c r="G16" s="3" t="s">
        <v>700</v>
      </c>
      <c r="H16" s="92" t="s">
        <v>902</v>
      </c>
      <c r="I16" s="53">
        <f>E16+I15</f>
        <v>7368</v>
      </c>
      <c r="J16" s="54">
        <f t="shared" si="1"/>
        <v>122.8</v>
      </c>
      <c r="K16" s="63"/>
      <c r="L16" s="63" t="s">
        <v>780</v>
      </c>
      <c r="M16" s="63"/>
      <c r="N16" s="63"/>
      <c r="O16" s="63"/>
    </row>
    <row r="17" spans="1:15" x14ac:dyDescent="0.25">
      <c r="A17">
        <f t="shared" si="0"/>
        <v>374</v>
      </c>
      <c r="B17" s="63">
        <v>1</v>
      </c>
      <c r="C17" s="6">
        <v>13</v>
      </c>
      <c r="D17" s="9">
        <v>0.25972222222222224</v>
      </c>
      <c r="E17" s="15">
        <f>6*60+14</f>
        <v>374</v>
      </c>
      <c r="F17" s="12"/>
      <c r="G17" s="3" t="s">
        <v>701</v>
      </c>
      <c r="I17" s="55">
        <f t="shared" ref="I17:I24" si="3">E17+I16</f>
        <v>7742</v>
      </c>
      <c r="J17" s="56">
        <f t="shared" si="1"/>
        <v>129.03333333333333</v>
      </c>
      <c r="K17" s="63"/>
      <c r="L17" s="63"/>
      <c r="M17" s="63" t="s">
        <v>780</v>
      </c>
      <c r="N17" s="63"/>
      <c r="O17" s="63"/>
    </row>
    <row r="18" spans="1:15" x14ac:dyDescent="0.25">
      <c r="A18">
        <f t="shared" si="0"/>
        <v>397</v>
      </c>
      <c r="B18" s="63">
        <v>1</v>
      </c>
      <c r="C18" s="6">
        <v>14</v>
      </c>
      <c r="D18" s="9">
        <v>0.27569444444444446</v>
      </c>
      <c r="E18" s="15">
        <f>6*60+37</f>
        <v>397</v>
      </c>
      <c r="F18" s="12"/>
      <c r="G18" s="3" t="s">
        <v>702</v>
      </c>
      <c r="I18" s="55">
        <f t="shared" si="3"/>
        <v>8139</v>
      </c>
      <c r="J18" s="56">
        <f t="shared" si="1"/>
        <v>135.65</v>
      </c>
      <c r="K18" s="63"/>
      <c r="L18" s="63"/>
      <c r="M18" s="63" t="s">
        <v>780</v>
      </c>
      <c r="N18" s="63"/>
      <c r="O18" s="63"/>
    </row>
    <row r="19" spans="1:15" x14ac:dyDescent="0.25">
      <c r="A19">
        <f t="shared" si="0"/>
        <v>554</v>
      </c>
      <c r="B19" s="63">
        <v>1</v>
      </c>
      <c r="C19" s="6">
        <v>15</v>
      </c>
      <c r="D19" s="9">
        <v>0.38472222222222219</v>
      </c>
      <c r="E19" s="15">
        <f>9*60+14</f>
        <v>554</v>
      </c>
      <c r="F19" s="12"/>
      <c r="G19" s="3" t="s">
        <v>703</v>
      </c>
      <c r="I19" s="55">
        <f t="shared" si="3"/>
        <v>8693</v>
      </c>
      <c r="J19" s="56">
        <f t="shared" si="1"/>
        <v>144.88333333333333</v>
      </c>
      <c r="K19" s="63"/>
      <c r="L19" s="63"/>
      <c r="M19" s="63"/>
      <c r="N19" s="63" t="s">
        <v>780</v>
      </c>
      <c r="O19" s="63"/>
    </row>
    <row r="20" spans="1:15" x14ac:dyDescent="0.25">
      <c r="A20">
        <f t="shared" si="0"/>
        <v>471</v>
      </c>
      <c r="B20" s="63">
        <v>1</v>
      </c>
      <c r="C20" s="6">
        <v>16</v>
      </c>
      <c r="D20" s="9">
        <v>0.32708333333333334</v>
      </c>
      <c r="E20" s="15">
        <f>7*60+51</f>
        <v>471</v>
      </c>
      <c r="F20" s="12"/>
      <c r="G20" s="3" t="s">
        <v>704</v>
      </c>
      <c r="I20" s="55">
        <f t="shared" si="3"/>
        <v>9164</v>
      </c>
      <c r="J20" s="56">
        <f t="shared" si="1"/>
        <v>152.73333333333332</v>
      </c>
      <c r="K20" s="63"/>
      <c r="L20" s="63"/>
      <c r="M20" s="63"/>
      <c r="N20" s="63" t="s">
        <v>780</v>
      </c>
      <c r="O20" s="63"/>
    </row>
    <row r="21" spans="1:15" x14ac:dyDescent="0.25">
      <c r="A21">
        <f t="shared" si="0"/>
        <v>876</v>
      </c>
      <c r="B21" s="63">
        <v>1</v>
      </c>
      <c r="C21" s="6">
        <v>17</v>
      </c>
      <c r="D21" s="9">
        <v>0.60833333333333328</v>
      </c>
      <c r="E21" s="15">
        <f>14*60+36</f>
        <v>876</v>
      </c>
      <c r="F21" s="12"/>
      <c r="G21" s="3" t="s">
        <v>705</v>
      </c>
      <c r="I21" s="55">
        <f t="shared" si="3"/>
        <v>10040</v>
      </c>
      <c r="J21" s="56">
        <f t="shared" si="1"/>
        <v>167.33333333333334</v>
      </c>
      <c r="K21" s="63"/>
      <c r="L21" s="63"/>
      <c r="M21" s="63"/>
      <c r="N21" s="63" t="s">
        <v>780</v>
      </c>
      <c r="O21" s="63"/>
    </row>
    <row r="22" spans="1:15" x14ac:dyDescent="0.25">
      <c r="A22">
        <f t="shared" si="0"/>
        <v>697</v>
      </c>
      <c r="B22" s="63">
        <v>1</v>
      </c>
      <c r="C22" s="6">
        <v>18</v>
      </c>
      <c r="D22" s="9">
        <v>0.48402777777777778</v>
      </c>
      <c r="E22" s="15">
        <f>11*60+37</f>
        <v>697</v>
      </c>
      <c r="F22" s="12"/>
      <c r="G22" s="3" t="s">
        <v>706</v>
      </c>
      <c r="I22" s="55">
        <f t="shared" si="3"/>
        <v>10737</v>
      </c>
      <c r="J22" s="56">
        <f t="shared" si="1"/>
        <v>178.95</v>
      </c>
      <c r="K22" s="63"/>
      <c r="L22" s="63"/>
      <c r="M22" s="63"/>
      <c r="N22" s="63" t="s">
        <v>780</v>
      </c>
      <c r="O22" s="63"/>
    </row>
    <row r="23" spans="1:15" x14ac:dyDescent="0.25">
      <c r="A23">
        <f t="shared" si="0"/>
        <v>237</v>
      </c>
      <c r="B23" s="63">
        <v>1</v>
      </c>
      <c r="C23" s="6">
        <v>19</v>
      </c>
      <c r="D23" s="9">
        <v>0.16458333333333333</v>
      </c>
      <c r="E23" s="15">
        <f>3*60+57</f>
        <v>237</v>
      </c>
      <c r="F23" s="12"/>
      <c r="G23" s="3" t="s">
        <v>707</v>
      </c>
      <c r="H23" s="92" t="s">
        <v>904</v>
      </c>
      <c r="I23" s="70">
        <f t="shared" si="3"/>
        <v>10974</v>
      </c>
      <c r="J23" s="66">
        <f t="shared" si="1"/>
        <v>182.9</v>
      </c>
      <c r="K23" s="63"/>
      <c r="L23" s="63"/>
      <c r="M23" s="63"/>
      <c r="N23" s="63" t="s">
        <v>780</v>
      </c>
      <c r="O23" s="63"/>
    </row>
    <row r="24" spans="1:15" x14ac:dyDescent="0.25">
      <c r="A24">
        <f t="shared" si="0"/>
        <v>666</v>
      </c>
      <c r="B24" s="63">
        <v>1</v>
      </c>
      <c r="C24" s="6">
        <v>20</v>
      </c>
      <c r="D24" s="31" t="s">
        <v>352</v>
      </c>
      <c r="E24" s="15">
        <f>11*60+6</f>
        <v>666</v>
      </c>
      <c r="F24" s="12"/>
      <c r="G24" s="3" t="s">
        <v>708</v>
      </c>
      <c r="I24" s="51">
        <f t="shared" si="3"/>
        <v>11640</v>
      </c>
      <c r="J24" s="52">
        <f t="shared" si="1"/>
        <v>194</v>
      </c>
      <c r="K24" s="63"/>
      <c r="L24" s="63"/>
      <c r="M24" s="63"/>
      <c r="N24" s="63"/>
      <c r="O24" s="63" t="s">
        <v>780</v>
      </c>
    </row>
    <row r="25" spans="1:15" ht="15.75" thickBot="1" x14ac:dyDescent="0.3">
      <c r="B25" s="63"/>
      <c r="C25" s="17"/>
      <c r="D25" s="18"/>
      <c r="E25" s="19">
        <f>SUM(E15:E24)/60</f>
        <v>87.9</v>
      </c>
      <c r="F25" s="20">
        <f>E25/60</f>
        <v>1.4650000000000001</v>
      </c>
      <c r="G25" s="21"/>
      <c r="I25" s="51"/>
      <c r="J25" s="52"/>
      <c r="K25" s="63"/>
      <c r="L25" s="63"/>
      <c r="M25" s="63"/>
      <c r="N25" s="63"/>
      <c r="O25" s="63"/>
    </row>
    <row r="26" spans="1:15" x14ac:dyDescent="0.25">
      <c r="A26">
        <f t="shared" si="0"/>
        <v>543</v>
      </c>
      <c r="B26" s="63">
        <v>1</v>
      </c>
      <c r="C26" s="5">
        <v>21</v>
      </c>
      <c r="D26" s="8">
        <v>0.37708333333333338</v>
      </c>
      <c r="E26" s="14">
        <f>9*60+3</f>
        <v>543</v>
      </c>
      <c r="F26" s="11"/>
      <c r="G26" s="2" t="s">
        <v>739</v>
      </c>
      <c r="I26" s="51">
        <f>E26+I24</f>
        <v>12183</v>
      </c>
      <c r="J26" s="52">
        <f t="shared" si="1"/>
        <v>203.05</v>
      </c>
      <c r="K26" s="63"/>
      <c r="L26" s="63"/>
      <c r="M26" s="63"/>
      <c r="N26" s="63"/>
      <c r="O26" s="63" t="s">
        <v>780</v>
      </c>
    </row>
    <row r="27" spans="1:15" x14ac:dyDescent="0.25">
      <c r="A27">
        <f t="shared" si="0"/>
        <v>1210</v>
      </c>
      <c r="B27" s="63">
        <v>1</v>
      </c>
      <c r="C27" s="6">
        <v>22</v>
      </c>
      <c r="D27" s="9">
        <v>0.84027777777777779</v>
      </c>
      <c r="E27" s="15">
        <f>20*60+10</f>
        <v>1210</v>
      </c>
      <c r="F27" s="12"/>
      <c r="G27" s="3" t="s">
        <v>740</v>
      </c>
      <c r="I27" s="51">
        <f>E27+I26</f>
        <v>13393</v>
      </c>
      <c r="J27" s="52">
        <f t="shared" si="1"/>
        <v>223.21666666666667</v>
      </c>
      <c r="K27" s="63"/>
      <c r="L27" s="63"/>
      <c r="M27" s="63"/>
      <c r="N27" s="63"/>
      <c r="O27" s="108" t="s">
        <v>780</v>
      </c>
    </row>
    <row r="28" spans="1:15" x14ac:dyDescent="0.25">
      <c r="A28">
        <f t="shared" si="0"/>
        <v>332</v>
      </c>
      <c r="B28" s="63">
        <v>1</v>
      </c>
      <c r="C28" s="6">
        <v>23</v>
      </c>
      <c r="D28" s="9">
        <v>0.23055555555555554</v>
      </c>
      <c r="E28" s="15">
        <f>5*60+32</f>
        <v>332</v>
      </c>
      <c r="F28" s="12"/>
      <c r="G28" s="3" t="s">
        <v>741</v>
      </c>
      <c r="I28" s="51">
        <f>E28+I27</f>
        <v>13725</v>
      </c>
      <c r="J28" s="52">
        <f t="shared" si="1"/>
        <v>228.75</v>
      </c>
      <c r="K28" s="63"/>
      <c r="L28" s="63"/>
      <c r="M28" s="63"/>
      <c r="N28" s="63"/>
      <c r="O28" s="108" t="s">
        <v>780</v>
      </c>
    </row>
    <row r="29" spans="1:15" x14ac:dyDescent="0.25">
      <c r="A29">
        <f t="shared" si="0"/>
        <v>272</v>
      </c>
      <c r="B29" s="63">
        <v>1</v>
      </c>
      <c r="C29" s="6">
        <v>24</v>
      </c>
      <c r="D29" s="9">
        <v>0.18888888888888888</v>
      </c>
      <c r="E29" s="15">
        <f>4*60+32</f>
        <v>272</v>
      </c>
      <c r="F29" s="12"/>
      <c r="G29" s="3" t="s">
        <v>742</v>
      </c>
      <c r="I29" s="95">
        <f>E29+I28</f>
        <v>13997</v>
      </c>
      <c r="J29" s="104">
        <f t="shared" si="1"/>
        <v>233.28333333333333</v>
      </c>
      <c r="K29" s="63"/>
      <c r="L29" s="63"/>
      <c r="M29" s="63"/>
      <c r="N29" s="63"/>
      <c r="O29" s="108" t="s">
        <v>780</v>
      </c>
    </row>
    <row r="30" spans="1:15" x14ac:dyDescent="0.25">
      <c r="A30">
        <f t="shared" si="0"/>
        <v>517</v>
      </c>
      <c r="B30" s="63">
        <v>1</v>
      </c>
      <c r="C30" s="6">
        <v>25</v>
      </c>
      <c r="D30" s="9">
        <v>0.35902777777777778</v>
      </c>
      <c r="E30" s="15">
        <f>8*60+37</f>
        <v>517</v>
      </c>
      <c r="F30" s="12"/>
      <c r="G30" s="3" t="s">
        <v>743</v>
      </c>
      <c r="H30" s="92" t="s">
        <v>903</v>
      </c>
      <c r="I30" s="53">
        <f t="shared" ref="I30:I35" si="4">E30+I29</f>
        <v>14514</v>
      </c>
      <c r="J30" s="54">
        <f t="shared" si="1"/>
        <v>241.9</v>
      </c>
      <c r="K30" s="63"/>
      <c r="L30" s="63"/>
      <c r="M30" s="63"/>
      <c r="N30" s="63"/>
      <c r="O30" s="108" t="s">
        <v>780</v>
      </c>
    </row>
    <row r="31" spans="1:15" x14ac:dyDescent="0.25">
      <c r="A31">
        <f t="shared" si="0"/>
        <v>535</v>
      </c>
      <c r="B31" s="63">
        <v>1</v>
      </c>
      <c r="C31" s="6">
        <v>26</v>
      </c>
      <c r="D31" s="9">
        <v>0.37152777777777773</v>
      </c>
      <c r="E31" s="15">
        <f>8*60+55</f>
        <v>535</v>
      </c>
      <c r="F31" s="12"/>
      <c r="G31" s="3" t="s">
        <v>744</v>
      </c>
      <c r="I31" s="55">
        <f t="shared" si="4"/>
        <v>15049</v>
      </c>
      <c r="J31" s="56">
        <f t="shared" si="1"/>
        <v>250.81666666666666</v>
      </c>
      <c r="K31" s="63"/>
      <c r="L31" s="63"/>
      <c r="M31" s="63"/>
      <c r="N31" s="63"/>
      <c r="O31" s="108" t="s">
        <v>780</v>
      </c>
    </row>
    <row r="32" spans="1:15" x14ac:dyDescent="0.25">
      <c r="A32">
        <f t="shared" si="0"/>
        <v>239</v>
      </c>
      <c r="B32" s="63">
        <v>1</v>
      </c>
      <c r="C32" s="6">
        <v>27</v>
      </c>
      <c r="D32" s="9">
        <v>0.16597222222222222</v>
      </c>
      <c r="E32" s="15">
        <f>3*60+59</f>
        <v>239</v>
      </c>
      <c r="F32" s="12"/>
      <c r="G32" s="3" t="s">
        <v>745</v>
      </c>
      <c r="I32" s="55">
        <f t="shared" si="4"/>
        <v>15288</v>
      </c>
      <c r="J32" s="56">
        <f t="shared" si="1"/>
        <v>254.8</v>
      </c>
      <c r="K32" s="63"/>
      <c r="L32" s="63"/>
      <c r="M32" s="63"/>
      <c r="N32" s="63"/>
      <c r="O32" s="108" t="s">
        <v>780</v>
      </c>
    </row>
    <row r="33" spans="1:16" x14ac:dyDescent="0.25">
      <c r="A33">
        <f t="shared" si="0"/>
        <v>216</v>
      </c>
      <c r="B33" s="63">
        <v>1</v>
      </c>
      <c r="C33" s="6">
        <v>28</v>
      </c>
      <c r="D33" s="9">
        <v>0.15</v>
      </c>
      <c r="E33" s="15">
        <f>3*60+36</f>
        <v>216</v>
      </c>
      <c r="F33" s="12"/>
      <c r="G33" s="3" t="s">
        <v>746</v>
      </c>
      <c r="I33" s="55">
        <f t="shared" si="4"/>
        <v>15504</v>
      </c>
      <c r="J33" s="56">
        <f t="shared" si="1"/>
        <v>258.39999999999998</v>
      </c>
      <c r="K33" s="63"/>
      <c r="L33" s="63"/>
      <c r="M33" s="63"/>
      <c r="N33" s="63"/>
      <c r="O33" s="108" t="s">
        <v>780</v>
      </c>
    </row>
    <row r="34" spans="1:16" x14ac:dyDescent="0.25">
      <c r="A34">
        <f t="shared" si="0"/>
        <v>190</v>
      </c>
      <c r="B34" s="63">
        <v>1</v>
      </c>
      <c r="C34" s="6">
        <v>29</v>
      </c>
      <c r="D34" s="9">
        <v>0.13194444444444445</v>
      </c>
      <c r="E34" s="15">
        <f>3*60+10</f>
        <v>190</v>
      </c>
      <c r="F34" s="12"/>
      <c r="G34" s="3" t="s">
        <v>747</v>
      </c>
      <c r="I34" s="55">
        <f t="shared" si="4"/>
        <v>15694</v>
      </c>
      <c r="J34" s="56">
        <f t="shared" si="1"/>
        <v>261.56666666666666</v>
      </c>
      <c r="K34" s="63"/>
      <c r="L34" s="63"/>
      <c r="M34" s="63"/>
      <c r="N34" s="63"/>
      <c r="O34" s="108" t="s">
        <v>780</v>
      </c>
    </row>
    <row r="35" spans="1:16" x14ac:dyDescent="0.25">
      <c r="A35">
        <f t="shared" si="0"/>
        <v>851</v>
      </c>
      <c r="B35" s="63">
        <v>1</v>
      </c>
      <c r="C35" s="6">
        <v>30</v>
      </c>
      <c r="D35" s="9">
        <v>0.59097222222222223</v>
      </c>
      <c r="E35" s="15">
        <f>14*60+11</f>
        <v>851</v>
      </c>
      <c r="F35" s="12"/>
      <c r="G35" s="3" t="s">
        <v>748</v>
      </c>
      <c r="I35" s="55">
        <f t="shared" si="4"/>
        <v>16545</v>
      </c>
      <c r="J35" s="56">
        <f t="shared" si="1"/>
        <v>275.75</v>
      </c>
      <c r="K35" s="63"/>
      <c r="L35" s="63"/>
      <c r="M35" s="63"/>
      <c r="N35" s="63"/>
      <c r="O35" s="108" t="s">
        <v>780</v>
      </c>
    </row>
    <row r="36" spans="1:16" ht="15.75" thickBot="1" x14ac:dyDescent="0.3">
      <c r="B36" s="63"/>
      <c r="C36" s="17"/>
      <c r="D36" s="18"/>
      <c r="E36" s="19">
        <f>SUM(E26:E35)/60</f>
        <v>81.75</v>
      </c>
      <c r="F36" s="20">
        <f>E36/60</f>
        <v>1.3625</v>
      </c>
      <c r="G36" s="21"/>
      <c r="I36" s="55"/>
      <c r="J36" s="56"/>
      <c r="K36" s="63"/>
      <c r="L36" s="63"/>
      <c r="M36" s="63"/>
      <c r="N36" s="63"/>
      <c r="O36" s="108"/>
    </row>
    <row r="37" spans="1:16" x14ac:dyDescent="0.25">
      <c r="A37">
        <f t="shared" si="0"/>
        <v>187</v>
      </c>
      <c r="B37" s="63">
        <v>1</v>
      </c>
      <c r="C37" s="7">
        <v>31</v>
      </c>
      <c r="D37" s="10">
        <v>0.12986111111111112</v>
      </c>
      <c r="E37" s="16">
        <f>3*60+7</f>
        <v>187</v>
      </c>
      <c r="F37" s="13"/>
      <c r="G37" s="4" t="s">
        <v>749</v>
      </c>
      <c r="I37" s="57">
        <f>E37+I35</f>
        <v>16732</v>
      </c>
      <c r="J37" s="56">
        <f t="shared" si="1"/>
        <v>278.86666666666667</v>
      </c>
      <c r="K37" s="63"/>
      <c r="L37" s="63"/>
      <c r="M37" s="63"/>
      <c r="N37" s="63"/>
      <c r="O37" s="108" t="s">
        <v>780</v>
      </c>
    </row>
    <row r="38" spans="1:16" x14ac:dyDescent="0.25">
      <c r="A38">
        <f t="shared" si="0"/>
        <v>748</v>
      </c>
      <c r="B38" s="63">
        <v>1</v>
      </c>
      <c r="C38" s="6">
        <v>32</v>
      </c>
      <c r="D38" s="9">
        <v>0.51944444444444449</v>
      </c>
      <c r="E38" s="15">
        <f>12*60+28</f>
        <v>748</v>
      </c>
      <c r="F38" s="12"/>
      <c r="G38" s="3" t="s">
        <v>750</v>
      </c>
      <c r="I38" s="57">
        <f>E38+I37</f>
        <v>17480</v>
      </c>
      <c r="J38" s="56">
        <f t="shared" si="1"/>
        <v>291.33333333333331</v>
      </c>
      <c r="K38" s="63"/>
      <c r="L38" s="63"/>
      <c r="M38" s="63"/>
      <c r="N38" s="63"/>
      <c r="O38" s="108" t="s">
        <v>780</v>
      </c>
    </row>
    <row r="39" spans="1:16" x14ac:dyDescent="0.25">
      <c r="A39">
        <f t="shared" si="0"/>
        <v>444</v>
      </c>
      <c r="B39" s="63">
        <v>1</v>
      </c>
      <c r="C39" s="6">
        <v>33</v>
      </c>
      <c r="D39" s="9">
        <v>0.30833333333333335</v>
      </c>
      <c r="E39" s="15">
        <f>7*60+24</f>
        <v>444</v>
      </c>
      <c r="F39" s="12"/>
      <c r="G39" s="3" t="s">
        <v>751</v>
      </c>
      <c r="I39" s="57">
        <f t="shared" ref="I39:I46" si="5">E39+I38</f>
        <v>17924</v>
      </c>
      <c r="J39" s="56">
        <f t="shared" si="1"/>
        <v>298.73333333333335</v>
      </c>
      <c r="K39" s="63"/>
      <c r="L39" s="63"/>
      <c r="M39" s="63"/>
      <c r="N39" s="63"/>
      <c r="O39" s="108" t="s">
        <v>780</v>
      </c>
    </row>
    <row r="40" spans="1:16" x14ac:dyDescent="0.25">
      <c r="A40">
        <f t="shared" si="0"/>
        <v>142</v>
      </c>
      <c r="B40" s="63">
        <v>1</v>
      </c>
      <c r="C40" s="6">
        <v>34</v>
      </c>
      <c r="D40" s="9">
        <v>9.8611111111111108E-2</v>
      </c>
      <c r="E40" s="15">
        <f>2*60+22</f>
        <v>142</v>
      </c>
      <c r="F40" s="12"/>
      <c r="G40" s="3" t="s">
        <v>752</v>
      </c>
      <c r="H40" s="92" t="s">
        <v>906</v>
      </c>
      <c r="I40" s="71">
        <f t="shared" si="5"/>
        <v>18066</v>
      </c>
      <c r="J40" s="66">
        <f t="shared" si="1"/>
        <v>301.10000000000002</v>
      </c>
      <c r="K40" s="63"/>
      <c r="L40" s="63"/>
      <c r="M40" s="63"/>
      <c r="N40" s="63"/>
      <c r="O40" s="108" t="s">
        <v>780</v>
      </c>
    </row>
    <row r="41" spans="1:16" x14ac:dyDescent="0.25">
      <c r="A41">
        <f t="shared" si="0"/>
        <v>319</v>
      </c>
      <c r="B41" s="63">
        <v>1</v>
      </c>
      <c r="C41" s="6">
        <v>35</v>
      </c>
      <c r="D41" s="9">
        <v>0.22152777777777777</v>
      </c>
      <c r="E41" s="15">
        <f>5*60+19</f>
        <v>319</v>
      </c>
      <c r="F41" s="12"/>
      <c r="G41" s="3" t="s">
        <v>753</v>
      </c>
      <c r="I41" s="89">
        <f t="shared" si="5"/>
        <v>18385</v>
      </c>
      <c r="J41" s="52">
        <f t="shared" si="1"/>
        <v>306.41666666666669</v>
      </c>
      <c r="K41" s="63"/>
      <c r="L41" s="63"/>
      <c r="M41" s="63"/>
      <c r="N41" s="63"/>
      <c r="O41" s="63"/>
      <c r="P41" s="63" t="s">
        <v>780</v>
      </c>
    </row>
    <row r="42" spans="1:16" x14ac:dyDescent="0.25">
      <c r="A42">
        <f t="shared" si="0"/>
        <v>285</v>
      </c>
      <c r="B42" s="63">
        <v>1</v>
      </c>
      <c r="C42" s="6">
        <v>36</v>
      </c>
      <c r="D42" s="9">
        <v>0.19791666666666666</v>
      </c>
      <c r="E42" s="15">
        <f>4*60+45</f>
        <v>285</v>
      </c>
      <c r="F42" s="12"/>
      <c r="G42" s="3" t="s">
        <v>754</v>
      </c>
      <c r="I42" s="89">
        <f t="shared" si="5"/>
        <v>18670</v>
      </c>
      <c r="J42" s="52">
        <f t="shared" si="1"/>
        <v>311.16666666666669</v>
      </c>
      <c r="K42" s="63"/>
      <c r="L42" s="63"/>
      <c r="M42" s="63"/>
      <c r="N42" s="63"/>
      <c r="O42" s="63"/>
      <c r="P42" s="63" t="s">
        <v>780</v>
      </c>
    </row>
    <row r="43" spans="1:16" x14ac:dyDescent="0.25">
      <c r="A43">
        <f t="shared" si="0"/>
        <v>404</v>
      </c>
      <c r="B43" s="63">
        <v>1</v>
      </c>
      <c r="C43" s="6">
        <v>37</v>
      </c>
      <c r="D43" s="9">
        <v>0.28055555555555556</v>
      </c>
      <c r="E43" s="15">
        <f>6*60+44</f>
        <v>404</v>
      </c>
      <c r="F43" s="12"/>
      <c r="G43" s="3" t="s">
        <v>755</v>
      </c>
      <c r="I43" s="89">
        <f t="shared" si="5"/>
        <v>19074</v>
      </c>
      <c r="J43" s="52">
        <f t="shared" si="1"/>
        <v>317.89999999999998</v>
      </c>
      <c r="K43" s="63"/>
      <c r="L43" s="63"/>
      <c r="M43" s="63"/>
      <c r="N43" s="63"/>
      <c r="O43" s="63"/>
      <c r="P43" s="63" t="s">
        <v>780</v>
      </c>
    </row>
    <row r="44" spans="1:16" x14ac:dyDescent="0.25">
      <c r="A44">
        <f t="shared" si="0"/>
        <v>491</v>
      </c>
      <c r="B44" s="63">
        <v>1</v>
      </c>
      <c r="C44" s="6">
        <v>38</v>
      </c>
      <c r="D44" s="9">
        <v>0.34097222222222223</v>
      </c>
      <c r="E44" s="15">
        <f>8*60+11</f>
        <v>491</v>
      </c>
      <c r="F44" s="12"/>
      <c r="G44" s="3" t="s">
        <v>756</v>
      </c>
      <c r="I44" s="89">
        <f t="shared" si="5"/>
        <v>19565</v>
      </c>
      <c r="J44" s="52">
        <f t="shared" si="1"/>
        <v>326.08333333333331</v>
      </c>
      <c r="K44" s="63"/>
      <c r="L44" s="63"/>
      <c r="M44" s="63"/>
      <c r="N44" s="63"/>
      <c r="O44" s="63"/>
      <c r="P44" s="63" t="s">
        <v>780</v>
      </c>
    </row>
    <row r="45" spans="1:16" x14ac:dyDescent="0.25">
      <c r="A45">
        <f t="shared" si="0"/>
        <v>355</v>
      </c>
      <c r="B45" s="63">
        <v>1</v>
      </c>
      <c r="C45" s="6">
        <v>39</v>
      </c>
      <c r="D45" s="9">
        <v>0.24652777777777779</v>
      </c>
      <c r="E45" s="15">
        <f>5*60+55</f>
        <v>355</v>
      </c>
      <c r="F45" s="12"/>
      <c r="G45" s="3" t="s">
        <v>757</v>
      </c>
      <c r="I45" s="89">
        <f t="shared" si="5"/>
        <v>19920</v>
      </c>
      <c r="J45" s="52">
        <f t="shared" si="1"/>
        <v>332</v>
      </c>
      <c r="K45" s="63"/>
      <c r="L45" s="63"/>
      <c r="M45" s="63"/>
      <c r="N45" s="63"/>
      <c r="O45" s="63"/>
      <c r="P45" s="63" t="s">
        <v>780</v>
      </c>
    </row>
    <row r="46" spans="1:16" x14ac:dyDescent="0.25">
      <c r="A46">
        <f t="shared" si="0"/>
        <v>770</v>
      </c>
      <c r="B46" s="63">
        <v>1</v>
      </c>
      <c r="C46" s="6">
        <v>40</v>
      </c>
      <c r="D46" s="34">
        <v>0.53472222222222221</v>
      </c>
      <c r="E46" s="15">
        <f>12*60+50</f>
        <v>770</v>
      </c>
      <c r="F46" s="12"/>
      <c r="G46" s="3" t="s">
        <v>758</v>
      </c>
      <c r="I46" s="89">
        <f t="shared" si="5"/>
        <v>20690</v>
      </c>
      <c r="J46" s="52">
        <f t="shared" si="1"/>
        <v>344.83333333333331</v>
      </c>
      <c r="K46" s="63"/>
      <c r="L46" s="63"/>
      <c r="M46" s="63"/>
      <c r="N46" s="63"/>
      <c r="O46" s="63"/>
      <c r="P46" s="63" t="s">
        <v>780</v>
      </c>
    </row>
    <row r="47" spans="1:16" ht="15.75" thickBot="1" x14ac:dyDescent="0.3">
      <c r="B47" s="63"/>
      <c r="C47" s="17"/>
      <c r="D47" s="18"/>
      <c r="E47" s="19">
        <f>SUM(E37:E46)/60</f>
        <v>69.083333333333329</v>
      </c>
      <c r="F47" s="20">
        <f>E47/60</f>
        <v>1.1513888888888888</v>
      </c>
      <c r="G47" s="21"/>
      <c r="I47" s="89"/>
      <c r="J47" s="52"/>
      <c r="K47" s="63"/>
      <c r="L47" s="63"/>
      <c r="M47" s="63"/>
      <c r="N47" s="63"/>
      <c r="O47" s="63"/>
    </row>
    <row r="48" spans="1:16" x14ac:dyDescent="0.25">
      <c r="A48">
        <f t="shared" si="0"/>
        <v>459</v>
      </c>
      <c r="B48" s="63">
        <v>1</v>
      </c>
      <c r="C48" s="7">
        <v>41</v>
      </c>
      <c r="D48" s="10">
        <v>0.31875000000000003</v>
      </c>
      <c r="E48" s="16">
        <f>7*60+39</f>
        <v>459</v>
      </c>
      <c r="F48" s="13"/>
      <c r="G48" s="4" t="s">
        <v>759</v>
      </c>
      <c r="I48" s="51">
        <f>E48+I46</f>
        <v>21149</v>
      </c>
      <c r="J48" s="52">
        <f t="shared" si="1"/>
        <v>352.48333333333335</v>
      </c>
      <c r="K48" s="63"/>
      <c r="L48" s="63"/>
      <c r="M48" s="63"/>
      <c r="N48" s="63"/>
      <c r="O48" s="63"/>
      <c r="P48" s="63" t="s">
        <v>780</v>
      </c>
    </row>
    <row r="49" spans="1:16" x14ac:dyDescent="0.25">
      <c r="A49">
        <f t="shared" si="0"/>
        <v>194</v>
      </c>
      <c r="B49" s="63">
        <v>1</v>
      </c>
      <c r="C49" s="6">
        <v>42</v>
      </c>
      <c r="D49" s="9">
        <v>0.13472222222222222</v>
      </c>
      <c r="E49" s="15">
        <f>3*60+14</f>
        <v>194</v>
      </c>
      <c r="F49" s="12"/>
      <c r="G49" s="3" t="s">
        <v>760</v>
      </c>
      <c r="I49" s="51">
        <f>E49+I48</f>
        <v>21343</v>
      </c>
      <c r="J49" s="52">
        <f t="shared" si="1"/>
        <v>355.71666666666664</v>
      </c>
      <c r="K49" s="63"/>
      <c r="L49" s="63"/>
      <c r="M49" s="63"/>
      <c r="N49" s="63"/>
      <c r="O49" s="63"/>
      <c r="P49" s="63" t="s">
        <v>780</v>
      </c>
    </row>
    <row r="50" spans="1:16" x14ac:dyDescent="0.25">
      <c r="A50" s="79">
        <f t="shared" si="0"/>
        <v>606</v>
      </c>
      <c r="B50" s="91">
        <v>1</v>
      </c>
      <c r="C50" s="114">
        <v>43</v>
      </c>
      <c r="D50" s="9">
        <v>0.42083333333333334</v>
      </c>
      <c r="E50" s="15">
        <f>10*60+6</f>
        <v>606</v>
      </c>
      <c r="F50" s="12"/>
      <c r="G50" s="3" t="s">
        <v>761</v>
      </c>
      <c r="H50" s="92" t="s">
        <v>905</v>
      </c>
      <c r="I50" s="53">
        <f t="shared" ref="I50:I52" si="6">E50+I49</f>
        <v>21949</v>
      </c>
      <c r="J50" s="54">
        <f t="shared" si="1"/>
        <v>365.81666666666666</v>
      </c>
      <c r="K50" s="63"/>
      <c r="L50" s="63"/>
      <c r="M50" s="63"/>
      <c r="N50" s="63"/>
      <c r="O50" s="63"/>
    </row>
    <row r="51" spans="1:16" x14ac:dyDescent="0.25">
      <c r="A51">
        <f t="shared" si="0"/>
        <v>451</v>
      </c>
      <c r="B51" s="63">
        <v>1</v>
      </c>
      <c r="C51" s="6">
        <v>44</v>
      </c>
      <c r="D51" s="9">
        <v>0.31319444444444444</v>
      </c>
      <c r="E51" s="46">
        <f>7*60+31</f>
        <v>451</v>
      </c>
      <c r="F51" s="12"/>
      <c r="G51" s="3" t="s">
        <v>762</v>
      </c>
      <c r="I51" s="55">
        <f t="shared" si="6"/>
        <v>22400</v>
      </c>
      <c r="J51" s="56">
        <f t="shared" si="1"/>
        <v>373.33333333333331</v>
      </c>
      <c r="K51" s="63"/>
      <c r="L51" s="63"/>
      <c r="M51" s="63"/>
      <c r="N51" s="63"/>
      <c r="O51" s="63"/>
      <c r="P51" s="63" t="s">
        <v>780</v>
      </c>
    </row>
    <row r="52" spans="1:16" x14ac:dyDescent="0.25">
      <c r="A52">
        <f t="shared" si="0"/>
        <v>443</v>
      </c>
      <c r="B52" s="63">
        <v>1</v>
      </c>
      <c r="C52" s="6">
        <v>45</v>
      </c>
      <c r="D52" s="9">
        <v>0.30763888888888891</v>
      </c>
      <c r="E52" s="15">
        <f>7*60+23</f>
        <v>443</v>
      </c>
      <c r="F52" s="12"/>
      <c r="G52" s="3" t="s">
        <v>763</v>
      </c>
      <c r="I52" s="55">
        <f t="shared" si="6"/>
        <v>22843</v>
      </c>
      <c r="J52" s="56">
        <f t="shared" si="1"/>
        <v>380.71666666666664</v>
      </c>
      <c r="K52" s="63"/>
      <c r="L52" s="63"/>
      <c r="M52" s="63"/>
      <c r="N52" s="63"/>
      <c r="O52" s="63"/>
      <c r="P52" s="63" t="s">
        <v>780</v>
      </c>
    </row>
    <row r="53" spans="1:16" x14ac:dyDescent="0.25">
      <c r="A53">
        <f t="shared" si="0"/>
        <v>141</v>
      </c>
      <c r="B53" s="63">
        <v>1</v>
      </c>
      <c r="C53" s="6">
        <v>46</v>
      </c>
      <c r="D53" s="9">
        <v>9.7916666666666666E-2</v>
      </c>
      <c r="E53" s="15">
        <f>2*60+21</f>
        <v>141</v>
      </c>
      <c r="F53" s="12"/>
      <c r="G53" s="3" t="s">
        <v>764</v>
      </c>
      <c r="I53" s="55">
        <f>E53+I52</f>
        <v>22984</v>
      </c>
      <c r="J53" s="56">
        <f t="shared" si="1"/>
        <v>383.06666666666666</v>
      </c>
      <c r="K53" s="63"/>
      <c r="L53" s="63"/>
      <c r="M53" s="63"/>
      <c r="N53" s="63"/>
      <c r="O53" s="63"/>
    </row>
    <row r="54" spans="1:16" x14ac:dyDescent="0.25">
      <c r="A54">
        <f t="shared" si="0"/>
        <v>158</v>
      </c>
      <c r="B54" s="63">
        <v>1</v>
      </c>
      <c r="C54" s="6">
        <v>47</v>
      </c>
      <c r="D54" s="9">
        <v>0.10972222222222222</v>
      </c>
      <c r="E54" s="15">
        <f>2*60+38</f>
        <v>158</v>
      </c>
      <c r="F54" s="12"/>
      <c r="G54" s="3" t="s">
        <v>765</v>
      </c>
      <c r="I54" s="65">
        <f t="shared" ref="I54" si="7">E54+I53</f>
        <v>23142</v>
      </c>
      <c r="J54" s="69">
        <f t="shared" si="1"/>
        <v>385.7</v>
      </c>
      <c r="K54" s="63"/>
      <c r="L54" s="63"/>
      <c r="M54" s="63"/>
      <c r="N54" s="63"/>
      <c r="O54" s="63"/>
    </row>
    <row r="55" spans="1:16" x14ac:dyDescent="0.25">
      <c r="A55">
        <f t="shared" si="0"/>
        <v>402</v>
      </c>
      <c r="B55" s="63">
        <v>1</v>
      </c>
      <c r="C55" s="6">
        <v>48</v>
      </c>
      <c r="D55" s="9">
        <v>0.27916666666666667</v>
      </c>
      <c r="E55" s="15">
        <f>6*60+42</f>
        <v>402</v>
      </c>
      <c r="F55" s="12"/>
      <c r="G55" s="3" t="s">
        <v>766</v>
      </c>
      <c r="I55" s="65">
        <f t="shared" ref="I55:I57" si="8">E55+I54</f>
        <v>23544</v>
      </c>
      <c r="J55" s="69">
        <f t="shared" ref="J55:J61" si="9">I55/60</f>
        <v>392.4</v>
      </c>
      <c r="K55" s="63"/>
      <c r="L55" s="63"/>
      <c r="M55" s="63"/>
      <c r="N55" s="63"/>
      <c r="O55" s="63"/>
    </row>
    <row r="56" spans="1:16" x14ac:dyDescent="0.25">
      <c r="A56">
        <f t="shared" si="0"/>
        <v>267</v>
      </c>
      <c r="B56" s="63">
        <v>1</v>
      </c>
      <c r="C56" s="6">
        <v>49</v>
      </c>
      <c r="D56" s="9">
        <v>0.18541666666666667</v>
      </c>
      <c r="E56" s="15">
        <f>4*60+27</f>
        <v>267</v>
      </c>
      <c r="F56" s="12"/>
      <c r="G56" s="3" t="s">
        <v>767</v>
      </c>
      <c r="I56" s="65">
        <f t="shared" si="8"/>
        <v>23811</v>
      </c>
      <c r="J56" s="69">
        <f t="shared" si="9"/>
        <v>396.85</v>
      </c>
      <c r="K56" s="63"/>
      <c r="L56" s="63"/>
      <c r="M56" s="63"/>
      <c r="N56" s="63"/>
      <c r="O56" s="63"/>
    </row>
    <row r="57" spans="1:16" x14ac:dyDescent="0.25">
      <c r="A57">
        <f t="shared" si="0"/>
        <v>145</v>
      </c>
      <c r="B57" s="63">
        <v>1</v>
      </c>
      <c r="C57" s="6">
        <v>50</v>
      </c>
      <c r="D57" s="9">
        <v>0.10069444444444443</v>
      </c>
      <c r="E57" s="15">
        <f>2*60+25</f>
        <v>145</v>
      </c>
      <c r="F57" s="12"/>
      <c r="G57" s="3" t="s">
        <v>768</v>
      </c>
      <c r="I57" s="65">
        <f t="shared" si="8"/>
        <v>23956</v>
      </c>
      <c r="J57" s="69">
        <f t="shared" si="9"/>
        <v>399.26666666666665</v>
      </c>
      <c r="K57" s="63"/>
      <c r="L57" s="63"/>
      <c r="M57" s="63"/>
      <c r="N57" s="63"/>
      <c r="O57" s="63"/>
    </row>
    <row r="58" spans="1:16" ht="15.75" thickBot="1" x14ac:dyDescent="0.3">
      <c r="B58" s="63"/>
      <c r="C58" s="17"/>
      <c r="D58" s="18"/>
      <c r="E58" s="19">
        <f>SUM(E48:E57)/60</f>
        <v>54.43333333333333</v>
      </c>
      <c r="F58" s="20">
        <f>E58/60</f>
        <v>0.90722222222222215</v>
      </c>
      <c r="G58" s="21"/>
      <c r="I58" s="65"/>
      <c r="J58" s="69"/>
      <c r="K58" s="63"/>
      <c r="L58" s="63"/>
      <c r="M58" s="63"/>
      <c r="N58" s="63"/>
      <c r="O58" s="63"/>
    </row>
    <row r="59" spans="1:16" x14ac:dyDescent="0.25">
      <c r="A59">
        <f t="shared" si="0"/>
        <v>1173</v>
      </c>
      <c r="B59" s="63">
        <v>1</v>
      </c>
      <c r="C59" s="7">
        <v>51</v>
      </c>
      <c r="D59" s="10">
        <v>0.81458333333333333</v>
      </c>
      <c r="E59" s="16">
        <f>19*60+33</f>
        <v>1173</v>
      </c>
      <c r="F59" s="13"/>
      <c r="G59" s="4" t="s">
        <v>769</v>
      </c>
      <c r="I59" s="65">
        <f>E59+I57</f>
        <v>25129</v>
      </c>
      <c r="J59" s="69">
        <f t="shared" si="9"/>
        <v>418.81666666666666</v>
      </c>
      <c r="K59" s="63"/>
      <c r="L59" s="63"/>
      <c r="M59" s="63"/>
      <c r="N59" s="63"/>
      <c r="O59" s="63"/>
    </row>
    <row r="60" spans="1:16" x14ac:dyDescent="0.25">
      <c r="A60">
        <f t="shared" si="0"/>
        <v>553</v>
      </c>
      <c r="B60" s="63">
        <v>1</v>
      </c>
      <c r="C60" s="6">
        <v>52</v>
      </c>
      <c r="D60" s="9">
        <v>0.3840277777777778</v>
      </c>
      <c r="E60" s="15">
        <f>9*60+13</f>
        <v>553</v>
      </c>
      <c r="F60" s="12"/>
      <c r="G60" s="3" t="s">
        <v>770</v>
      </c>
      <c r="I60" s="65">
        <f>E60+I59</f>
        <v>25682</v>
      </c>
      <c r="J60" s="69">
        <f t="shared" si="9"/>
        <v>428.03333333333336</v>
      </c>
      <c r="K60" s="63"/>
      <c r="L60" s="63"/>
      <c r="M60" s="63"/>
      <c r="N60" s="63"/>
      <c r="O60" s="63"/>
    </row>
    <row r="61" spans="1:16" ht="15.75" thickBot="1" x14ac:dyDescent="0.3">
      <c r="A61">
        <f t="shared" si="0"/>
        <v>60</v>
      </c>
      <c r="B61" s="63">
        <v>1</v>
      </c>
      <c r="C61" s="7">
        <v>53</v>
      </c>
      <c r="D61" s="34">
        <v>4.1666666666666664E-2</v>
      </c>
      <c r="E61" s="15">
        <f>1*60</f>
        <v>60</v>
      </c>
      <c r="F61" s="12"/>
      <c r="G61" s="3" t="s">
        <v>771</v>
      </c>
      <c r="H61" s="92" t="s">
        <v>909</v>
      </c>
      <c r="I61" s="72">
        <f>E61+I60</f>
        <v>25742</v>
      </c>
      <c r="J61" s="73">
        <f t="shared" si="9"/>
        <v>429.03333333333336</v>
      </c>
      <c r="K61" s="63"/>
      <c r="L61" s="63"/>
      <c r="M61" s="63"/>
      <c r="N61" s="63"/>
      <c r="O61" s="63"/>
    </row>
    <row r="62" spans="1:16" ht="15.75" thickBot="1" x14ac:dyDescent="0.3">
      <c r="A62">
        <f>SUM(A4:A61)</f>
        <v>25742</v>
      </c>
      <c r="C62" s="17"/>
      <c r="D62" s="18"/>
      <c r="E62" s="19">
        <f>SUM(E59:E61)/60</f>
        <v>29.766666666666666</v>
      </c>
      <c r="F62" s="20">
        <f>E62/60</f>
        <v>0.49611111111111111</v>
      </c>
      <c r="G62" s="21"/>
      <c r="K62" s="63"/>
      <c r="L62" s="63"/>
      <c r="M62" s="63"/>
      <c r="N62" s="63"/>
      <c r="O62" s="6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56"/>
  <sheetViews>
    <sheetView topLeftCell="A73" workbookViewId="0">
      <selection activeCell="G96" sqref="G96"/>
    </sheetView>
  </sheetViews>
  <sheetFormatPr defaultRowHeight="15" x14ac:dyDescent="0.25"/>
  <cols>
    <col min="3" max="3" width="6.140625" customWidth="1"/>
    <col min="4" max="4" width="9.140625" style="29"/>
    <col min="7" max="7" width="77.5703125" style="1" customWidth="1"/>
    <col min="8" max="8" width="9.140625" style="92"/>
    <col min="9" max="12" width="4.7109375" style="63" customWidth="1"/>
    <col min="13" max="14" width="4.7109375" customWidth="1"/>
    <col min="15" max="18" width="4.7109375" style="63" customWidth="1"/>
    <col min="19" max="19" width="5.5703125" style="120" customWidth="1"/>
  </cols>
  <sheetData>
    <row r="1" spans="1:22" x14ac:dyDescent="0.25">
      <c r="A1" s="133"/>
      <c r="G1" s="116">
        <f>SUM(E4:E13)+SUM(E15:E24)+SUM(E26:E35)+SUM(E37:E46)+SUM(E48:E57)+SUM(E59:E68)+SUM(E70:E79)+SUM(E81:E90)+SUM(E92:E101)+SUM(E103:E112)+SUM(E114:E123)+SUM(E125:E134)+SUM(E136:E145)+SUM(E147:E155)</f>
        <v>91136</v>
      </c>
    </row>
    <row r="2" spans="1:22" ht="15.75" thickBot="1" x14ac:dyDescent="0.3">
      <c r="C2" s="1" t="s">
        <v>41</v>
      </c>
      <c r="F2" s="23">
        <f>F14+F25+F36+F47+F58+F69+F80+F91+F102+F113+F124+F135+F146+F156</f>
        <v>25.134166666666673</v>
      </c>
    </row>
    <row r="3" spans="1:22" ht="15.75" thickBot="1" x14ac:dyDescent="0.3">
      <c r="A3" s="1" t="s">
        <v>1618</v>
      </c>
      <c r="C3" s="1"/>
      <c r="F3" s="23"/>
      <c r="I3" s="115" t="s">
        <v>1593</v>
      </c>
      <c r="J3" s="115" t="s">
        <v>1589</v>
      </c>
      <c r="K3" s="115" t="s">
        <v>1590</v>
      </c>
      <c r="L3" s="115" t="s">
        <v>1589</v>
      </c>
      <c r="M3" s="115" t="s">
        <v>1587</v>
      </c>
      <c r="N3" s="115" t="s">
        <v>1586</v>
      </c>
      <c r="O3" s="115" t="s">
        <v>1585</v>
      </c>
      <c r="P3" s="115" t="s">
        <v>1584</v>
      </c>
      <c r="Q3" s="155" t="s">
        <v>1583</v>
      </c>
      <c r="R3" s="115" t="s">
        <v>1582</v>
      </c>
      <c r="T3" s="47" t="s">
        <v>735</v>
      </c>
      <c r="U3" s="48" t="s">
        <v>736</v>
      </c>
      <c r="V3" s="48" t="s">
        <v>1338</v>
      </c>
    </row>
    <row r="4" spans="1:22" x14ac:dyDescent="0.25">
      <c r="C4" s="5">
        <v>1</v>
      </c>
      <c r="D4" s="30" t="s">
        <v>709</v>
      </c>
      <c r="E4" s="14">
        <f>9*60+39</f>
        <v>579</v>
      </c>
      <c r="F4" s="11"/>
      <c r="G4" s="2" t="s">
        <v>711</v>
      </c>
      <c r="R4" s="63">
        <v>1</v>
      </c>
      <c r="S4" s="119">
        <f>E4/G1</f>
        <v>6.353142556179775E-3</v>
      </c>
      <c r="T4" s="140">
        <f>E4</f>
        <v>579</v>
      </c>
      <c r="U4" s="141">
        <f>T4/60</f>
        <v>9.65</v>
      </c>
      <c r="V4" s="141">
        <f>U4/60</f>
        <v>0.16083333333333333</v>
      </c>
    </row>
    <row r="5" spans="1:22" x14ac:dyDescent="0.25">
      <c r="C5" s="6">
        <v>2</v>
      </c>
      <c r="D5" s="31" t="s">
        <v>712</v>
      </c>
      <c r="E5" s="15">
        <f>15*60+16</f>
        <v>916</v>
      </c>
      <c r="F5" s="12"/>
      <c r="G5" s="3" t="s">
        <v>710</v>
      </c>
      <c r="R5" s="63">
        <v>1</v>
      </c>
      <c r="S5" s="119">
        <f t="shared" ref="S5:S13" si="0">(E5/$G$1)+S4</f>
        <v>1.6404055477528087E-2</v>
      </c>
      <c r="T5" s="95">
        <f t="shared" ref="T5:T13" si="1">E5+T4</f>
        <v>1495</v>
      </c>
      <c r="U5" s="104">
        <f t="shared" ref="U5:V29" si="2">T5/60</f>
        <v>24.916666666666668</v>
      </c>
      <c r="V5" s="141">
        <f t="shared" si="2"/>
        <v>0.4152777777777778</v>
      </c>
    </row>
    <row r="6" spans="1:22" x14ac:dyDescent="0.25">
      <c r="C6" s="6">
        <v>3</v>
      </c>
      <c r="D6" s="31" t="s">
        <v>714</v>
      </c>
      <c r="E6" s="15">
        <f>20*60+7</f>
        <v>1207</v>
      </c>
      <c r="F6" s="12"/>
      <c r="G6" s="3" t="s">
        <v>713</v>
      </c>
      <c r="R6" s="63">
        <v>1</v>
      </c>
      <c r="S6" s="119">
        <f t="shared" si="0"/>
        <v>2.9647998595505615E-2</v>
      </c>
      <c r="T6" s="95">
        <f t="shared" si="1"/>
        <v>2702</v>
      </c>
      <c r="U6" s="104">
        <f t="shared" si="2"/>
        <v>45.033333333333331</v>
      </c>
      <c r="V6" s="141">
        <f t="shared" si="2"/>
        <v>0.75055555555555553</v>
      </c>
    </row>
    <row r="7" spans="1:22" x14ac:dyDescent="0.25">
      <c r="C7" s="6">
        <v>4</v>
      </c>
      <c r="D7" s="31" t="s">
        <v>716</v>
      </c>
      <c r="E7" s="15">
        <f>10*60+33</f>
        <v>633</v>
      </c>
      <c r="F7" s="12"/>
      <c r="G7" s="3" t="s">
        <v>715</v>
      </c>
      <c r="R7" s="63">
        <v>1</v>
      </c>
      <c r="S7" s="119">
        <f t="shared" si="0"/>
        <v>3.6593662219101118E-2</v>
      </c>
      <c r="T7" s="95">
        <f t="shared" si="1"/>
        <v>3335</v>
      </c>
      <c r="U7" s="104">
        <f t="shared" si="2"/>
        <v>55.583333333333336</v>
      </c>
      <c r="V7" s="141">
        <f t="shared" si="2"/>
        <v>0.92638888888888893</v>
      </c>
    </row>
    <row r="8" spans="1:22" x14ac:dyDescent="0.25">
      <c r="C8" s="6">
        <v>5</v>
      </c>
      <c r="D8" s="31" t="s">
        <v>718</v>
      </c>
      <c r="E8" s="15">
        <f>8*60+19</f>
        <v>499</v>
      </c>
      <c r="F8" s="12"/>
      <c r="G8" s="3" t="s">
        <v>717</v>
      </c>
      <c r="R8" s="63">
        <v>1</v>
      </c>
      <c r="S8" s="119">
        <f t="shared" si="0"/>
        <v>4.206899578651685E-2</v>
      </c>
      <c r="T8" s="95">
        <f t="shared" si="1"/>
        <v>3834</v>
      </c>
      <c r="U8" s="104">
        <f t="shared" si="2"/>
        <v>63.9</v>
      </c>
      <c r="V8" s="141">
        <f t="shared" si="2"/>
        <v>1.0649999999999999</v>
      </c>
    </row>
    <row r="9" spans="1:22" x14ac:dyDescent="0.25">
      <c r="C9" s="6">
        <v>6</v>
      </c>
      <c r="D9" s="31" t="s">
        <v>720</v>
      </c>
      <c r="E9" s="15">
        <f>11*60+38</f>
        <v>698</v>
      </c>
      <c r="F9" s="12"/>
      <c r="G9" s="3" t="s">
        <v>719</v>
      </c>
      <c r="H9" s="92" t="s">
        <v>901</v>
      </c>
      <c r="R9" s="63">
        <v>1</v>
      </c>
      <c r="S9" s="119">
        <f t="shared" si="0"/>
        <v>4.9727879213483143E-2</v>
      </c>
      <c r="T9" s="95">
        <f t="shared" si="1"/>
        <v>4532</v>
      </c>
      <c r="U9" s="104">
        <f t="shared" si="2"/>
        <v>75.533333333333331</v>
      </c>
      <c r="V9" s="141">
        <f t="shared" si="2"/>
        <v>1.2588888888888889</v>
      </c>
    </row>
    <row r="10" spans="1:22" x14ac:dyDescent="0.25">
      <c r="C10" s="6">
        <v>7</v>
      </c>
      <c r="D10" s="31" t="s">
        <v>721</v>
      </c>
      <c r="E10" s="15">
        <f>15*60+11</f>
        <v>911</v>
      </c>
      <c r="F10" s="12"/>
      <c r="G10" s="3" t="s">
        <v>1373</v>
      </c>
      <c r="R10" s="63">
        <v>1</v>
      </c>
      <c r="S10" s="119">
        <f t="shared" si="0"/>
        <v>5.9723929073033706E-2</v>
      </c>
      <c r="T10" s="95">
        <f t="shared" si="1"/>
        <v>5443</v>
      </c>
      <c r="U10" s="104">
        <f t="shared" si="2"/>
        <v>90.716666666666669</v>
      </c>
      <c r="V10" s="141">
        <f t="shared" si="2"/>
        <v>1.5119444444444445</v>
      </c>
    </row>
    <row r="11" spans="1:22" x14ac:dyDescent="0.25">
      <c r="C11" s="6">
        <v>8</v>
      </c>
      <c r="D11" s="31" t="s">
        <v>722</v>
      </c>
      <c r="E11" s="15">
        <f>12*60+49</f>
        <v>769</v>
      </c>
      <c r="F11" s="12"/>
      <c r="G11" s="3" t="s">
        <v>1375</v>
      </c>
      <c r="R11" s="63">
        <v>1</v>
      </c>
      <c r="S11" s="119">
        <f t="shared" si="0"/>
        <v>6.8161867977528087E-2</v>
      </c>
      <c r="T11" s="95">
        <f t="shared" si="1"/>
        <v>6212</v>
      </c>
      <c r="U11" s="104">
        <f t="shared" si="2"/>
        <v>103.53333333333333</v>
      </c>
      <c r="V11" s="141">
        <f t="shared" si="2"/>
        <v>1.7255555555555555</v>
      </c>
    </row>
    <row r="12" spans="1:22" x14ac:dyDescent="0.25">
      <c r="C12" s="6">
        <v>9</v>
      </c>
      <c r="D12" s="31" t="s">
        <v>724</v>
      </c>
      <c r="E12" s="15">
        <f>8*60+11</f>
        <v>491</v>
      </c>
      <c r="F12" s="12"/>
      <c r="G12" s="3" t="s">
        <v>723</v>
      </c>
      <c r="R12" s="63">
        <v>1</v>
      </c>
      <c r="S12" s="119">
        <f t="shared" si="0"/>
        <v>7.3549420646067412E-2</v>
      </c>
      <c r="T12" s="95">
        <f t="shared" si="1"/>
        <v>6703</v>
      </c>
      <c r="U12" s="104">
        <f t="shared" si="2"/>
        <v>111.71666666666667</v>
      </c>
      <c r="V12" s="141">
        <f t="shared" si="2"/>
        <v>1.8619444444444444</v>
      </c>
    </row>
    <row r="13" spans="1:22" x14ac:dyDescent="0.25">
      <c r="C13" s="6">
        <v>10</v>
      </c>
      <c r="D13" s="31" t="s">
        <v>725</v>
      </c>
      <c r="E13" s="15">
        <f>21*60+53</f>
        <v>1313</v>
      </c>
      <c r="F13" s="12"/>
      <c r="G13" s="3" t="s">
        <v>1374</v>
      </c>
      <c r="H13" s="92" t="s">
        <v>902</v>
      </c>
      <c r="R13" s="63">
        <v>1</v>
      </c>
      <c r="S13" s="119">
        <f t="shared" si="0"/>
        <v>8.79564606741573E-2</v>
      </c>
      <c r="T13" s="95">
        <f t="shared" si="1"/>
        <v>8016</v>
      </c>
      <c r="U13" s="104">
        <f t="shared" si="2"/>
        <v>133.6</v>
      </c>
      <c r="V13" s="141">
        <f t="shared" si="2"/>
        <v>2.2266666666666666</v>
      </c>
    </row>
    <row r="14" spans="1:22" ht="15.75" thickBot="1" x14ac:dyDescent="0.3">
      <c r="C14" s="17"/>
      <c r="D14" s="32"/>
      <c r="E14" s="19">
        <f>SUM(E4:E13)/60</f>
        <v>133.6</v>
      </c>
      <c r="F14" s="20">
        <f>E14/60</f>
        <v>2.2266666666666666</v>
      </c>
      <c r="G14" s="21"/>
      <c r="S14" s="119"/>
      <c r="T14" s="95"/>
      <c r="U14" s="104"/>
      <c r="V14" s="141"/>
    </row>
    <row r="15" spans="1:22" x14ac:dyDescent="0.25">
      <c r="C15" s="7">
        <v>11</v>
      </c>
      <c r="D15" s="33" t="s">
        <v>1358</v>
      </c>
      <c r="E15" s="16">
        <f>17*60+43</f>
        <v>1063</v>
      </c>
      <c r="F15" s="13"/>
      <c r="G15" s="4" t="s">
        <v>1376</v>
      </c>
      <c r="Q15" s="63">
        <v>1</v>
      </c>
      <c r="S15" s="119">
        <f>(E15/$G$1)+S13</f>
        <v>9.962034761235955E-2</v>
      </c>
      <c r="T15" s="95">
        <f>E15+T13</f>
        <v>9079</v>
      </c>
      <c r="U15" s="104">
        <f t="shared" si="2"/>
        <v>151.31666666666666</v>
      </c>
      <c r="V15" s="141">
        <f t="shared" si="2"/>
        <v>2.5219444444444443</v>
      </c>
    </row>
    <row r="16" spans="1:22" x14ac:dyDescent="0.25">
      <c r="C16" s="6">
        <v>12</v>
      </c>
      <c r="D16" s="31" t="s">
        <v>169</v>
      </c>
      <c r="E16" s="15">
        <f>17*60+42</f>
        <v>1062</v>
      </c>
      <c r="F16" s="12"/>
      <c r="G16" s="3" t="s">
        <v>1377</v>
      </c>
      <c r="Q16" s="63">
        <v>1</v>
      </c>
      <c r="S16" s="119">
        <f t="shared" ref="S16:S24" si="3">(E16/$G$1)+S15</f>
        <v>0.11127326193820225</v>
      </c>
      <c r="T16" s="95">
        <f t="shared" ref="T16:T24" si="4">E16+T15</f>
        <v>10141</v>
      </c>
      <c r="U16" s="104">
        <f t="shared" si="2"/>
        <v>169.01666666666668</v>
      </c>
      <c r="V16" s="141">
        <f t="shared" si="2"/>
        <v>2.8169444444444447</v>
      </c>
    </row>
    <row r="17" spans="3:22" x14ac:dyDescent="0.25">
      <c r="C17" s="6">
        <v>13</v>
      </c>
      <c r="D17" s="31" t="s">
        <v>186</v>
      </c>
      <c r="E17" s="15">
        <f>12*60+1</f>
        <v>721</v>
      </c>
      <c r="F17" s="12"/>
      <c r="G17" s="3" t="s">
        <v>1378</v>
      </c>
      <c r="Q17" s="63">
        <v>1</v>
      </c>
      <c r="S17" s="119">
        <f t="shared" si="3"/>
        <v>0.1191845154494382</v>
      </c>
      <c r="T17" s="95">
        <f t="shared" si="4"/>
        <v>10862</v>
      </c>
      <c r="U17" s="104">
        <f t="shared" si="2"/>
        <v>181.03333333333333</v>
      </c>
      <c r="V17" s="141">
        <f t="shared" si="2"/>
        <v>3.0172222222222222</v>
      </c>
    </row>
    <row r="18" spans="3:22" x14ac:dyDescent="0.25">
      <c r="C18" s="6">
        <v>14</v>
      </c>
      <c r="D18" s="31" t="s">
        <v>986</v>
      </c>
      <c r="E18" s="15">
        <f>11*60+18</f>
        <v>678</v>
      </c>
      <c r="F18" s="12"/>
      <c r="G18" s="3" t="s">
        <v>1379</v>
      </c>
      <c r="Q18" s="63">
        <v>1</v>
      </c>
      <c r="S18" s="119">
        <f t="shared" si="3"/>
        <v>0.12662394662921347</v>
      </c>
      <c r="T18" s="95">
        <f t="shared" si="4"/>
        <v>11540</v>
      </c>
      <c r="U18" s="104">
        <f t="shared" si="2"/>
        <v>192.33333333333334</v>
      </c>
      <c r="V18" s="141">
        <f t="shared" si="2"/>
        <v>3.2055555555555557</v>
      </c>
    </row>
    <row r="19" spans="3:22" x14ac:dyDescent="0.25">
      <c r="C19" s="6">
        <v>15</v>
      </c>
      <c r="D19" s="31" t="s">
        <v>284</v>
      </c>
      <c r="E19" s="15">
        <f>11*60+41</f>
        <v>701</v>
      </c>
      <c r="F19" s="12"/>
      <c r="G19" s="3" t="s">
        <v>1380</v>
      </c>
      <c r="Q19" s="63">
        <v>1</v>
      </c>
      <c r="S19" s="119">
        <f t="shared" si="3"/>
        <v>0.13431574789325842</v>
      </c>
      <c r="T19" s="95">
        <f t="shared" si="4"/>
        <v>12241</v>
      </c>
      <c r="U19" s="104">
        <f t="shared" si="2"/>
        <v>204.01666666666668</v>
      </c>
      <c r="V19" s="141">
        <f t="shared" si="2"/>
        <v>3.4002777777777782</v>
      </c>
    </row>
    <row r="20" spans="3:22" x14ac:dyDescent="0.25">
      <c r="C20" s="6">
        <v>16</v>
      </c>
      <c r="D20" s="31" t="s">
        <v>1359</v>
      </c>
      <c r="E20" s="15">
        <f>4*60+27</f>
        <v>267</v>
      </c>
      <c r="F20" s="12"/>
      <c r="G20" s="3" t="s">
        <v>1381</v>
      </c>
      <c r="H20" s="92" t="s">
        <v>904</v>
      </c>
      <c r="Q20" s="63">
        <v>1</v>
      </c>
      <c r="S20" s="119">
        <f t="shared" si="3"/>
        <v>0.13724543539325842</v>
      </c>
      <c r="T20" s="95">
        <f t="shared" si="4"/>
        <v>12508</v>
      </c>
      <c r="U20" s="104">
        <f t="shared" si="2"/>
        <v>208.46666666666667</v>
      </c>
      <c r="V20" s="141">
        <f t="shared" si="2"/>
        <v>3.4744444444444444</v>
      </c>
    </row>
    <row r="21" spans="3:22" x14ac:dyDescent="0.25">
      <c r="C21" s="6">
        <v>17</v>
      </c>
      <c r="D21" s="31" t="s">
        <v>1360</v>
      </c>
      <c r="E21" s="15">
        <f>12*60+40</f>
        <v>760</v>
      </c>
      <c r="F21" s="12"/>
      <c r="G21" s="3" t="s">
        <v>1382</v>
      </c>
      <c r="Q21" s="63">
        <v>1</v>
      </c>
      <c r="S21" s="119">
        <f t="shared" si="3"/>
        <v>0.14558462078651685</v>
      </c>
      <c r="T21" s="95">
        <f t="shared" si="4"/>
        <v>13268</v>
      </c>
      <c r="U21" s="104">
        <f t="shared" si="2"/>
        <v>221.13333333333333</v>
      </c>
      <c r="V21" s="141">
        <f t="shared" si="2"/>
        <v>3.6855555555555553</v>
      </c>
    </row>
    <row r="22" spans="3:22" x14ac:dyDescent="0.25">
      <c r="C22" s="6">
        <v>18</v>
      </c>
      <c r="D22" s="31" t="s">
        <v>1361</v>
      </c>
      <c r="E22" s="15">
        <f>20*60+10</f>
        <v>1210</v>
      </c>
      <c r="F22" s="12"/>
      <c r="G22" s="3" t="s">
        <v>1383</v>
      </c>
      <c r="Q22" s="63">
        <v>1</v>
      </c>
      <c r="S22" s="119">
        <f t="shared" si="3"/>
        <v>0.15886148174157302</v>
      </c>
      <c r="T22" s="95">
        <f t="shared" si="4"/>
        <v>14478</v>
      </c>
      <c r="U22" s="104">
        <f t="shared" si="2"/>
        <v>241.3</v>
      </c>
      <c r="V22" s="141">
        <f t="shared" si="2"/>
        <v>4.0216666666666665</v>
      </c>
    </row>
    <row r="23" spans="3:22" x14ac:dyDescent="0.25">
      <c r="C23" s="6">
        <v>19</v>
      </c>
      <c r="D23" s="31" t="s">
        <v>1363</v>
      </c>
      <c r="E23" s="15">
        <f>18*60+19</f>
        <v>1099</v>
      </c>
      <c r="F23" s="12"/>
      <c r="G23" s="3" t="s">
        <v>1362</v>
      </c>
      <c r="H23" s="92" t="s">
        <v>903</v>
      </c>
      <c r="Q23" s="63">
        <v>1</v>
      </c>
      <c r="S23" s="119">
        <f t="shared" si="3"/>
        <v>0.1709203827247191</v>
      </c>
      <c r="T23" s="95">
        <f t="shared" si="4"/>
        <v>15577</v>
      </c>
      <c r="U23" s="104">
        <f t="shared" si="2"/>
        <v>259.61666666666667</v>
      </c>
      <c r="V23" s="141">
        <f t="shared" si="2"/>
        <v>4.3269444444444449</v>
      </c>
    </row>
    <row r="24" spans="3:22" x14ac:dyDescent="0.25">
      <c r="C24" s="6">
        <v>20</v>
      </c>
      <c r="D24" s="31" t="s">
        <v>1365</v>
      </c>
      <c r="E24" s="15">
        <f>16*60+44</f>
        <v>1004</v>
      </c>
      <c r="F24" s="12"/>
      <c r="G24" s="3" t="s">
        <v>1364</v>
      </c>
      <c r="Q24" s="63">
        <v>1</v>
      </c>
      <c r="S24" s="119">
        <f t="shared" si="3"/>
        <v>0.18193688553370788</v>
      </c>
      <c r="T24" s="95">
        <f t="shared" si="4"/>
        <v>16581</v>
      </c>
      <c r="U24" s="104">
        <f t="shared" si="2"/>
        <v>276.35000000000002</v>
      </c>
      <c r="V24" s="141">
        <f t="shared" si="2"/>
        <v>4.6058333333333339</v>
      </c>
    </row>
    <row r="25" spans="3:22" ht="15.75" thickBot="1" x14ac:dyDescent="0.3">
      <c r="C25" s="17"/>
      <c r="D25" s="32"/>
      <c r="E25" s="19">
        <f>SUM(E15:E24)/60</f>
        <v>142.75</v>
      </c>
      <c r="F25" s="20">
        <f>E25/60</f>
        <v>2.3791666666666669</v>
      </c>
      <c r="G25" s="21"/>
      <c r="S25" s="119"/>
      <c r="T25" s="95"/>
      <c r="U25" s="104"/>
      <c r="V25" s="141"/>
    </row>
    <row r="26" spans="3:22" x14ac:dyDescent="0.25">
      <c r="C26" s="5">
        <v>21</v>
      </c>
      <c r="D26" s="30" t="s">
        <v>1288</v>
      </c>
      <c r="E26" s="14">
        <f>11*60+9</f>
        <v>669</v>
      </c>
      <c r="F26" s="11"/>
      <c r="G26" s="2" t="s">
        <v>1366</v>
      </c>
      <c r="Q26" s="63">
        <v>1</v>
      </c>
      <c r="S26" s="119">
        <f>(E26/$G$1)+S24</f>
        <v>0.1892775632022472</v>
      </c>
      <c r="T26" s="95">
        <f>E26+T24</f>
        <v>17250</v>
      </c>
      <c r="U26" s="104">
        <f t="shared" si="2"/>
        <v>287.5</v>
      </c>
      <c r="V26" s="141">
        <f t="shared" si="2"/>
        <v>4.791666666666667</v>
      </c>
    </row>
    <row r="27" spans="3:22" x14ac:dyDescent="0.25">
      <c r="C27" s="6">
        <v>22</v>
      </c>
      <c r="D27" s="31" t="s">
        <v>1125</v>
      </c>
      <c r="E27" s="15">
        <f>16*60+13</f>
        <v>973</v>
      </c>
      <c r="F27" s="12"/>
      <c r="G27" s="3" t="s">
        <v>1384</v>
      </c>
      <c r="Q27" s="63">
        <v>1</v>
      </c>
      <c r="S27" s="119">
        <f t="shared" ref="S27:S35" si="5">(E27/$G$1)+S26</f>
        <v>0.1999539150280899</v>
      </c>
      <c r="T27" s="95">
        <f t="shared" ref="T27:T35" si="6">E27+T26</f>
        <v>18223</v>
      </c>
      <c r="U27" s="104">
        <f t="shared" si="2"/>
        <v>303.71666666666664</v>
      </c>
      <c r="V27" s="141">
        <f t="shared" si="2"/>
        <v>5.0619444444444444</v>
      </c>
    </row>
    <row r="28" spans="3:22" x14ac:dyDescent="0.25">
      <c r="C28" s="6">
        <v>23</v>
      </c>
      <c r="D28" s="31" t="s">
        <v>1127</v>
      </c>
      <c r="E28" s="15">
        <f>14*60+56</f>
        <v>896</v>
      </c>
      <c r="F28" s="12"/>
      <c r="G28" s="3" t="s">
        <v>1385</v>
      </c>
      <c r="H28" s="92" t="s">
        <v>906</v>
      </c>
      <c r="Q28" s="63">
        <v>1</v>
      </c>
      <c r="S28" s="119">
        <f t="shared" si="5"/>
        <v>0.2097853757022472</v>
      </c>
      <c r="T28" s="95">
        <f t="shared" si="6"/>
        <v>19119</v>
      </c>
      <c r="U28" s="104">
        <f t="shared" si="2"/>
        <v>318.64999999999998</v>
      </c>
      <c r="V28" s="141">
        <f t="shared" si="2"/>
        <v>5.3108333333333331</v>
      </c>
    </row>
    <row r="29" spans="3:22" x14ac:dyDescent="0.25">
      <c r="C29" s="6">
        <v>24</v>
      </c>
      <c r="D29" s="31" t="s">
        <v>1367</v>
      </c>
      <c r="E29" s="15">
        <f>11*60+51</f>
        <v>711</v>
      </c>
      <c r="F29" s="12"/>
      <c r="G29" s="3" t="s">
        <v>1386</v>
      </c>
      <c r="P29" s="63">
        <v>1</v>
      </c>
      <c r="S29" s="119">
        <f t="shared" si="5"/>
        <v>0.21758690308988765</v>
      </c>
      <c r="T29" s="95">
        <f t="shared" si="6"/>
        <v>19830</v>
      </c>
      <c r="U29" s="104">
        <f t="shared" si="2"/>
        <v>330.5</v>
      </c>
      <c r="V29" s="141">
        <f t="shared" si="2"/>
        <v>5.5083333333333337</v>
      </c>
    </row>
    <row r="30" spans="3:22" x14ac:dyDescent="0.25">
      <c r="C30" s="6">
        <v>25</v>
      </c>
      <c r="D30" s="31" t="s">
        <v>1368</v>
      </c>
      <c r="E30" s="15">
        <f>15*60+25</f>
        <v>925</v>
      </c>
      <c r="F30" s="12"/>
      <c r="G30" s="3" t="s">
        <v>1387</v>
      </c>
      <c r="P30" s="63">
        <v>1</v>
      </c>
      <c r="S30" s="119">
        <f t="shared" si="5"/>
        <v>0.22773656952247193</v>
      </c>
      <c r="T30" s="65">
        <f t="shared" si="6"/>
        <v>20755</v>
      </c>
      <c r="U30" s="69">
        <f t="shared" ref="U30:V45" si="7">T30/60</f>
        <v>345.91666666666669</v>
      </c>
      <c r="V30" s="141">
        <f t="shared" si="7"/>
        <v>5.7652777777777784</v>
      </c>
    </row>
    <row r="31" spans="3:22" x14ac:dyDescent="0.25">
      <c r="C31" s="6">
        <v>26</v>
      </c>
      <c r="D31" s="31" t="s">
        <v>1369</v>
      </c>
      <c r="E31" s="15">
        <f>12*60+50</f>
        <v>770</v>
      </c>
      <c r="F31" s="12"/>
      <c r="G31" s="3" t="s">
        <v>1388</v>
      </c>
      <c r="P31" s="63">
        <v>1</v>
      </c>
      <c r="S31" s="119">
        <f t="shared" si="5"/>
        <v>0.23618548103932585</v>
      </c>
      <c r="T31" s="65">
        <f t="shared" si="6"/>
        <v>21525</v>
      </c>
      <c r="U31" s="69">
        <f t="shared" si="7"/>
        <v>358.75</v>
      </c>
      <c r="V31" s="141">
        <f t="shared" si="7"/>
        <v>5.979166666666667</v>
      </c>
    </row>
    <row r="32" spans="3:22" x14ac:dyDescent="0.25">
      <c r="C32" s="6">
        <v>27</v>
      </c>
      <c r="D32" s="31" t="s">
        <v>1370</v>
      </c>
      <c r="E32" s="15">
        <f>21*60+28</f>
        <v>1288</v>
      </c>
      <c r="F32" s="12"/>
      <c r="G32" s="3" t="s">
        <v>1389</v>
      </c>
      <c r="H32" s="92" t="s">
        <v>905</v>
      </c>
      <c r="P32" s="63">
        <v>1</v>
      </c>
      <c r="S32" s="119">
        <f t="shared" si="5"/>
        <v>0.25031820575842695</v>
      </c>
      <c r="T32" s="65">
        <f t="shared" si="6"/>
        <v>22813</v>
      </c>
      <c r="U32" s="69">
        <f t="shared" si="7"/>
        <v>380.21666666666664</v>
      </c>
      <c r="V32" s="141">
        <f t="shared" si="7"/>
        <v>6.3369444444444438</v>
      </c>
    </row>
    <row r="33" spans="1:22" x14ac:dyDescent="0.25">
      <c r="C33" s="6">
        <v>28</v>
      </c>
      <c r="D33" s="31" t="s">
        <v>1175</v>
      </c>
      <c r="E33" s="15">
        <f>17*60+25</f>
        <v>1045</v>
      </c>
      <c r="F33" s="12"/>
      <c r="G33" s="3" t="s">
        <v>1390</v>
      </c>
      <c r="P33" s="63">
        <v>1</v>
      </c>
      <c r="S33" s="119">
        <f t="shared" si="5"/>
        <v>0.2617845856741573</v>
      </c>
      <c r="T33" s="65">
        <f t="shared" si="6"/>
        <v>23858</v>
      </c>
      <c r="U33" s="69">
        <f t="shared" si="7"/>
        <v>397.63333333333333</v>
      </c>
      <c r="V33" s="141">
        <f t="shared" si="7"/>
        <v>6.6272222222222217</v>
      </c>
    </row>
    <row r="34" spans="1:22" x14ac:dyDescent="0.25">
      <c r="C34" s="6">
        <v>29</v>
      </c>
      <c r="D34" s="31" t="s">
        <v>1371</v>
      </c>
      <c r="E34" s="15">
        <f>15*60+50</f>
        <v>950</v>
      </c>
      <c r="F34" s="12"/>
      <c r="G34" s="3" t="s">
        <v>1391</v>
      </c>
      <c r="P34" s="63">
        <v>1</v>
      </c>
      <c r="S34" s="119">
        <f t="shared" si="5"/>
        <v>0.27220856741573035</v>
      </c>
      <c r="T34" s="65">
        <f t="shared" si="6"/>
        <v>24808</v>
      </c>
      <c r="U34" s="69">
        <f t="shared" si="7"/>
        <v>413.46666666666664</v>
      </c>
      <c r="V34" s="141">
        <f t="shared" si="7"/>
        <v>6.891111111111111</v>
      </c>
    </row>
    <row r="35" spans="1:22" x14ac:dyDescent="0.25">
      <c r="C35" s="6">
        <v>30</v>
      </c>
      <c r="D35" s="31" t="s">
        <v>1372</v>
      </c>
      <c r="E35" s="15">
        <f>19*60+6</f>
        <v>1146</v>
      </c>
      <c r="F35" s="12"/>
      <c r="G35" s="3" t="s">
        <v>1392</v>
      </c>
      <c r="P35" s="63">
        <v>1</v>
      </c>
      <c r="S35" s="119">
        <f t="shared" si="5"/>
        <v>0.2847831811797753</v>
      </c>
      <c r="T35" s="65">
        <f t="shared" si="6"/>
        <v>25954</v>
      </c>
      <c r="U35" s="69">
        <f t="shared" si="7"/>
        <v>432.56666666666666</v>
      </c>
      <c r="V35" s="141">
        <f t="shared" si="7"/>
        <v>7.2094444444444443</v>
      </c>
    </row>
    <row r="36" spans="1:22" ht="15.75" thickBot="1" x14ac:dyDescent="0.3">
      <c r="C36" s="17"/>
      <c r="D36" s="32"/>
      <c r="E36" s="19">
        <f>SUM(E26:E35)/60</f>
        <v>156.21666666666667</v>
      </c>
      <c r="F36" s="20">
        <f>E36/60</f>
        <v>2.6036111111111113</v>
      </c>
      <c r="G36" s="21"/>
      <c r="S36" s="119"/>
      <c r="T36" s="65"/>
      <c r="U36" s="69"/>
      <c r="V36" s="141"/>
    </row>
    <row r="37" spans="1:22" x14ac:dyDescent="0.25">
      <c r="C37" s="7">
        <v>31</v>
      </c>
      <c r="D37" s="33" t="s">
        <v>1047</v>
      </c>
      <c r="E37" s="16">
        <f>11*60+24</f>
        <v>684</v>
      </c>
      <c r="F37" s="13"/>
      <c r="G37" s="4" t="s">
        <v>1393</v>
      </c>
      <c r="H37" s="92" t="s">
        <v>909</v>
      </c>
      <c r="P37" s="63">
        <v>1</v>
      </c>
      <c r="S37" s="119">
        <f>(E37/$G$1)+S35</f>
        <v>0.2922884480337079</v>
      </c>
      <c r="T37" s="142">
        <f>E37+T35</f>
        <v>26638</v>
      </c>
      <c r="U37" s="69">
        <f t="shared" si="7"/>
        <v>443.96666666666664</v>
      </c>
      <c r="V37" s="141">
        <f t="shared" si="7"/>
        <v>7.3994444444444438</v>
      </c>
    </row>
    <row r="38" spans="1:22" x14ac:dyDescent="0.25">
      <c r="C38" s="6">
        <v>32</v>
      </c>
      <c r="D38" s="31" t="s">
        <v>1064</v>
      </c>
      <c r="E38" s="15">
        <f>14*60+6</f>
        <v>846</v>
      </c>
      <c r="F38" s="12"/>
      <c r="G38" s="3" t="s">
        <v>1394</v>
      </c>
      <c r="P38" s="63">
        <v>1</v>
      </c>
      <c r="S38" s="119">
        <f t="shared" ref="S38:S46" si="8">(E38/$G$1)+S37</f>
        <v>0.30157127808988771</v>
      </c>
      <c r="T38" s="142">
        <f t="shared" ref="T38:T46" si="9">E38+T37</f>
        <v>27484</v>
      </c>
      <c r="U38" s="69">
        <f t="shared" si="7"/>
        <v>458.06666666666666</v>
      </c>
      <c r="V38" s="141">
        <f t="shared" si="7"/>
        <v>7.6344444444444441</v>
      </c>
    </row>
    <row r="39" spans="1:22" x14ac:dyDescent="0.25">
      <c r="C39" s="6">
        <v>33</v>
      </c>
      <c r="D39" s="31" t="s">
        <v>1399</v>
      </c>
      <c r="E39" s="15">
        <f>16*60+33</f>
        <v>993</v>
      </c>
      <c r="F39" s="12"/>
      <c r="G39" s="3" t="s">
        <v>1395</v>
      </c>
      <c r="P39" s="63">
        <v>1</v>
      </c>
      <c r="S39" s="119">
        <f t="shared" si="8"/>
        <v>0.31246708216292141</v>
      </c>
      <c r="T39" s="142">
        <f t="shared" si="9"/>
        <v>28477</v>
      </c>
      <c r="U39" s="69">
        <f t="shared" si="7"/>
        <v>474.61666666666667</v>
      </c>
      <c r="V39" s="141">
        <f t="shared" si="7"/>
        <v>7.910277777777778</v>
      </c>
    </row>
    <row r="40" spans="1:22" x14ac:dyDescent="0.25">
      <c r="C40" s="6">
        <v>34</v>
      </c>
      <c r="D40" s="31" t="s">
        <v>712</v>
      </c>
      <c r="E40" s="15">
        <f>60*15+16</f>
        <v>916</v>
      </c>
      <c r="F40" s="12"/>
      <c r="G40" s="3" t="s">
        <v>1398</v>
      </c>
      <c r="P40" s="63">
        <v>1</v>
      </c>
      <c r="S40" s="119">
        <f t="shared" si="8"/>
        <v>0.3225179950842697</v>
      </c>
      <c r="T40" s="142">
        <f t="shared" si="9"/>
        <v>29393</v>
      </c>
      <c r="U40" s="69">
        <f t="shared" si="7"/>
        <v>489.88333333333333</v>
      </c>
      <c r="V40" s="141">
        <f t="shared" si="7"/>
        <v>8.1647222222222222</v>
      </c>
    </row>
    <row r="41" spans="1:22" x14ac:dyDescent="0.25">
      <c r="A41">
        <v>1</v>
      </c>
      <c r="C41" s="6">
        <v>35</v>
      </c>
      <c r="D41" s="31" t="s">
        <v>1397</v>
      </c>
      <c r="E41" s="15">
        <f>11*60+13</f>
        <v>673</v>
      </c>
      <c r="F41" s="12"/>
      <c r="G41" s="3" t="s">
        <v>1396</v>
      </c>
      <c r="H41" s="92" t="s">
        <v>910</v>
      </c>
      <c r="P41" s="63">
        <v>1</v>
      </c>
      <c r="S41" s="119">
        <f t="shared" si="8"/>
        <v>0.32990256320224726</v>
      </c>
      <c r="T41" s="142">
        <f t="shared" si="9"/>
        <v>30066</v>
      </c>
      <c r="U41" s="69">
        <f t="shared" si="7"/>
        <v>501.1</v>
      </c>
      <c r="V41" s="141">
        <f t="shared" si="7"/>
        <v>8.3516666666666666</v>
      </c>
    </row>
    <row r="42" spans="1:22" x14ac:dyDescent="0.25">
      <c r="A42">
        <v>1</v>
      </c>
      <c r="C42" s="6">
        <v>36</v>
      </c>
      <c r="D42" s="31" t="s">
        <v>1401</v>
      </c>
      <c r="E42" s="15">
        <f>16*60+48</f>
        <v>1008</v>
      </c>
      <c r="F42" s="12"/>
      <c r="G42" s="3" t="s">
        <v>1400</v>
      </c>
      <c r="P42" s="63">
        <v>1</v>
      </c>
      <c r="S42" s="119">
        <f t="shared" si="8"/>
        <v>0.3409629564606742</v>
      </c>
      <c r="T42" s="142">
        <f t="shared" si="9"/>
        <v>31074</v>
      </c>
      <c r="U42" s="69">
        <f t="shared" si="7"/>
        <v>517.9</v>
      </c>
      <c r="V42" s="141">
        <f t="shared" si="7"/>
        <v>8.6316666666666659</v>
      </c>
    </row>
    <row r="43" spans="1:22" x14ac:dyDescent="0.25">
      <c r="A43">
        <v>1</v>
      </c>
      <c r="C43" s="6">
        <v>37</v>
      </c>
      <c r="D43" s="31" t="s">
        <v>1403</v>
      </c>
      <c r="E43" s="15">
        <f>11*60+1</f>
        <v>661</v>
      </c>
      <c r="F43" s="12"/>
      <c r="G43" s="3" t="s">
        <v>1402</v>
      </c>
      <c r="P43" s="63">
        <v>1</v>
      </c>
      <c r="S43" s="119">
        <f t="shared" si="8"/>
        <v>0.3482158532303371</v>
      </c>
      <c r="T43" s="142">
        <f t="shared" si="9"/>
        <v>31735</v>
      </c>
      <c r="U43" s="69">
        <f t="shared" si="7"/>
        <v>528.91666666666663</v>
      </c>
      <c r="V43" s="141">
        <f t="shared" si="7"/>
        <v>8.8152777777777764</v>
      </c>
    </row>
    <row r="44" spans="1:22" x14ac:dyDescent="0.25">
      <c r="A44">
        <v>1</v>
      </c>
      <c r="C44" s="6">
        <v>38</v>
      </c>
      <c r="D44" s="31" t="s">
        <v>1405</v>
      </c>
      <c r="E44" s="15">
        <f>12*60+19</f>
        <v>739</v>
      </c>
      <c r="F44" s="12"/>
      <c r="G44" s="3" t="s">
        <v>1404</v>
      </c>
      <c r="P44" s="63">
        <v>1</v>
      </c>
      <c r="S44" s="119">
        <f t="shared" si="8"/>
        <v>0.35632461376404495</v>
      </c>
      <c r="T44" s="142">
        <f t="shared" si="9"/>
        <v>32474</v>
      </c>
      <c r="U44" s="69">
        <f t="shared" si="7"/>
        <v>541.23333333333335</v>
      </c>
      <c r="V44" s="141">
        <f t="shared" si="7"/>
        <v>9.0205555555555552</v>
      </c>
    </row>
    <row r="45" spans="1:22" x14ac:dyDescent="0.25">
      <c r="C45" s="6">
        <v>39</v>
      </c>
      <c r="D45" s="31" t="s">
        <v>1407</v>
      </c>
      <c r="E45" s="15">
        <f>14*60+50</f>
        <v>890</v>
      </c>
      <c r="F45" s="12"/>
      <c r="G45" s="3" t="s">
        <v>1406</v>
      </c>
      <c r="P45" s="63">
        <v>1</v>
      </c>
      <c r="S45" s="119">
        <f t="shared" si="8"/>
        <v>0.36609023876404495</v>
      </c>
      <c r="T45" s="142">
        <f t="shared" si="9"/>
        <v>33364</v>
      </c>
      <c r="U45" s="69">
        <f t="shared" si="7"/>
        <v>556.06666666666672</v>
      </c>
      <c r="V45" s="141">
        <f t="shared" si="7"/>
        <v>9.2677777777777788</v>
      </c>
    </row>
    <row r="46" spans="1:22" x14ac:dyDescent="0.25">
      <c r="C46" s="6">
        <v>40</v>
      </c>
      <c r="D46" s="31" t="s">
        <v>1409</v>
      </c>
      <c r="E46" s="15">
        <f>11*60+37</f>
        <v>697</v>
      </c>
      <c r="F46" s="12"/>
      <c r="G46" s="3" t="s">
        <v>1408</v>
      </c>
      <c r="H46" s="92" t="s">
        <v>1339</v>
      </c>
      <c r="P46" s="63">
        <v>1</v>
      </c>
      <c r="S46" s="119">
        <f t="shared" si="8"/>
        <v>0.3737381495786517</v>
      </c>
      <c r="T46" s="143">
        <f t="shared" si="9"/>
        <v>34061</v>
      </c>
      <c r="U46" s="75">
        <f t="shared" ref="U46:V61" si="10">T46/60</f>
        <v>567.68333333333328</v>
      </c>
      <c r="V46" s="141">
        <f t="shared" si="10"/>
        <v>9.4613888888888873</v>
      </c>
    </row>
    <row r="47" spans="1:22" ht="15.75" thickBot="1" x14ac:dyDescent="0.3">
      <c r="C47" s="17"/>
      <c r="D47" s="32"/>
      <c r="E47" s="19">
        <f>SUM(E37:E46)/60</f>
        <v>135.11666666666667</v>
      </c>
      <c r="F47" s="20">
        <f>E47/60</f>
        <v>2.2519444444444447</v>
      </c>
      <c r="G47" s="21"/>
      <c r="S47" s="119"/>
      <c r="T47" s="143"/>
      <c r="U47" s="75"/>
      <c r="V47" s="141"/>
    </row>
    <row r="48" spans="1:22" x14ac:dyDescent="0.25">
      <c r="C48" s="7">
        <v>41</v>
      </c>
      <c r="D48" s="33" t="s">
        <v>217</v>
      </c>
      <c r="E48" s="16">
        <f>13*60+39</f>
        <v>819</v>
      </c>
      <c r="F48" s="13"/>
      <c r="G48" s="4" t="s">
        <v>1410</v>
      </c>
      <c r="P48" s="63">
        <v>1</v>
      </c>
      <c r="S48" s="119">
        <f>(E48/$G$1)+S46</f>
        <v>0.3827247191011236</v>
      </c>
      <c r="T48" s="136">
        <f>E48+T46</f>
        <v>34880</v>
      </c>
      <c r="U48" s="75">
        <f t="shared" si="10"/>
        <v>581.33333333333337</v>
      </c>
      <c r="V48" s="141">
        <f t="shared" si="10"/>
        <v>9.68888888888889</v>
      </c>
    </row>
    <row r="49" spans="1:22" x14ac:dyDescent="0.25">
      <c r="C49" s="6">
        <v>42</v>
      </c>
      <c r="D49" s="31" t="s">
        <v>1412</v>
      </c>
      <c r="E49" s="15">
        <f>10*60+1</f>
        <v>601</v>
      </c>
      <c r="F49" s="12"/>
      <c r="G49" s="3" t="s">
        <v>1411</v>
      </c>
      <c r="P49" s="63">
        <v>1</v>
      </c>
      <c r="S49" s="119">
        <f t="shared" ref="S49:S57" si="11">(E49/$G$1)+S48</f>
        <v>0.3893192591292135</v>
      </c>
      <c r="T49" s="136">
        <f t="shared" ref="T49:T57" si="12">E49+T48</f>
        <v>35481</v>
      </c>
      <c r="U49" s="75">
        <f t="shared" si="10"/>
        <v>591.35</v>
      </c>
      <c r="V49" s="141">
        <f t="shared" si="10"/>
        <v>9.855833333333333</v>
      </c>
    </row>
    <row r="50" spans="1:22" x14ac:dyDescent="0.25">
      <c r="C50" s="6">
        <v>43</v>
      </c>
      <c r="D50" s="31" t="s">
        <v>1084</v>
      </c>
      <c r="E50" s="15">
        <f>17*60+44</f>
        <v>1064</v>
      </c>
      <c r="F50" s="12"/>
      <c r="G50" s="3" t="s">
        <v>1413</v>
      </c>
      <c r="P50" s="63">
        <v>1</v>
      </c>
      <c r="S50" s="119">
        <f t="shared" si="11"/>
        <v>0.4009941186797753</v>
      </c>
      <c r="T50" s="136">
        <f t="shared" si="12"/>
        <v>36545</v>
      </c>
      <c r="U50" s="75">
        <f t="shared" si="10"/>
        <v>609.08333333333337</v>
      </c>
      <c r="V50" s="141">
        <f t="shared" si="10"/>
        <v>10.15138888888889</v>
      </c>
    </row>
    <row r="51" spans="1:22" x14ac:dyDescent="0.25">
      <c r="C51" s="6">
        <v>44</v>
      </c>
      <c r="D51" s="31" t="s">
        <v>1415</v>
      </c>
      <c r="E51" s="15">
        <f>17*60+18</f>
        <v>1038</v>
      </c>
      <c r="F51" s="12"/>
      <c r="G51" s="3" t="s">
        <v>1414</v>
      </c>
      <c r="H51" s="92" t="s">
        <v>1342</v>
      </c>
      <c r="P51" s="63">
        <v>1</v>
      </c>
      <c r="S51" s="119">
        <f t="shared" si="11"/>
        <v>0.4123836903089888</v>
      </c>
      <c r="T51" s="136">
        <f t="shared" si="12"/>
        <v>37583</v>
      </c>
      <c r="U51" s="75">
        <f t="shared" si="10"/>
        <v>626.38333333333333</v>
      </c>
      <c r="V51" s="141">
        <f t="shared" si="10"/>
        <v>10.439722222222223</v>
      </c>
    </row>
    <row r="52" spans="1:22" x14ac:dyDescent="0.25">
      <c r="C52" s="6">
        <v>45</v>
      </c>
      <c r="D52" s="31" t="s">
        <v>1417</v>
      </c>
      <c r="E52" s="15">
        <f>15*60+4</f>
        <v>904</v>
      </c>
      <c r="F52" s="12"/>
      <c r="G52" s="3" t="s">
        <v>1416</v>
      </c>
      <c r="O52" s="63">
        <v>1</v>
      </c>
      <c r="S52" s="119">
        <f t="shared" si="11"/>
        <v>0.4223029318820225</v>
      </c>
      <c r="T52" s="136">
        <f t="shared" si="12"/>
        <v>38487</v>
      </c>
      <c r="U52" s="75">
        <f t="shared" si="10"/>
        <v>641.45000000000005</v>
      </c>
      <c r="V52" s="141">
        <f t="shared" si="10"/>
        <v>10.690833333333334</v>
      </c>
    </row>
    <row r="53" spans="1:22" x14ac:dyDescent="0.25">
      <c r="C53" s="6">
        <v>46</v>
      </c>
      <c r="D53" s="31" t="s">
        <v>1419</v>
      </c>
      <c r="E53" s="15">
        <f>22*60+26</f>
        <v>1346</v>
      </c>
      <c r="F53" s="12"/>
      <c r="G53" s="3" t="s">
        <v>1418</v>
      </c>
      <c r="O53" s="63">
        <v>1</v>
      </c>
      <c r="S53" s="119">
        <f t="shared" si="11"/>
        <v>0.43707206811797755</v>
      </c>
      <c r="T53" s="136">
        <f t="shared" si="12"/>
        <v>39833</v>
      </c>
      <c r="U53" s="75">
        <f t="shared" si="10"/>
        <v>663.88333333333333</v>
      </c>
      <c r="V53" s="141">
        <f t="shared" si="10"/>
        <v>11.064722222222223</v>
      </c>
    </row>
    <row r="54" spans="1:22" x14ac:dyDescent="0.25">
      <c r="C54" s="6">
        <v>47</v>
      </c>
      <c r="D54" s="31" t="s">
        <v>1421</v>
      </c>
      <c r="E54" s="15">
        <f>10*60+2</f>
        <v>602</v>
      </c>
      <c r="F54" s="12"/>
      <c r="G54" s="3" t="s">
        <v>1420</v>
      </c>
      <c r="H54" s="92" t="s">
        <v>1343</v>
      </c>
      <c r="O54" s="63">
        <v>1</v>
      </c>
      <c r="S54" s="119">
        <f t="shared" si="11"/>
        <v>0.443677580758427</v>
      </c>
      <c r="T54" s="136">
        <f t="shared" si="12"/>
        <v>40435</v>
      </c>
      <c r="U54" s="75">
        <f t="shared" si="10"/>
        <v>673.91666666666663</v>
      </c>
      <c r="V54" s="141">
        <f t="shared" si="10"/>
        <v>11.231944444444444</v>
      </c>
    </row>
    <row r="55" spans="1:22" x14ac:dyDescent="0.25">
      <c r="A55">
        <v>1</v>
      </c>
      <c r="C55" s="6">
        <v>48</v>
      </c>
      <c r="D55" s="31" t="s">
        <v>1423</v>
      </c>
      <c r="E55" s="15">
        <f>17*60+52</f>
        <v>1072</v>
      </c>
      <c r="F55" s="12"/>
      <c r="G55" s="3" t="s">
        <v>1422</v>
      </c>
      <c r="O55" s="63">
        <v>1</v>
      </c>
      <c r="S55" s="119">
        <f t="shared" si="11"/>
        <v>0.4554402212078652</v>
      </c>
      <c r="T55" s="136">
        <f t="shared" si="12"/>
        <v>41507</v>
      </c>
      <c r="U55" s="75">
        <f t="shared" si="10"/>
        <v>691.7833333333333</v>
      </c>
      <c r="V55" s="141">
        <f t="shared" si="10"/>
        <v>11.529722222222222</v>
      </c>
    </row>
    <row r="56" spans="1:22" x14ac:dyDescent="0.25">
      <c r="A56">
        <v>1</v>
      </c>
      <c r="C56" s="6">
        <v>49</v>
      </c>
      <c r="D56" s="31" t="s">
        <v>1425</v>
      </c>
      <c r="E56" s="15">
        <f>12*60+56</f>
        <v>776</v>
      </c>
      <c r="F56" s="12"/>
      <c r="G56" s="3" t="s">
        <v>1424</v>
      </c>
      <c r="O56" s="63">
        <v>1</v>
      </c>
      <c r="S56" s="119">
        <f t="shared" si="11"/>
        <v>0.46395496839887646</v>
      </c>
      <c r="T56" s="136">
        <f t="shared" si="12"/>
        <v>42283</v>
      </c>
      <c r="U56" s="75">
        <f t="shared" si="10"/>
        <v>704.7166666666667</v>
      </c>
      <c r="V56" s="141">
        <f t="shared" si="10"/>
        <v>11.745277777777778</v>
      </c>
    </row>
    <row r="57" spans="1:22" x14ac:dyDescent="0.25">
      <c r="A57">
        <v>1</v>
      </c>
      <c r="C57" s="6">
        <v>50</v>
      </c>
      <c r="D57" s="31" t="s">
        <v>1427</v>
      </c>
      <c r="E57" s="15">
        <f>15*60+1</f>
        <v>901</v>
      </c>
      <c r="F57" s="12"/>
      <c r="G57" s="3" t="s">
        <v>1426</v>
      </c>
      <c r="O57" s="63">
        <v>1</v>
      </c>
      <c r="S57" s="119">
        <f t="shared" si="11"/>
        <v>0.4738412921348315</v>
      </c>
      <c r="T57" s="136">
        <f t="shared" si="12"/>
        <v>43184</v>
      </c>
      <c r="U57" s="75">
        <f t="shared" si="10"/>
        <v>719.73333333333335</v>
      </c>
      <c r="V57" s="141">
        <f t="shared" si="10"/>
        <v>11.995555555555557</v>
      </c>
    </row>
    <row r="58" spans="1:22" ht="15.75" thickBot="1" x14ac:dyDescent="0.3">
      <c r="C58" s="17"/>
      <c r="D58" s="32"/>
      <c r="E58" s="19">
        <f>SUM(E48:E57)/60</f>
        <v>152.05000000000001</v>
      </c>
      <c r="F58" s="20">
        <f>E58/60</f>
        <v>2.5341666666666667</v>
      </c>
      <c r="G58" s="21"/>
      <c r="S58" s="119"/>
      <c r="T58" s="136"/>
      <c r="U58" s="75"/>
      <c r="V58" s="141"/>
    </row>
    <row r="59" spans="1:22" x14ac:dyDescent="0.25">
      <c r="A59">
        <v>1</v>
      </c>
      <c r="C59" s="7">
        <v>51</v>
      </c>
      <c r="D59" s="33" t="s">
        <v>1429</v>
      </c>
      <c r="E59" s="16">
        <f>12*60+21</f>
        <v>741</v>
      </c>
      <c r="F59" s="13"/>
      <c r="G59" s="4" t="s">
        <v>1428</v>
      </c>
      <c r="H59" s="92" t="s">
        <v>1341</v>
      </c>
      <c r="O59" s="63">
        <v>1</v>
      </c>
      <c r="S59" s="119">
        <f>(E59/$G$1)+S57</f>
        <v>0.48197199789325845</v>
      </c>
      <c r="T59" s="136">
        <f>E59+T57</f>
        <v>43925</v>
      </c>
      <c r="U59" s="75">
        <f t="shared" si="10"/>
        <v>732.08333333333337</v>
      </c>
      <c r="V59" s="141">
        <f t="shared" si="10"/>
        <v>12.201388888888889</v>
      </c>
    </row>
    <row r="60" spans="1:22" x14ac:dyDescent="0.25">
      <c r="C60" s="6">
        <v>52</v>
      </c>
      <c r="D60" s="31" t="s">
        <v>1186</v>
      </c>
      <c r="E60" s="15">
        <f>12*60+10</f>
        <v>730</v>
      </c>
      <c r="F60" s="12"/>
      <c r="G60" s="3" t="s">
        <v>1430</v>
      </c>
      <c r="O60" s="63">
        <v>1</v>
      </c>
      <c r="S60" s="119">
        <f t="shared" ref="S60:S68" si="13">(E60/$G$1)+S59</f>
        <v>0.48998200491573035</v>
      </c>
      <c r="T60" s="136">
        <f t="shared" ref="T60:T68" si="14">E60+T59</f>
        <v>44655</v>
      </c>
      <c r="U60" s="75">
        <f t="shared" si="10"/>
        <v>744.25</v>
      </c>
      <c r="V60" s="141">
        <f t="shared" si="10"/>
        <v>12.404166666666667</v>
      </c>
    </row>
    <row r="61" spans="1:22" x14ac:dyDescent="0.25">
      <c r="C61" s="7">
        <v>53</v>
      </c>
      <c r="D61" s="31" t="s">
        <v>1432</v>
      </c>
      <c r="E61" s="15">
        <f>13*60+15</f>
        <v>795</v>
      </c>
      <c r="F61" s="12"/>
      <c r="G61" s="3" t="s">
        <v>1431</v>
      </c>
      <c r="O61" s="63">
        <v>1</v>
      </c>
      <c r="S61" s="119">
        <f t="shared" si="13"/>
        <v>0.49870523174157305</v>
      </c>
      <c r="T61" s="136">
        <f t="shared" si="14"/>
        <v>45450</v>
      </c>
      <c r="U61" s="75">
        <f t="shared" si="10"/>
        <v>757.5</v>
      </c>
      <c r="V61" s="141">
        <f t="shared" si="10"/>
        <v>12.625</v>
      </c>
    </row>
    <row r="62" spans="1:22" x14ac:dyDescent="0.25">
      <c r="C62" s="6">
        <v>54</v>
      </c>
      <c r="D62" s="31" t="s">
        <v>1051</v>
      </c>
      <c r="E62" s="15">
        <f>12*60+24</f>
        <v>744</v>
      </c>
      <c r="F62" s="12"/>
      <c r="G62" s="3" t="s">
        <v>1433</v>
      </c>
      <c r="O62" s="63">
        <v>1</v>
      </c>
      <c r="S62" s="119">
        <f t="shared" si="13"/>
        <v>0.50686885533707871</v>
      </c>
      <c r="T62" s="136">
        <f t="shared" si="14"/>
        <v>46194</v>
      </c>
      <c r="U62" s="75">
        <f t="shared" ref="U62:V125" si="15">T62/60</f>
        <v>769.9</v>
      </c>
      <c r="V62" s="141">
        <f t="shared" si="15"/>
        <v>12.831666666666667</v>
      </c>
    </row>
    <row r="63" spans="1:22" x14ac:dyDescent="0.25">
      <c r="C63" s="7">
        <v>55</v>
      </c>
      <c r="D63" s="31" t="s">
        <v>1435</v>
      </c>
      <c r="E63" s="15">
        <f>24*60+3</f>
        <v>1443</v>
      </c>
      <c r="F63" s="12"/>
      <c r="G63" s="3" t="s">
        <v>1434</v>
      </c>
      <c r="H63" s="92" t="s">
        <v>1345</v>
      </c>
      <c r="N63" s="79">
        <v>1</v>
      </c>
      <c r="S63" s="119">
        <f t="shared" si="13"/>
        <v>0.52270233497191021</v>
      </c>
      <c r="T63" s="136">
        <f t="shared" si="14"/>
        <v>47637</v>
      </c>
      <c r="U63" s="75">
        <f t="shared" si="15"/>
        <v>793.95</v>
      </c>
      <c r="V63" s="141">
        <f t="shared" si="15"/>
        <v>13.2325</v>
      </c>
    </row>
    <row r="64" spans="1:22" x14ac:dyDescent="0.25">
      <c r="C64" s="6">
        <v>56</v>
      </c>
      <c r="D64" s="31" t="s">
        <v>963</v>
      </c>
      <c r="E64" s="15">
        <f>17*60+46</f>
        <v>1066</v>
      </c>
      <c r="F64" s="12"/>
      <c r="G64" s="3" t="s">
        <v>1434</v>
      </c>
      <c r="N64" s="79">
        <v>1</v>
      </c>
      <c r="S64" s="119">
        <f t="shared" si="13"/>
        <v>0.53439913974719111</v>
      </c>
      <c r="T64" s="136">
        <f t="shared" si="14"/>
        <v>48703</v>
      </c>
      <c r="U64" s="75">
        <f t="shared" si="15"/>
        <v>811.7166666666667</v>
      </c>
      <c r="V64" s="141">
        <f t="shared" si="15"/>
        <v>13.528611111111111</v>
      </c>
    </row>
    <row r="65" spans="1:22" x14ac:dyDescent="0.25">
      <c r="A65">
        <v>1</v>
      </c>
      <c r="C65" s="7">
        <v>57</v>
      </c>
      <c r="D65" s="31" t="s">
        <v>1057</v>
      </c>
      <c r="E65" s="15">
        <f>11*60+17</f>
        <v>677</v>
      </c>
      <c r="F65" s="12"/>
      <c r="G65" s="3" t="s">
        <v>1436</v>
      </c>
      <c r="N65" s="79">
        <v>1</v>
      </c>
      <c r="S65" s="119">
        <f t="shared" si="13"/>
        <v>0.54182759831460681</v>
      </c>
      <c r="T65" s="136">
        <f t="shared" si="14"/>
        <v>49380</v>
      </c>
      <c r="U65" s="75">
        <f t="shared" si="15"/>
        <v>823</v>
      </c>
      <c r="V65" s="141">
        <f t="shared" si="15"/>
        <v>13.716666666666667</v>
      </c>
    </row>
    <row r="66" spans="1:22" x14ac:dyDescent="0.25">
      <c r="A66">
        <v>1</v>
      </c>
      <c r="C66" s="6">
        <v>58</v>
      </c>
      <c r="D66" s="31" t="s">
        <v>1438</v>
      </c>
      <c r="E66" s="15">
        <f>9*60+49</f>
        <v>589</v>
      </c>
      <c r="F66" s="12"/>
      <c r="G66" s="3" t="s">
        <v>1437</v>
      </c>
      <c r="N66" s="79">
        <v>1</v>
      </c>
      <c r="S66" s="119">
        <f t="shared" si="13"/>
        <v>0.54829046699438211</v>
      </c>
      <c r="T66" s="136">
        <f t="shared" si="14"/>
        <v>49969</v>
      </c>
      <c r="U66" s="75">
        <f t="shared" si="15"/>
        <v>832.81666666666672</v>
      </c>
      <c r="V66" s="141">
        <f t="shared" si="15"/>
        <v>13.880277777777779</v>
      </c>
    </row>
    <row r="67" spans="1:22" x14ac:dyDescent="0.25">
      <c r="A67">
        <v>1</v>
      </c>
      <c r="C67" s="7">
        <v>59</v>
      </c>
      <c r="D67" s="31" t="s">
        <v>1440</v>
      </c>
      <c r="E67" s="15">
        <f>14*60+33</f>
        <v>873</v>
      </c>
      <c r="F67" s="12"/>
      <c r="G67" s="3" t="s">
        <v>1439</v>
      </c>
      <c r="N67" s="79">
        <v>1</v>
      </c>
      <c r="S67" s="119">
        <f t="shared" si="13"/>
        <v>0.5578695575842697</v>
      </c>
      <c r="T67" s="136">
        <f t="shared" si="14"/>
        <v>50842</v>
      </c>
      <c r="U67" s="75">
        <f t="shared" si="15"/>
        <v>847.36666666666667</v>
      </c>
      <c r="V67" s="141">
        <f t="shared" si="15"/>
        <v>14.122777777777777</v>
      </c>
    </row>
    <row r="68" spans="1:22" x14ac:dyDescent="0.25">
      <c r="A68">
        <v>1</v>
      </c>
      <c r="C68" s="6">
        <v>60</v>
      </c>
      <c r="D68" s="31" t="s">
        <v>1442</v>
      </c>
      <c r="E68" s="15">
        <f>7*60+58</f>
        <v>478</v>
      </c>
      <c r="F68" s="12"/>
      <c r="G68" s="3" t="s">
        <v>1441</v>
      </c>
      <c r="H68" s="92" t="s">
        <v>1346</v>
      </c>
      <c r="M68" s="79">
        <v>1</v>
      </c>
      <c r="N68" s="79"/>
      <c r="S68" s="119">
        <f t="shared" si="13"/>
        <v>0.56311446629213491</v>
      </c>
      <c r="T68" s="136">
        <f t="shared" si="14"/>
        <v>51320</v>
      </c>
      <c r="U68" s="75">
        <f t="shared" si="15"/>
        <v>855.33333333333337</v>
      </c>
      <c r="V68" s="141">
        <f t="shared" si="15"/>
        <v>14.255555555555556</v>
      </c>
    </row>
    <row r="69" spans="1:22" ht="15.75" thickBot="1" x14ac:dyDescent="0.3">
      <c r="C69" s="17"/>
      <c r="D69" s="32"/>
      <c r="E69" s="19">
        <f>SUM(E59:E68)/60</f>
        <v>135.6</v>
      </c>
      <c r="F69" s="20">
        <f>E69/60</f>
        <v>2.2599999999999998</v>
      </c>
      <c r="G69" s="21"/>
      <c r="M69" s="79"/>
      <c r="N69" s="79"/>
      <c r="S69" s="119"/>
      <c r="T69" s="136"/>
      <c r="U69" s="75"/>
      <c r="V69" s="141"/>
    </row>
    <row r="70" spans="1:22" x14ac:dyDescent="0.25">
      <c r="C70" s="7">
        <v>61</v>
      </c>
      <c r="D70" s="33" t="s">
        <v>1444</v>
      </c>
      <c r="E70" s="16">
        <f>17*60+17</f>
        <v>1037</v>
      </c>
      <c r="F70" s="13"/>
      <c r="G70" s="4" t="s">
        <v>1443</v>
      </c>
      <c r="M70" s="79">
        <v>1</v>
      </c>
      <c r="N70" s="79"/>
      <c r="S70" s="119">
        <f>(E70/$G$1)+S68</f>
        <v>0.5744930653089888</v>
      </c>
      <c r="T70" s="136">
        <f>E70+T68</f>
        <v>52357</v>
      </c>
      <c r="U70" s="75">
        <f t="shared" si="15"/>
        <v>872.61666666666667</v>
      </c>
      <c r="V70" s="141">
        <f t="shared" si="15"/>
        <v>14.543611111111112</v>
      </c>
    </row>
    <row r="71" spans="1:22" x14ac:dyDescent="0.25">
      <c r="C71" s="6">
        <v>62</v>
      </c>
      <c r="D71" s="31" t="s">
        <v>1034</v>
      </c>
      <c r="E71" s="15">
        <f>12*60+25</f>
        <v>745</v>
      </c>
      <c r="F71" s="12"/>
      <c r="G71" s="3" t="s">
        <v>1445</v>
      </c>
      <c r="M71" s="79">
        <v>1</v>
      </c>
      <c r="N71" s="79"/>
      <c r="S71" s="119">
        <f t="shared" ref="S71:S79" si="16">(E71/$G$1)+S70</f>
        <v>0.58266766151685401</v>
      </c>
      <c r="T71" s="136">
        <f t="shared" ref="T71:T79" si="17">E71+T70</f>
        <v>53102</v>
      </c>
      <c r="U71" s="75">
        <f t="shared" si="15"/>
        <v>885.0333333333333</v>
      </c>
      <c r="V71" s="141">
        <f t="shared" si="15"/>
        <v>14.750555555555556</v>
      </c>
    </row>
    <row r="72" spans="1:22" x14ac:dyDescent="0.25">
      <c r="C72" s="6">
        <v>63</v>
      </c>
      <c r="D72" s="31" t="s">
        <v>1244</v>
      </c>
      <c r="E72" s="15">
        <f>13*60+57</f>
        <v>837</v>
      </c>
      <c r="F72" s="12"/>
      <c r="G72" s="3" t="s">
        <v>1446</v>
      </c>
      <c r="M72" s="79">
        <v>1</v>
      </c>
      <c r="S72" s="119">
        <f t="shared" si="16"/>
        <v>0.59185173806179781</v>
      </c>
      <c r="T72" s="136">
        <f t="shared" si="17"/>
        <v>53939</v>
      </c>
      <c r="U72" s="75">
        <f t="shared" si="15"/>
        <v>898.98333333333335</v>
      </c>
      <c r="V72" s="141">
        <f t="shared" si="15"/>
        <v>14.983055555555556</v>
      </c>
    </row>
    <row r="73" spans="1:22" x14ac:dyDescent="0.25">
      <c r="C73" s="6">
        <v>64</v>
      </c>
      <c r="D73" s="31" t="s">
        <v>889</v>
      </c>
      <c r="E73" s="15">
        <f>10*60+23</f>
        <v>623</v>
      </c>
      <c r="F73" s="12"/>
      <c r="G73" s="3" t="s">
        <v>1447</v>
      </c>
      <c r="M73" s="79">
        <v>1</v>
      </c>
      <c r="S73" s="119">
        <f t="shared" si="16"/>
        <v>0.59868767556179781</v>
      </c>
      <c r="T73" s="136">
        <f t="shared" si="17"/>
        <v>54562</v>
      </c>
      <c r="U73" s="75">
        <f t="shared" si="15"/>
        <v>909.36666666666667</v>
      </c>
      <c r="V73" s="141">
        <f t="shared" si="15"/>
        <v>15.156111111111111</v>
      </c>
    </row>
    <row r="74" spans="1:22" x14ac:dyDescent="0.25">
      <c r="C74" s="6">
        <v>65</v>
      </c>
      <c r="D74" s="31" t="s">
        <v>1449</v>
      </c>
      <c r="E74" s="15">
        <f>5*60+37</f>
        <v>337</v>
      </c>
      <c r="F74" s="12"/>
      <c r="G74" s="3" t="s">
        <v>1448</v>
      </c>
      <c r="M74" s="79">
        <v>1</v>
      </c>
      <c r="S74" s="119">
        <f t="shared" si="16"/>
        <v>0.6023854459269663</v>
      </c>
      <c r="T74" s="136">
        <f t="shared" si="17"/>
        <v>54899</v>
      </c>
      <c r="U74" s="75">
        <f t="shared" si="15"/>
        <v>914.98333333333335</v>
      </c>
      <c r="V74" s="141">
        <f t="shared" si="15"/>
        <v>15.249722222222223</v>
      </c>
    </row>
    <row r="75" spans="1:22" x14ac:dyDescent="0.25">
      <c r="C75" s="6">
        <v>66</v>
      </c>
      <c r="D75" s="31" t="s">
        <v>1451</v>
      </c>
      <c r="E75" s="15">
        <f>10*60+36</f>
        <v>636</v>
      </c>
      <c r="F75" s="12"/>
      <c r="G75" s="3" t="s">
        <v>1450</v>
      </c>
      <c r="M75" s="79">
        <v>1</v>
      </c>
      <c r="S75" s="119">
        <f t="shared" si="16"/>
        <v>0.60936402738764051</v>
      </c>
      <c r="T75" s="136">
        <f t="shared" si="17"/>
        <v>55535</v>
      </c>
      <c r="U75" s="75">
        <f t="shared" si="15"/>
        <v>925.58333333333337</v>
      </c>
      <c r="V75" s="141">
        <f t="shared" si="15"/>
        <v>15.426388888888889</v>
      </c>
    </row>
    <row r="76" spans="1:22" x14ac:dyDescent="0.25">
      <c r="C76" s="6">
        <v>67</v>
      </c>
      <c r="D76" s="31" t="s">
        <v>1453</v>
      </c>
      <c r="E76" s="15">
        <f>4*60+5</f>
        <v>245</v>
      </c>
      <c r="F76" s="12"/>
      <c r="G76" s="3" t="s">
        <v>1452</v>
      </c>
      <c r="H76" s="92" t="s">
        <v>1347</v>
      </c>
      <c r="M76" s="79">
        <v>1</v>
      </c>
      <c r="S76" s="119">
        <f t="shared" si="16"/>
        <v>0.61205231741573041</v>
      </c>
      <c r="T76" s="136">
        <f t="shared" si="17"/>
        <v>55780</v>
      </c>
      <c r="U76" s="75">
        <f t="shared" si="15"/>
        <v>929.66666666666663</v>
      </c>
      <c r="V76" s="141">
        <f t="shared" si="15"/>
        <v>15.494444444444444</v>
      </c>
    </row>
    <row r="77" spans="1:22" x14ac:dyDescent="0.25">
      <c r="C77" s="6">
        <v>68</v>
      </c>
      <c r="D77" s="31" t="s">
        <v>1455</v>
      </c>
      <c r="E77" s="15">
        <f>27*60+51</f>
        <v>1671</v>
      </c>
      <c r="F77" s="12"/>
      <c r="G77" s="3" t="s">
        <v>1454</v>
      </c>
      <c r="M77" s="79">
        <v>1</v>
      </c>
      <c r="S77" s="119">
        <f t="shared" si="16"/>
        <v>0.63038755266853941</v>
      </c>
      <c r="T77" s="136">
        <f t="shared" si="17"/>
        <v>57451</v>
      </c>
      <c r="U77" s="75">
        <f t="shared" si="15"/>
        <v>957.51666666666665</v>
      </c>
      <c r="V77" s="141">
        <f t="shared" si="15"/>
        <v>15.958611111111111</v>
      </c>
    </row>
    <row r="78" spans="1:22" x14ac:dyDescent="0.25">
      <c r="C78" s="6">
        <v>69</v>
      </c>
      <c r="D78" s="31" t="s">
        <v>1457</v>
      </c>
      <c r="E78" s="15">
        <f>7*60+13</f>
        <v>433</v>
      </c>
      <c r="F78" s="12"/>
      <c r="G78" s="3" t="s">
        <v>1456</v>
      </c>
      <c r="M78" s="79">
        <v>1</v>
      </c>
      <c r="S78" s="119">
        <f t="shared" si="16"/>
        <v>0.63513869382022481</v>
      </c>
      <c r="T78" s="136">
        <f t="shared" si="17"/>
        <v>57884</v>
      </c>
      <c r="U78" s="75">
        <f t="shared" si="15"/>
        <v>964.73333333333335</v>
      </c>
      <c r="V78" s="141">
        <f t="shared" si="15"/>
        <v>16.078888888888891</v>
      </c>
    </row>
    <row r="79" spans="1:22" x14ac:dyDescent="0.25">
      <c r="C79" s="6">
        <v>70</v>
      </c>
      <c r="D79" s="31" t="s">
        <v>1459</v>
      </c>
      <c r="E79" s="15">
        <f>7*60+33</f>
        <v>453</v>
      </c>
      <c r="F79" s="12"/>
      <c r="G79" s="3" t="s">
        <v>1458</v>
      </c>
      <c r="M79" s="79">
        <v>1</v>
      </c>
      <c r="S79" s="119">
        <f t="shared" si="16"/>
        <v>0.64010928721910121</v>
      </c>
      <c r="T79" s="136">
        <f t="shared" si="17"/>
        <v>58337</v>
      </c>
      <c r="U79" s="75">
        <f t="shared" si="15"/>
        <v>972.2833333333333</v>
      </c>
      <c r="V79" s="141">
        <f t="shared" si="15"/>
        <v>16.204722222222223</v>
      </c>
    </row>
    <row r="80" spans="1:22" ht="15.75" thickBot="1" x14ac:dyDescent="0.3">
      <c r="C80" s="17"/>
      <c r="D80" s="32"/>
      <c r="E80" s="19">
        <f>SUM(E70:E79)/60</f>
        <v>116.95</v>
      </c>
      <c r="F80" s="20">
        <f>E80/60</f>
        <v>1.9491666666666667</v>
      </c>
      <c r="G80" s="21"/>
      <c r="M80" s="79"/>
      <c r="S80" s="119"/>
      <c r="T80" s="136"/>
      <c r="U80" s="75"/>
      <c r="V80" s="141"/>
    </row>
    <row r="81" spans="2:22" x14ac:dyDescent="0.25">
      <c r="C81" s="7">
        <v>71</v>
      </c>
      <c r="D81" s="33" t="s">
        <v>1461</v>
      </c>
      <c r="E81" s="16">
        <f>8*60+49</f>
        <v>529</v>
      </c>
      <c r="F81" s="13"/>
      <c r="G81" s="4" t="s">
        <v>1460</v>
      </c>
      <c r="M81" s="79">
        <v>1</v>
      </c>
      <c r="S81" s="119">
        <f>(E81/$G$1)+S79</f>
        <v>0.6459137991573034</v>
      </c>
      <c r="T81" s="136">
        <f>E81+T79</f>
        <v>58866</v>
      </c>
      <c r="U81" s="75">
        <f t="shared" si="15"/>
        <v>981.1</v>
      </c>
      <c r="V81" s="141">
        <f t="shared" si="15"/>
        <v>16.351666666666667</v>
      </c>
    </row>
    <row r="82" spans="2:22" x14ac:dyDescent="0.25">
      <c r="C82" s="6">
        <v>72</v>
      </c>
      <c r="D82" s="31" t="s">
        <v>807</v>
      </c>
      <c r="E82" s="15">
        <f>8*60+28</f>
        <v>508</v>
      </c>
      <c r="F82" s="12"/>
      <c r="G82" s="3" t="s">
        <v>1462</v>
      </c>
      <c r="H82" s="92" t="s">
        <v>1348</v>
      </c>
      <c r="M82" s="79">
        <v>1</v>
      </c>
      <c r="S82" s="119">
        <f t="shared" ref="S82:S90" si="18">(E82/$G$1)+S81</f>
        <v>0.6514878862359551</v>
      </c>
      <c r="T82" s="136">
        <f t="shared" ref="T82:T90" si="19">E82+T81</f>
        <v>59374</v>
      </c>
      <c r="U82" s="75">
        <f t="shared" si="15"/>
        <v>989.56666666666672</v>
      </c>
      <c r="V82" s="141">
        <f t="shared" si="15"/>
        <v>16.492777777777778</v>
      </c>
    </row>
    <row r="83" spans="2:22" x14ac:dyDescent="0.25">
      <c r="C83" s="6">
        <v>73</v>
      </c>
      <c r="D83" s="31" t="s">
        <v>1464</v>
      </c>
      <c r="E83" s="15">
        <f>5*60+44</f>
        <v>344</v>
      </c>
      <c r="F83" s="12"/>
      <c r="G83" s="3" t="s">
        <v>1463</v>
      </c>
      <c r="M83" s="79">
        <v>1</v>
      </c>
      <c r="S83" s="119">
        <f t="shared" si="18"/>
        <v>0.65526246488764051</v>
      </c>
      <c r="T83" s="136">
        <f t="shared" si="19"/>
        <v>59718</v>
      </c>
      <c r="U83" s="75">
        <f t="shared" si="15"/>
        <v>995.3</v>
      </c>
      <c r="V83" s="141">
        <f t="shared" si="15"/>
        <v>16.588333333333331</v>
      </c>
    </row>
    <row r="84" spans="2:22" x14ac:dyDescent="0.25">
      <c r="C84" s="6">
        <v>74</v>
      </c>
      <c r="D84" s="31" t="s">
        <v>1466</v>
      </c>
      <c r="E84" s="15">
        <f>6*60+37</f>
        <v>397</v>
      </c>
      <c r="F84" s="12"/>
      <c r="G84" s="3" t="s">
        <v>1465</v>
      </c>
      <c r="M84" s="79">
        <v>1</v>
      </c>
      <c r="S84" s="119">
        <f t="shared" si="18"/>
        <v>0.65961859199438211</v>
      </c>
      <c r="T84" s="136">
        <f t="shared" si="19"/>
        <v>60115</v>
      </c>
      <c r="U84" s="75">
        <f t="shared" si="15"/>
        <v>1001.9166666666666</v>
      </c>
      <c r="V84" s="141">
        <f t="shared" si="15"/>
        <v>16.698611111111109</v>
      </c>
    </row>
    <row r="85" spans="2:22" x14ac:dyDescent="0.25">
      <c r="C85" s="6">
        <v>75</v>
      </c>
      <c r="D85" s="31" t="s">
        <v>1468</v>
      </c>
      <c r="E85" s="15">
        <f>9*60+15</f>
        <v>555</v>
      </c>
      <c r="F85" s="12"/>
      <c r="G85" s="3" t="s">
        <v>1467</v>
      </c>
      <c r="M85" s="79">
        <v>1</v>
      </c>
      <c r="S85" s="119">
        <f t="shared" si="18"/>
        <v>0.66570839185393271</v>
      </c>
      <c r="T85" s="136">
        <f t="shared" si="19"/>
        <v>60670</v>
      </c>
      <c r="U85" s="75">
        <f t="shared" si="15"/>
        <v>1011.1666666666666</v>
      </c>
      <c r="V85" s="141">
        <f t="shared" si="15"/>
        <v>16.852777777777778</v>
      </c>
    </row>
    <row r="86" spans="2:22" x14ac:dyDescent="0.25">
      <c r="C86" s="6">
        <v>76</v>
      </c>
      <c r="D86" s="31" t="s">
        <v>1470</v>
      </c>
      <c r="E86" s="15">
        <f>6*60+57</f>
        <v>417</v>
      </c>
      <c r="F86" s="12"/>
      <c r="G86" s="3" t="s">
        <v>1469</v>
      </c>
      <c r="M86" s="79">
        <v>1</v>
      </c>
      <c r="S86" s="119">
        <f t="shared" si="18"/>
        <v>0.67028397120786531</v>
      </c>
      <c r="T86" s="136">
        <f t="shared" si="19"/>
        <v>61087</v>
      </c>
      <c r="U86" s="75">
        <f t="shared" si="15"/>
        <v>1018.1166666666667</v>
      </c>
      <c r="V86" s="141">
        <f t="shared" si="15"/>
        <v>16.968611111111112</v>
      </c>
    </row>
    <row r="87" spans="2:22" x14ac:dyDescent="0.25">
      <c r="C87" s="6">
        <v>77</v>
      </c>
      <c r="D87" s="31" t="s">
        <v>1360</v>
      </c>
      <c r="E87" s="15">
        <f>12*60+40</f>
        <v>760</v>
      </c>
      <c r="F87" s="12"/>
      <c r="G87" s="3" t="s">
        <v>1471</v>
      </c>
      <c r="M87" s="79">
        <v>1</v>
      </c>
      <c r="S87" s="119">
        <f t="shared" si="18"/>
        <v>0.67862315660112371</v>
      </c>
      <c r="T87" s="136">
        <f t="shared" si="19"/>
        <v>61847</v>
      </c>
      <c r="U87" s="75">
        <f t="shared" si="15"/>
        <v>1030.7833333333333</v>
      </c>
      <c r="V87" s="141">
        <f t="shared" si="15"/>
        <v>17.179722222222221</v>
      </c>
    </row>
    <row r="88" spans="2:22" x14ac:dyDescent="0.25">
      <c r="C88" s="6">
        <v>78</v>
      </c>
      <c r="D88" s="31" t="s">
        <v>1473</v>
      </c>
      <c r="E88" s="15">
        <f>5*60+13</f>
        <v>313</v>
      </c>
      <c r="F88" s="12"/>
      <c r="G88" s="3" t="s">
        <v>1472</v>
      </c>
      <c r="M88" s="79">
        <v>1</v>
      </c>
      <c r="S88" s="119">
        <f t="shared" si="18"/>
        <v>0.68205758426966301</v>
      </c>
      <c r="T88" s="136">
        <f t="shared" si="19"/>
        <v>62160</v>
      </c>
      <c r="U88" s="75">
        <f t="shared" si="15"/>
        <v>1036</v>
      </c>
      <c r="V88" s="141">
        <f t="shared" si="15"/>
        <v>17.266666666666666</v>
      </c>
    </row>
    <row r="89" spans="2:22" x14ac:dyDescent="0.25">
      <c r="C89" s="6">
        <v>79</v>
      </c>
      <c r="D89" s="31" t="s">
        <v>1475</v>
      </c>
      <c r="E89" s="15">
        <f>7*60+49</f>
        <v>469</v>
      </c>
      <c r="F89" s="12"/>
      <c r="G89" s="3" t="s">
        <v>1474</v>
      </c>
      <c r="M89" s="79">
        <v>1</v>
      </c>
      <c r="S89" s="119">
        <f t="shared" si="18"/>
        <v>0.68720373946629221</v>
      </c>
      <c r="T89" s="136">
        <f t="shared" si="19"/>
        <v>62629</v>
      </c>
      <c r="U89" s="75">
        <f t="shared" si="15"/>
        <v>1043.8166666666666</v>
      </c>
      <c r="V89" s="141">
        <f t="shared" si="15"/>
        <v>17.396944444444443</v>
      </c>
    </row>
    <row r="90" spans="2:22" x14ac:dyDescent="0.25">
      <c r="C90" s="6">
        <v>80</v>
      </c>
      <c r="D90" s="31" t="s">
        <v>1477</v>
      </c>
      <c r="E90" s="15">
        <f>4*60+24</f>
        <v>264</v>
      </c>
      <c r="F90" s="12"/>
      <c r="G90" s="3" t="s">
        <v>1476</v>
      </c>
      <c r="H90" s="92" t="s">
        <v>1349</v>
      </c>
      <c r="M90" s="79">
        <v>1</v>
      </c>
      <c r="S90" s="119">
        <f t="shared" si="18"/>
        <v>0.6901005091292135</v>
      </c>
      <c r="T90" s="136">
        <f t="shared" si="19"/>
        <v>62893</v>
      </c>
      <c r="U90" s="75">
        <f t="shared" si="15"/>
        <v>1048.2166666666667</v>
      </c>
      <c r="V90" s="141">
        <f t="shared" si="15"/>
        <v>17.470277777777778</v>
      </c>
    </row>
    <row r="91" spans="2:22" ht="15.75" thickBot="1" x14ac:dyDescent="0.3">
      <c r="C91" s="17"/>
      <c r="D91" s="32"/>
      <c r="E91" s="19">
        <f>SUM(E81:E90)/60</f>
        <v>75.933333333333337</v>
      </c>
      <c r="F91" s="20">
        <f>E91/60</f>
        <v>1.2655555555555555</v>
      </c>
      <c r="G91" s="21"/>
      <c r="M91" s="79"/>
      <c r="S91" s="119"/>
      <c r="T91" s="136"/>
      <c r="U91" s="75"/>
      <c r="V91" s="141"/>
    </row>
    <row r="92" spans="2:22" x14ac:dyDescent="0.25">
      <c r="C92" s="7">
        <v>81</v>
      </c>
      <c r="D92" s="33" t="s">
        <v>1479</v>
      </c>
      <c r="E92" s="16">
        <f>8*60+57</f>
        <v>537</v>
      </c>
      <c r="F92" s="13"/>
      <c r="G92" s="4" t="s">
        <v>1478</v>
      </c>
      <c r="M92" s="79">
        <v>1</v>
      </c>
      <c r="S92" s="119">
        <f>(E92/$G$1)+S90</f>
        <v>0.69599280196629221</v>
      </c>
      <c r="T92" s="136">
        <f>E92+T90</f>
        <v>63430</v>
      </c>
      <c r="U92" s="75">
        <f t="shared" si="15"/>
        <v>1057.1666666666667</v>
      </c>
      <c r="V92" s="141">
        <f t="shared" si="15"/>
        <v>17.619444444444447</v>
      </c>
    </row>
    <row r="93" spans="2:22" x14ac:dyDescent="0.25">
      <c r="C93" s="6">
        <v>82</v>
      </c>
      <c r="D93" s="31" t="s">
        <v>1481</v>
      </c>
      <c r="E93" s="15">
        <f>10*60+20</f>
        <v>620</v>
      </c>
      <c r="F93" s="12"/>
      <c r="G93" s="3" t="s">
        <v>1480</v>
      </c>
      <c r="M93" s="79">
        <v>1</v>
      </c>
      <c r="S93" s="119">
        <f t="shared" ref="S93:S101" si="20">(E93/$G$1)+S92</f>
        <v>0.7027958216292135</v>
      </c>
      <c r="T93" s="136">
        <f t="shared" ref="T93:T101" si="21">E93+T92</f>
        <v>64050</v>
      </c>
      <c r="U93" s="75">
        <f t="shared" si="15"/>
        <v>1067.5</v>
      </c>
      <c r="V93" s="141">
        <f t="shared" si="15"/>
        <v>17.791666666666668</v>
      </c>
    </row>
    <row r="94" spans="2:22" x14ac:dyDescent="0.25">
      <c r="C94" s="6">
        <v>83</v>
      </c>
      <c r="D94" s="31" t="s">
        <v>1483</v>
      </c>
      <c r="E94" s="15">
        <f>4*60+59</f>
        <v>299</v>
      </c>
      <c r="F94" s="12"/>
      <c r="G94" s="3" t="s">
        <v>1482</v>
      </c>
      <c r="M94" s="79">
        <v>1</v>
      </c>
      <c r="S94" s="119">
        <f t="shared" si="20"/>
        <v>0.7060766327247191</v>
      </c>
      <c r="T94" s="136">
        <f t="shared" si="21"/>
        <v>64349</v>
      </c>
      <c r="U94" s="75">
        <f t="shared" si="15"/>
        <v>1072.4833333333333</v>
      </c>
      <c r="V94" s="141">
        <f t="shared" si="15"/>
        <v>17.874722222222221</v>
      </c>
    </row>
    <row r="95" spans="2:22" x14ac:dyDescent="0.25">
      <c r="C95" s="6">
        <v>84</v>
      </c>
      <c r="D95" s="31" t="s">
        <v>1485</v>
      </c>
      <c r="E95" s="15">
        <f>10*60+26</f>
        <v>626</v>
      </c>
      <c r="F95" s="12"/>
      <c r="G95" s="3" t="s">
        <v>1484</v>
      </c>
      <c r="M95" s="79">
        <v>1</v>
      </c>
      <c r="S95" s="119">
        <f t="shared" si="20"/>
        <v>0.71294548806179781</v>
      </c>
      <c r="T95" s="136">
        <f t="shared" si="21"/>
        <v>64975</v>
      </c>
      <c r="U95" s="75">
        <f t="shared" si="15"/>
        <v>1082.9166666666667</v>
      </c>
      <c r="V95" s="141">
        <f t="shared" si="15"/>
        <v>18.048611111111111</v>
      </c>
    </row>
    <row r="96" spans="2:22" x14ac:dyDescent="0.25">
      <c r="B96" t="s">
        <v>1588</v>
      </c>
      <c r="C96" s="6">
        <v>85</v>
      </c>
      <c r="D96" s="31" t="s">
        <v>1487</v>
      </c>
      <c r="E96" s="15">
        <f>25*60+59</f>
        <v>1559</v>
      </c>
      <c r="F96" s="12"/>
      <c r="G96" s="3" t="s">
        <v>1486</v>
      </c>
      <c r="H96" s="92" t="s">
        <v>1350</v>
      </c>
      <c r="M96" s="79">
        <v>1</v>
      </c>
      <c r="S96" s="119">
        <f t="shared" si="20"/>
        <v>0.7300517907303371</v>
      </c>
      <c r="T96" s="136">
        <f t="shared" si="21"/>
        <v>66534</v>
      </c>
      <c r="U96" s="75">
        <f t="shared" si="15"/>
        <v>1108.9000000000001</v>
      </c>
      <c r="V96" s="141">
        <f t="shared" si="15"/>
        <v>18.481666666666669</v>
      </c>
    </row>
    <row r="97" spans="3:22" x14ac:dyDescent="0.25">
      <c r="C97" s="6">
        <v>86</v>
      </c>
      <c r="D97" s="31" t="s">
        <v>1489</v>
      </c>
      <c r="E97" s="15">
        <f>7*60+34</f>
        <v>454</v>
      </c>
      <c r="F97" s="12"/>
      <c r="G97" s="3" t="s">
        <v>1488</v>
      </c>
      <c r="L97" s="63">
        <v>1</v>
      </c>
      <c r="S97" s="119">
        <f t="shared" si="20"/>
        <v>0.73503335674157311</v>
      </c>
      <c r="T97" s="136">
        <f t="shared" si="21"/>
        <v>66988</v>
      </c>
      <c r="U97" s="75">
        <f t="shared" si="15"/>
        <v>1116.4666666666667</v>
      </c>
      <c r="V97" s="141">
        <f t="shared" si="15"/>
        <v>18.607777777777777</v>
      </c>
    </row>
    <row r="98" spans="3:22" x14ac:dyDescent="0.25">
      <c r="C98" s="6">
        <v>87</v>
      </c>
      <c r="D98" s="31" t="s">
        <v>1473</v>
      </c>
      <c r="E98" s="15">
        <f>5*60+13</f>
        <v>313</v>
      </c>
      <c r="F98" s="12"/>
      <c r="G98" s="3" t="s">
        <v>1490</v>
      </c>
      <c r="L98" s="63">
        <v>1</v>
      </c>
      <c r="S98" s="119">
        <f t="shared" si="20"/>
        <v>0.7384677844101124</v>
      </c>
      <c r="T98" s="136">
        <f t="shared" si="21"/>
        <v>67301</v>
      </c>
      <c r="U98" s="75">
        <f t="shared" si="15"/>
        <v>1121.6833333333334</v>
      </c>
      <c r="V98" s="141">
        <f t="shared" si="15"/>
        <v>18.694722222222222</v>
      </c>
    </row>
    <row r="99" spans="3:22" x14ac:dyDescent="0.25">
      <c r="C99" s="6">
        <v>88</v>
      </c>
      <c r="D99" s="31" t="s">
        <v>1492</v>
      </c>
      <c r="E99" s="15">
        <f>4*60+40</f>
        <v>280</v>
      </c>
      <c r="F99" s="12"/>
      <c r="G99" s="3" t="s">
        <v>1491</v>
      </c>
      <c r="L99" s="63">
        <v>1</v>
      </c>
      <c r="S99" s="119">
        <f t="shared" si="20"/>
        <v>0.74154011587078661</v>
      </c>
      <c r="T99" s="136">
        <f t="shared" si="21"/>
        <v>67581</v>
      </c>
      <c r="U99" s="75">
        <f t="shared" si="15"/>
        <v>1126.3499999999999</v>
      </c>
      <c r="V99" s="141">
        <f t="shared" si="15"/>
        <v>18.772499999999997</v>
      </c>
    </row>
    <row r="100" spans="3:22" x14ac:dyDescent="0.25">
      <c r="C100" s="6">
        <v>89</v>
      </c>
      <c r="D100" s="31" t="s">
        <v>1494</v>
      </c>
      <c r="E100" s="15">
        <f>5*60+28</f>
        <v>328</v>
      </c>
      <c r="F100" s="12"/>
      <c r="G100" s="3" t="s">
        <v>1493</v>
      </c>
      <c r="L100" s="63">
        <v>1</v>
      </c>
      <c r="S100" s="119">
        <f t="shared" si="20"/>
        <v>0.74513913272471921</v>
      </c>
      <c r="T100" s="136">
        <f t="shared" si="21"/>
        <v>67909</v>
      </c>
      <c r="U100" s="75">
        <f t="shared" si="15"/>
        <v>1131.8166666666666</v>
      </c>
      <c r="V100" s="141">
        <f t="shared" si="15"/>
        <v>18.863611111111108</v>
      </c>
    </row>
    <row r="101" spans="3:22" x14ac:dyDescent="0.25">
      <c r="C101" s="6">
        <v>90</v>
      </c>
      <c r="D101" s="31" t="s">
        <v>1496</v>
      </c>
      <c r="E101" s="15">
        <f>3*60+49</f>
        <v>229</v>
      </c>
      <c r="F101" s="12"/>
      <c r="G101" s="3" t="s">
        <v>1495</v>
      </c>
      <c r="L101" s="63">
        <v>1</v>
      </c>
      <c r="S101" s="119">
        <f t="shared" si="20"/>
        <v>0.74765186095505631</v>
      </c>
      <c r="T101" s="136">
        <f t="shared" si="21"/>
        <v>68138</v>
      </c>
      <c r="U101" s="75">
        <f t="shared" si="15"/>
        <v>1135.6333333333334</v>
      </c>
      <c r="V101" s="141">
        <f t="shared" si="15"/>
        <v>18.927222222222223</v>
      </c>
    </row>
    <row r="102" spans="3:22" ht="15.75" thickBot="1" x14ac:dyDescent="0.3">
      <c r="C102" s="17"/>
      <c r="D102" s="32"/>
      <c r="E102" s="19">
        <f>SUM(E92:E101)/60</f>
        <v>87.416666666666671</v>
      </c>
      <c r="F102" s="20">
        <f>E102/60</f>
        <v>1.4569444444444446</v>
      </c>
      <c r="G102" s="21"/>
      <c r="S102" s="119"/>
      <c r="T102" s="136"/>
      <c r="U102" s="75"/>
      <c r="V102" s="141"/>
    </row>
    <row r="103" spans="3:22" x14ac:dyDescent="0.25">
      <c r="C103" s="7">
        <v>91</v>
      </c>
      <c r="D103" s="28" t="s">
        <v>826</v>
      </c>
      <c r="E103" s="16">
        <f>8*60+15</f>
        <v>495</v>
      </c>
      <c r="F103" s="13"/>
      <c r="G103" s="4" t="s">
        <v>1497</v>
      </c>
      <c r="L103" s="63">
        <v>1</v>
      </c>
      <c r="S103" s="119">
        <f>(E103/$G$1)+S101</f>
        <v>0.75308330407303381</v>
      </c>
      <c r="T103" s="136">
        <f>E103+T101</f>
        <v>68633</v>
      </c>
      <c r="U103" s="75">
        <f t="shared" si="15"/>
        <v>1143.8833333333334</v>
      </c>
      <c r="V103" s="141">
        <f t="shared" si="15"/>
        <v>19.064722222222223</v>
      </c>
    </row>
    <row r="104" spans="3:22" x14ac:dyDescent="0.25">
      <c r="C104" s="6">
        <v>92</v>
      </c>
      <c r="D104" s="31" t="s">
        <v>1499</v>
      </c>
      <c r="E104" s="15">
        <f>12*60+30</f>
        <v>750</v>
      </c>
      <c r="F104" s="12"/>
      <c r="G104" s="3" t="s">
        <v>1498</v>
      </c>
      <c r="L104" s="63">
        <v>1</v>
      </c>
      <c r="S104" s="119">
        <f t="shared" ref="S104:S112" si="22">(E104/$G$1)+S103</f>
        <v>0.76131276334269671</v>
      </c>
      <c r="T104" s="136">
        <f t="shared" ref="T104:T112" si="23">E104+T103</f>
        <v>69383</v>
      </c>
      <c r="U104" s="75">
        <f t="shared" si="15"/>
        <v>1156.3833333333334</v>
      </c>
      <c r="V104" s="141">
        <f t="shared" si="15"/>
        <v>19.273055555555558</v>
      </c>
    </row>
    <row r="105" spans="3:22" x14ac:dyDescent="0.25">
      <c r="C105" s="6">
        <v>93</v>
      </c>
      <c r="D105" s="31" t="s">
        <v>1501</v>
      </c>
      <c r="E105" s="15">
        <f>5*60+57</f>
        <v>357</v>
      </c>
      <c r="F105" s="12"/>
      <c r="G105" s="3" t="s">
        <v>1500</v>
      </c>
      <c r="L105" s="63">
        <v>1</v>
      </c>
      <c r="S105" s="119">
        <f t="shared" si="22"/>
        <v>0.76522998595505631</v>
      </c>
      <c r="T105" s="136">
        <f t="shared" si="23"/>
        <v>69740</v>
      </c>
      <c r="U105" s="75">
        <f t="shared" si="15"/>
        <v>1162.3333333333333</v>
      </c>
      <c r="V105" s="141">
        <f t="shared" si="15"/>
        <v>19.37222222222222</v>
      </c>
    </row>
    <row r="106" spans="3:22" x14ac:dyDescent="0.25">
      <c r="C106" s="6">
        <v>94</v>
      </c>
      <c r="D106" s="31" t="s">
        <v>1503</v>
      </c>
      <c r="E106" s="15">
        <f>6*60+42</f>
        <v>402</v>
      </c>
      <c r="F106" s="12"/>
      <c r="G106" s="3" t="s">
        <v>1502</v>
      </c>
      <c r="H106" s="92" t="s">
        <v>1576</v>
      </c>
      <c r="L106" s="63">
        <v>1</v>
      </c>
      <c r="S106" s="119">
        <f t="shared" si="22"/>
        <v>0.76964097612359561</v>
      </c>
      <c r="T106" s="136">
        <f t="shared" si="23"/>
        <v>70142</v>
      </c>
      <c r="U106" s="75">
        <f t="shared" si="15"/>
        <v>1169.0333333333333</v>
      </c>
      <c r="V106" s="141">
        <f t="shared" si="15"/>
        <v>19.483888888888888</v>
      </c>
    </row>
    <row r="107" spans="3:22" x14ac:dyDescent="0.25">
      <c r="C107" s="6">
        <v>95</v>
      </c>
      <c r="D107" s="31" t="s">
        <v>1505</v>
      </c>
      <c r="E107" s="15">
        <f>6*60+44</f>
        <v>404</v>
      </c>
      <c r="F107" s="12"/>
      <c r="G107" s="3" t="s">
        <v>1504</v>
      </c>
      <c r="L107" s="63">
        <v>1</v>
      </c>
      <c r="S107" s="119">
        <f t="shared" si="22"/>
        <v>0.77407391151685401</v>
      </c>
      <c r="T107" s="136">
        <f t="shared" si="23"/>
        <v>70546</v>
      </c>
      <c r="U107" s="75">
        <f t="shared" si="15"/>
        <v>1175.7666666666667</v>
      </c>
      <c r="V107" s="141">
        <f t="shared" si="15"/>
        <v>19.59611111111111</v>
      </c>
    </row>
    <row r="108" spans="3:22" x14ac:dyDescent="0.25">
      <c r="C108" s="6">
        <v>96</v>
      </c>
      <c r="D108" s="31" t="s">
        <v>834</v>
      </c>
      <c r="E108" s="15">
        <f>8*60+55</f>
        <v>535</v>
      </c>
      <c r="F108" s="12"/>
      <c r="G108" s="3" t="s">
        <v>1506</v>
      </c>
      <c r="L108" s="63">
        <v>1</v>
      </c>
      <c r="S108" s="119">
        <f t="shared" si="22"/>
        <v>0.77994425912921361</v>
      </c>
      <c r="T108" s="136">
        <f t="shared" si="23"/>
        <v>71081</v>
      </c>
      <c r="U108" s="75">
        <f t="shared" si="15"/>
        <v>1184.6833333333334</v>
      </c>
      <c r="V108" s="141">
        <f t="shared" si="15"/>
        <v>19.744722222222222</v>
      </c>
    </row>
    <row r="109" spans="3:22" x14ac:dyDescent="0.25">
      <c r="C109" s="6">
        <v>97</v>
      </c>
      <c r="D109" s="31" t="s">
        <v>1298</v>
      </c>
      <c r="E109" s="15">
        <f>11*60+54</f>
        <v>714</v>
      </c>
      <c r="F109" s="12"/>
      <c r="G109" s="3" t="s">
        <v>1507</v>
      </c>
      <c r="L109" s="63">
        <v>1</v>
      </c>
      <c r="S109" s="119">
        <f t="shared" si="22"/>
        <v>0.78777870435393271</v>
      </c>
      <c r="T109" s="136">
        <f t="shared" si="23"/>
        <v>71795</v>
      </c>
      <c r="U109" s="75">
        <f t="shared" si="15"/>
        <v>1196.5833333333333</v>
      </c>
      <c r="V109" s="141">
        <f t="shared" si="15"/>
        <v>19.943055555555553</v>
      </c>
    </row>
    <row r="110" spans="3:22" x14ac:dyDescent="0.25">
      <c r="C110" s="6">
        <v>98</v>
      </c>
      <c r="D110" s="31" t="s">
        <v>1509</v>
      </c>
      <c r="E110" s="15">
        <f>6*60+35</f>
        <v>395</v>
      </c>
      <c r="F110" s="12"/>
      <c r="G110" s="3" t="s">
        <v>1508</v>
      </c>
      <c r="L110" s="63">
        <v>1</v>
      </c>
      <c r="S110" s="119">
        <f t="shared" si="22"/>
        <v>0.79211288623595522</v>
      </c>
      <c r="T110" s="136">
        <f t="shared" si="23"/>
        <v>72190</v>
      </c>
      <c r="U110" s="75">
        <f t="shared" si="15"/>
        <v>1203.1666666666667</v>
      </c>
      <c r="V110" s="141">
        <f t="shared" si="15"/>
        <v>20.052777777777781</v>
      </c>
    </row>
    <row r="111" spans="3:22" x14ac:dyDescent="0.25">
      <c r="C111" s="6">
        <v>99</v>
      </c>
      <c r="D111" s="31" t="s">
        <v>1511</v>
      </c>
      <c r="E111" s="15">
        <f>6*60+45</f>
        <v>405</v>
      </c>
      <c r="F111" s="12"/>
      <c r="G111" s="3" t="s">
        <v>1510</v>
      </c>
      <c r="L111" s="63">
        <v>1</v>
      </c>
      <c r="S111" s="119">
        <f t="shared" si="22"/>
        <v>0.79655679424157322</v>
      </c>
      <c r="T111" s="136">
        <f t="shared" si="23"/>
        <v>72595</v>
      </c>
      <c r="U111" s="75">
        <f t="shared" si="15"/>
        <v>1209.9166666666667</v>
      </c>
      <c r="V111" s="141">
        <f t="shared" si="15"/>
        <v>20.165277777777778</v>
      </c>
    </row>
    <row r="112" spans="3:22" x14ac:dyDescent="0.25">
      <c r="C112" s="6">
        <v>100</v>
      </c>
      <c r="D112" s="31" t="s">
        <v>1513</v>
      </c>
      <c r="E112" s="15">
        <f>9*60+26</f>
        <v>566</v>
      </c>
      <c r="F112" s="12"/>
      <c r="G112" s="3" t="s">
        <v>1512</v>
      </c>
      <c r="L112" s="63">
        <v>1</v>
      </c>
      <c r="S112" s="119">
        <f t="shared" si="22"/>
        <v>0.80276729283707882</v>
      </c>
      <c r="T112" s="136">
        <f t="shared" si="23"/>
        <v>73161</v>
      </c>
      <c r="U112" s="75">
        <f t="shared" si="15"/>
        <v>1219.3499999999999</v>
      </c>
      <c r="V112" s="141">
        <f t="shared" si="15"/>
        <v>20.322499999999998</v>
      </c>
    </row>
    <row r="113" spans="3:22" ht="15.75" thickBot="1" x14ac:dyDescent="0.3">
      <c r="C113" s="26"/>
      <c r="D113" s="32"/>
      <c r="E113" s="19">
        <f>SUM(E103:E112)/60</f>
        <v>83.716666666666669</v>
      </c>
      <c r="F113" s="20">
        <f>E113/60</f>
        <v>1.3952777777777778</v>
      </c>
      <c r="G113" s="21"/>
      <c r="S113" s="119"/>
      <c r="T113" s="136"/>
      <c r="U113" s="75"/>
      <c r="V113" s="141"/>
    </row>
    <row r="114" spans="3:22" x14ac:dyDescent="0.25">
      <c r="C114" s="27">
        <v>101</v>
      </c>
      <c r="D114" s="30" t="s">
        <v>1515</v>
      </c>
      <c r="E114" s="14">
        <f>9*60+35</f>
        <v>575</v>
      </c>
      <c r="F114" s="11"/>
      <c r="G114" s="2" t="s">
        <v>1514</v>
      </c>
      <c r="H114" s="92" t="s">
        <v>1577</v>
      </c>
      <c r="L114" s="63">
        <v>1</v>
      </c>
      <c r="S114" s="139">
        <f>(E114/$G$1)+S112</f>
        <v>0.80907654494382042</v>
      </c>
      <c r="T114" s="136">
        <f>E114+T112</f>
        <v>73736</v>
      </c>
      <c r="U114" s="75">
        <f t="shared" si="15"/>
        <v>1228.9333333333334</v>
      </c>
      <c r="V114" s="141">
        <f t="shared" si="15"/>
        <v>20.482222222222223</v>
      </c>
    </row>
    <row r="115" spans="3:22" x14ac:dyDescent="0.25">
      <c r="C115" s="27">
        <v>102</v>
      </c>
      <c r="D115" s="31" t="s">
        <v>1518</v>
      </c>
      <c r="E115" s="15">
        <f>9*60</f>
        <v>540</v>
      </c>
      <c r="F115" s="12"/>
      <c r="G115" s="3" t="s">
        <v>1516</v>
      </c>
      <c r="K115" s="63">
        <v>1</v>
      </c>
      <c r="S115" s="119">
        <f t="shared" ref="S115:S123" si="24">(E115/$G$1)+S114</f>
        <v>0.81500175561797772</v>
      </c>
      <c r="T115" s="136">
        <f t="shared" ref="T115:T123" si="25">E115+T114</f>
        <v>74276</v>
      </c>
      <c r="U115" s="75">
        <f t="shared" si="15"/>
        <v>1237.9333333333334</v>
      </c>
      <c r="V115" s="141">
        <f t="shared" si="15"/>
        <v>20.632222222222222</v>
      </c>
    </row>
    <row r="116" spans="3:22" x14ac:dyDescent="0.25">
      <c r="C116" s="27">
        <v>103</v>
      </c>
      <c r="D116" s="31" t="s">
        <v>1519</v>
      </c>
      <c r="E116" s="15">
        <f>7*60+41</f>
        <v>461</v>
      </c>
      <c r="F116" s="12"/>
      <c r="G116" s="3" t="s">
        <v>1517</v>
      </c>
      <c r="K116" s="63">
        <v>1</v>
      </c>
      <c r="S116" s="119">
        <f t="shared" si="24"/>
        <v>0.82006012991573052</v>
      </c>
      <c r="T116" s="136">
        <f t="shared" si="25"/>
        <v>74737</v>
      </c>
      <c r="U116" s="75">
        <f t="shared" si="15"/>
        <v>1245.6166666666666</v>
      </c>
      <c r="V116" s="141">
        <f t="shared" si="15"/>
        <v>20.760277777777777</v>
      </c>
    </row>
    <row r="117" spans="3:22" x14ac:dyDescent="0.25">
      <c r="C117" s="27">
        <v>104</v>
      </c>
      <c r="D117" s="31" t="s">
        <v>1449</v>
      </c>
      <c r="E117" s="15">
        <f>5*60+37</f>
        <v>337</v>
      </c>
      <c r="F117" s="12"/>
      <c r="G117" s="3" t="s">
        <v>1520</v>
      </c>
      <c r="K117" s="63">
        <v>1</v>
      </c>
      <c r="S117" s="119">
        <f t="shared" si="24"/>
        <v>0.82375790028089901</v>
      </c>
      <c r="T117" s="136">
        <f t="shared" si="25"/>
        <v>75074</v>
      </c>
      <c r="U117" s="75">
        <f t="shared" si="15"/>
        <v>1251.2333333333333</v>
      </c>
      <c r="V117" s="141">
        <f t="shared" si="15"/>
        <v>20.853888888888889</v>
      </c>
    </row>
    <row r="118" spans="3:22" x14ac:dyDescent="0.25">
      <c r="C118" s="27">
        <v>105</v>
      </c>
      <c r="D118" s="31" t="s">
        <v>867</v>
      </c>
      <c r="E118" s="15">
        <f>12*60+48</f>
        <v>768</v>
      </c>
      <c r="F118" s="12"/>
      <c r="G118" s="3" t="s">
        <v>1521</v>
      </c>
      <c r="K118" s="63">
        <v>1</v>
      </c>
      <c r="S118" s="119">
        <f t="shared" si="24"/>
        <v>0.83218486657303381</v>
      </c>
      <c r="T118" s="136">
        <f t="shared" si="25"/>
        <v>75842</v>
      </c>
      <c r="U118" s="75">
        <f t="shared" si="15"/>
        <v>1264.0333333333333</v>
      </c>
      <c r="V118" s="141">
        <f t="shared" si="15"/>
        <v>21.06722222222222</v>
      </c>
    </row>
    <row r="119" spans="3:22" x14ac:dyDescent="0.25">
      <c r="C119" s="27">
        <v>106</v>
      </c>
      <c r="D119" s="31" t="s">
        <v>994</v>
      </c>
      <c r="E119" s="15">
        <f>12*60+37</f>
        <v>757</v>
      </c>
      <c r="F119" s="12"/>
      <c r="G119" s="3" t="s">
        <v>1522</v>
      </c>
      <c r="H119" s="92" t="s">
        <v>1578</v>
      </c>
      <c r="K119" s="63">
        <v>1</v>
      </c>
      <c r="S119" s="119">
        <f t="shared" si="24"/>
        <v>0.84049113412921361</v>
      </c>
      <c r="T119" s="136">
        <f t="shared" si="25"/>
        <v>76599</v>
      </c>
      <c r="U119" s="75">
        <f t="shared" si="15"/>
        <v>1276.6500000000001</v>
      </c>
      <c r="V119" s="141">
        <f t="shared" si="15"/>
        <v>21.2775</v>
      </c>
    </row>
    <row r="120" spans="3:22" x14ac:dyDescent="0.25">
      <c r="C120" s="27">
        <v>107</v>
      </c>
      <c r="D120" s="31" t="s">
        <v>214</v>
      </c>
      <c r="E120" s="15">
        <f>15*60+10</f>
        <v>910</v>
      </c>
      <c r="F120" s="12"/>
      <c r="G120" s="3" t="s">
        <v>1523</v>
      </c>
      <c r="K120" s="63">
        <v>1</v>
      </c>
      <c r="S120" s="119">
        <f t="shared" si="24"/>
        <v>0.85047621137640461</v>
      </c>
      <c r="T120" s="136">
        <f t="shared" si="25"/>
        <v>77509</v>
      </c>
      <c r="U120" s="75">
        <f t="shared" si="15"/>
        <v>1291.8166666666666</v>
      </c>
      <c r="V120" s="141">
        <f t="shared" si="15"/>
        <v>21.530277777777776</v>
      </c>
    </row>
    <row r="121" spans="3:22" x14ac:dyDescent="0.25">
      <c r="C121" s="27">
        <v>108</v>
      </c>
      <c r="D121" s="31" t="s">
        <v>729</v>
      </c>
      <c r="E121" s="15">
        <f>9*60+12</f>
        <v>552</v>
      </c>
      <c r="F121" s="12"/>
      <c r="G121" s="3" t="s">
        <v>1524</v>
      </c>
      <c r="K121" s="63">
        <v>1</v>
      </c>
      <c r="S121" s="119">
        <f t="shared" si="24"/>
        <v>0.85653309339887651</v>
      </c>
      <c r="T121" s="136">
        <f t="shared" si="25"/>
        <v>78061</v>
      </c>
      <c r="U121" s="75">
        <f t="shared" si="15"/>
        <v>1301.0166666666667</v>
      </c>
      <c r="V121" s="141">
        <f t="shared" si="15"/>
        <v>21.683611111111112</v>
      </c>
    </row>
    <row r="122" spans="3:22" x14ac:dyDescent="0.25">
      <c r="C122" s="27">
        <v>109</v>
      </c>
      <c r="D122" s="31" t="s">
        <v>1526</v>
      </c>
      <c r="E122" s="15">
        <f>7*60+23</f>
        <v>443</v>
      </c>
      <c r="F122" s="12"/>
      <c r="G122" s="3" t="s">
        <v>1525</v>
      </c>
      <c r="K122" s="63">
        <v>1</v>
      </c>
      <c r="S122" s="119">
        <f t="shared" si="24"/>
        <v>0.86139396067415741</v>
      </c>
      <c r="T122" s="136">
        <f t="shared" si="25"/>
        <v>78504</v>
      </c>
      <c r="U122" s="75">
        <f t="shared" si="15"/>
        <v>1308.4000000000001</v>
      </c>
      <c r="V122" s="141">
        <f t="shared" si="15"/>
        <v>21.806666666666668</v>
      </c>
    </row>
    <row r="123" spans="3:22" x14ac:dyDescent="0.25">
      <c r="C123" s="27">
        <v>110</v>
      </c>
      <c r="D123" s="31" t="s">
        <v>1528</v>
      </c>
      <c r="E123" s="15">
        <f>10*60+7</f>
        <v>607</v>
      </c>
      <c r="F123" s="12"/>
      <c r="G123" s="3" t="s">
        <v>1527</v>
      </c>
      <c r="K123" s="63">
        <v>1</v>
      </c>
      <c r="S123" s="119">
        <f t="shared" si="24"/>
        <v>0.86805433637640461</v>
      </c>
      <c r="T123" s="136">
        <f t="shared" si="25"/>
        <v>79111</v>
      </c>
      <c r="U123" s="75">
        <f t="shared" si="15"/>
        <v>1318.5166666666667</v>
      </c>
      <c r="V123" s="141">
        <f t="shared" si="15"/>
        <v>21.975277777777777</v>
      </c>
    </row>
    <row r="124" spans="3:22" ht="15.75" thickBot="1" x14ac:dyDescent="0.3">
      <c r="C124" s="17"/>
      <c r="D124" s="32"/>
      <c r="E124" s="19">
        <f>SUM(E114:E123)/60</f>
        <v>99.166666666666671</v>
      </c>
      <c r="F124" s="20">
        <f>E124/60</f>
        <v>1.6527777777777779</v>
      </c>
      <c r="G124" s="21"/>
      <c r="S124" s="119"/>
      <c r="T124" s="136"/>
      <c r="U124" s="75"/>
      <c r="V124" s="141"/>
    </row>
    <row r="125" spans="3:22" x14ac:dyDescent="0.25">
      <c r="C125" s="7">
        <v>111</v>
      </c>
      <c r="D125" s="33" t="s">
        <v>1530</v>
      </c>
      <c r="E125" s="16">
        <f>4*60+42</f>
        <v>282</v>
      </c>
      <c r="F125" s="13"/>
      <c r="G125" s="4" t="s">
        <v>1529</v>
      </c>
      <c r="J125" s="63">
        <v>1</v>
      </c>
      <c r="S125" s="139">
        <f>(E125/$G$1)+S123</f>
        <v>0.87114861306179792</v>
      </c>
      <c r="T125" s="136">
        <f>E125+T123</f>
        <v>79393</v>
      </c>
      <c r="U125" s="75">
        <f t="shared" si="15"/>
        <v>1323.2166666666667</v>
      </c>
      <c r="V125" s="141">
        <f t="shared" si="15"/>
        <v>22.053611111111113</v>
      </c>
    </row>
    <row r="126" spans="3:22" x14ac:dyDescent="0.25">
      <c r="C126" s="6">
        <v>112</v>
      </c>
      <c r="D126" s="31" t="s">
        <v>855</v>
      </c>
      <c r="E126" s="15">
        <f>6*60+22</f>
        <v>382</v>
      </c>
      <c r="F126" s="12"/>
      <c r="G126" s="3" t="s">
        <v>1531</v>
      </c>
      <c r="J126" s="63">
        <v>1</v>
      </c>
      <c r="S126" s="119">
        <f t="shared" ref="S126:S134" si="26">(E126/$G$1)+S125</f>
        <v>0.87534015098314621</v>
      </c>
      <c r="T126" s="136">
        <f t="shared" ref="T126:T134" si="27">E126+T125</f>
        <v>79775</v>
      </c>
      <c r="U126" s="75">
        <f t="shared" ref="U126:V127" si="28">T126/60</f>
        <v>1329.5833333333333</v>
      </c>
      <c r="V126" s="141">
        <f t="shared" si="28"/>
        <v>22.159722222222221</v>
      </c>
    </row>
    <row r="127" spans="3:22" x14ac:dyDescent="0.25">
      <c r="C127" s="7">
        <v>113</v>
      </c>
      <c r="D127" s="31" t="s">
        <v>1533</v>
      </c>
      <c r="E127" s="15">
        <f>5*60+9</f>
        <v>309</v>
      </c>
      <c r="F127" s="12"/>
      <c r="G127" s="3" t="s">
        <v>1532</v>
      </c>
      <c r="J127" s="63">
        <v>1</v>
      </c>
      <c r="S127" s="119">
        <f t="shared" si="26"/>
        <v>0.87873068820224731</v>
      </c>
      <c r="T127" s="136">
        <f t="shared" si="27"/>
        <v>80084</v>
      </c>
      <c r="U127" s="75">
        <f t="shared" si="28"/>
        <v>1334.7333333333333</v>
      </c>
      <c r="V127" s="141">
        <f t="shared" si="28"/>
        <v>22.245555555555555</v>
      </c>
    </row>
    <row r="128" spans="3:22" x14ac:dyDescent="0.25">
      <c r="C128" s="6">
        <v>114</v>
      </c>
      <c r="D128" s="31" t="s">
        <v>1188</v>
      </c>
      <c r="E128" s="15">
        <f>7*60+26</f>
        <v>446</v>
      </c>
      <c r="F128" s="12"/>
      <c r="G128" s="3" t="s">
        <v>1534</v>
      </c>
      <c r="J128" s="63">
        <v>1</v>
      </c>
      <c r="S128" s="119">
        <f t="shared" si="26"/>
        <v>0.88362447331460692</v>
      </c>
      <c r="T128" s="136">
        <f t="shared" si="27"/>
        <v>80530</v>
      </c>
      <c r="U128" s="75">
        <f t="shared" ref="U128:U139" si="29">T128/60</f>
        <v>1342.1666666666667</v>
      </c>
      <c r="V128" s="141">
        <f t="shared" ref="V128:V139" si="30">U128/60</f>
        <v>22.369444444444447</v>
      </c>
    </row>
    <row r="129" spans="3:22" x14ac:dyDescent="0.25">
      <c r="C129" s="7">
        <v>115</v>
      </c>
      <c r="D129" s="31" t="s">
        <v>1536</v>
      </c>
      <c r="E129" s="15">
        <f>2*60+47</f>
        <v>167</v>
      </c>
      <c r="F129" s="12"/>
      <c r="G129" s="3" t="s">
        <v>1535</v>
      </c>
      <c r="H129" s="92" t="s">
        <v>1579</v>
      </c>
      <c r="J129" s="63">
        <v>1</v>
      </c>
      <c r="S129" s="119">
        <f t="shared" si="26"/>
        <v>0.88545689957865181</v>
      </c>
      <c r="T129" s="136">
        <f t="shared" si="27"/>
        <v>80697</v>
      </c>
      <c r="U129" s="75">
        <f t="shared" si="29"/>
        <v>1344.95</v>
      </c>
      <c r="V129" s="141">
        <f t="shared" si="30"/>
        <v>22.415833333333335</v>
      </c>
    </row>
    <row r="130" spans="3:22" x14ac:dyDescent="0.25">
      <c r="C130" s="6">
        <v>116</v>
      </c>
      <c r="D130" s="31" t="s">
        <v>1538</v>
      </c>
      <c r="E130" s="15">
        <f>10*60+59</f>
        <v>659</v>
      </c>
      <c r="F130" s="12"/>
      <c r="G130" s="3" t="s">
        <v>1537</v>
      </c>
      <c r="J130" s="63">
        <v>1</v>
      </c>
      <c r="S130" s="119">
        <f t="shared" si="26"/>
        <v>0.89268785112359561</v>
      </c>
      <c r="T130" s="136">
        <f t="shared" si="27"/>
        <v>81356</v>
      </c>
      <c r="U130" s="75">
        <f t="shared" si="29"/>
        <v>1355.9333333333334</v>
      </c>
      <c r="V130" s="141">
        <f t="shared" si="30"/>
        <v>22.59888888888889</v>
      </c>
    </row>
    <row r="131" spans="3:22" x14ac:dyDescent="0.25">
      <c r="C131" s="7">
        <v>117</v>
      </c>
      <c r="D131" s="31" t="s">
        <v>1540</v>
      </c>
      <c r="E131" s="15">
        <f>5*60+51</f>
        <v>351</v>
      </c>
      <c r="F131" s="12"/>
      <c r="G131" s="3" t="s">
        <v>1539</v>
      </c>
      <c r="J131" s="63">
        <v>1</v>
      </c>
      <c r="S131" s="119">
        <f t="shared" si="26"/>
        <v>0.89653923806179781</v>
      </c>
      <c r="T131" s="136">
        <f t="shared" si="27"/>
        <v>81707</v>
      </c>
      <c r="U131" s="75">
        <f t="shared" si="29"/>
        <v>1361.7833333333333</v>
      </c>
      <c r="V131" s="141">
        <f t="shared" si="30"/>
        <v>22.696388888888887</v>
      </c>
    </row>
    <row r="132" spans="3:22" x14ac:dyDescent="0.25">
      <c r="C132" s="6">
        <v>118</v>
      </c>
      <c r="D132" s="31" t="s">
        <v>1542</v>
      </c>
      <c r="E132" s="15">
        <f>5*60+34</f>
        <v>334</v>
      </c>
      <c r="F132" s="12"/>
      <c r="G132" s="3" t="s">
        <v>1541</v>
      </c>
      <c r="J132" s="63">
        <v>1</v>
      </c>
      <c r="S132" s="119">
        <f t="shared" si="26"/>
        <v>0.90020409058988771</v>
      </c>
      <c r="T132" s="136">
        <f t="shared" si="27"/>
        <v>82041</v>
      </c>
      <c r="U132" s="75">
        <f t="shared" si="29"/>
        <v>1367.35</v>
      </c>
      <c r="V132" s="141">
        <f t="shared" si="30"/>
        <v>22.789166666666667</v>
      </c>
    </row>
    <row r="133" spans="3:22" x14ac:dyDescent="0.25">
      <c r="C133" s="7">
        <v>119</v>
      </c>
      <c r="D133" s="31" t="s">
        <v>1544</v>
      </c>
      <c r="E133" s="15">
        <f>4*60+32</f>
        <v>272</v>
      </c>
      <c r="F133" s="12"/>
      <c r="G133" s="3" t="s">
        <v>1543</v>
      </c>
      <c r="J133" s="63">
        <v>1</v>
      </c>
      <c r="S133" s="119">
        <f t="shared" si="26"/>
        <v>0.90318864115168551</v>
      </c>
      <c r="T133" s="136">
        <f t="shared" si="27"/>
        <v>82313</v>
      </c>
      <c r="U133" s="75">
        <f t="shared" si="29"/>
        <v>1371.8833333333334</v>
      </c>
      <c r="V133" s="141">
        <f t="shared" si="30"/>
        <v>22.864722222222223</v>
      </c>
    </row>
    <row r="134" spans="3:22" x14ac:dyDescent="0.25">
      <c r="C134" s="6">
        <v>120</v>
      </c>
      <c r="D134" s="31" t="s">
        <v>826</v>
      </c>
      <c r="E134" s="15">
        <f>8*60+15</f>
        <v>495</v>
      </c>
      <c r="F134" s="12"/>
      <c r="G134" s="3" t="s">
        <v>1545</v>
      </c>
      <c r="J134" s="63">
        <v>1</v>
      </c>
      <c r="S134" s="119">
        <f t="shared" si="26"/>
        <v>0.90862008426966301</v>
      </c>
      <c r="T134" s="136">
        <f t="shared" si="27"/>
        <v>82808</v>
      </c>
      <c r="U134" s="75">
        <f t="shared" si="29"/>
        <v>1380.1333333333334</v>
      </c>
      <c r="V134" s="141">
        <f t="shared" si="30"/>
        <v>23.002222222222223</v>
      </c>
    </row>
    <row r="135" spans="3:22" ht="15.75" thickBot="1" x14ac:dyDescent="0.3">
      <c r="C135" s="26"/>
      <c r="D135" s="32"/>
      <c r="E135" s="19">
        <f>SUM(E125:E134)/60</f>
        <v>61.616666666666667</v>
      </c>
      <c r="F135" s="20">
        <f>E135/60</f>
        <v>1.0269444444444444</v>
      </c>
      <c r="G135" s="21"/>
      <c r="S135" s="119"/>
      <c r="T135" s="136"/>
      <c r="U135" s="75"/>
      <c r="V135" s="141"/>
    </row>
    <row r="136" spans="3:22" x14ac:dyDescent="0.25">
      <c r="C136" s="27">
        <v>121</v>
      </c>
      <c r="D136" s="30" t="s">
        <v>1547</v>
      </c>
      <c r="E136" s="14">
        <f>5*60+31</f>
        <v>331</v>
      </c>
      <c r="F136" s="11"/>
      <c r="G136" s="2" t="s">
        <v>1546</v>
      </c>
      <c r="J136" s="63">
        <v>1</v>
      </c>
      <c r="S136" s="139">
        <f>(E136/$G$1)+S134</f>
        <v>0.9122520189606742</v>
      </c>
      <c r="T136" s="136">
        <f>E136+T134</f>
        <v>83139</v>
      </c>
      <c r="U136" s="75">
        <f t="shared" si="29"/>
        <v>1385.65</v>
      </c>
      <c r="V136" s="141">
        <f t="shared" si="30"/>
        <v>23.09416666666667</v>
      </c>
    </row>
    <row r="137" spans="3:22" x14ac:dyDescent="0.25">
      <c r="C137" s="27">
        <v>122</v>
      </c>
      <c r="D137" s="31" t="s">
        <v>1549</v>
      </c>
      <c r="E137" s="15">
        <f>3*60+59</f>
        <v>239</v>
      </c>
      <c r="F137" s="12"/>
      <c r="G137" s="3" t="s">
        <v>1548</v>
      </c>
      <c r="J137" s="63">
        <v>1</v>
      </c>
      <c r="S137" s="119">
        <f t="shared" ref="S137:S145" si="31">(E137/$G$1)+S136</f>
        <v>0.91487447331460681</v>
      </c>
      <c r="T137" s="136">
        <f t="shared" ref="T137:T145" si="32">E137+T136</f>
        <v>83378</v>
      </c>
      <c r="U137" s="75">
        <f t="shared" si="29"/>
        <v>1389.6333333333334</v>
      </c>
      <c r="V137" s="141">
        <f t="shared" si="30"/>
        <v>23.160555555555558</v>
      </c>
    </row>
    <row r="138" spans="3:22" x14ac:dyDescent="0.25">
      <c r="C138" s="27">
        <v>123</v>
      </c>
      <c r="D138" s="31" t="s">
        <v>1459</v>
      </c>
      <c r="E138" s="15">
        <f>7*60+33</f>
        <v>453</v>
      </c>
      <c r="F138" s="12"/>
      <c r="G138" s="3" t="s">
        <v>1550</v>
      </c>
      <c r="J138" s="63">
        <v>1</v>
      </c>
      <c r="S138" s="119">
        <f t="shared" si="31"/>
        <v>0.91984506671348321</v>
      </c>
      <c r="T138" s="136">
        <f t="shared" si="32"/>
        <v>83831</v>
      </c>
      <c r="U138" s="75">
        <f t="shared" si="29"/>
        <v>1397.1833333333334</v>
      </c>
      <c r="V138" s="141">
        <f t="shared" si="30"/>
        <v>23.28638888888889</v>
      </c>
    </row>
    <row r="139" spans="3:22" x14ac:dyDescent="0.25">
      <c r="C139" s="27">
        <v>124</v>
      </c>
      <c r="D139" s="31" t="s">
        <v>1552</v>
      </c>
      <c r="E139" s="15">
        <f>7*60+45</f>
        <v>465</v>
      </c>
      <c r="F139" s="12"/>
      <c r="G139" s="3" t="s">
        <v>1551</v>
      </c>
      <c r="H139" s="92" t="s">
        <v>1580</v>
      </c>
      <c r="J139" s="63">
        <v>1</v>
      </c>
      <c r="S139" s="119">
        <f t="shared" si="31"/>
        <v>0.9249473314606742</v>
      </c>
      <c r="T139" s="136">
        <f t="shared" si="32"/>
        <v>84296</v>
      </c>
      <c r="U139" s="75">
        <f t="shared" si="29"/>
        <v>1404.9333333333334</v>
      </c>
      <c r="V139" s="141">
        <f t="shared" si="30"/>
        <v>23.415555555555557</v>
      </c>
    </row>
    <row r="140" spans="3:22" x14ac:dyDescent="0.25">
      <c r="C140" s="27">
        <v>125</v>
      </c>
      <c r="D140" s="31" t="s">
        <v>1554</v>
      </c>
      <c r="E140" s="15">
        <f>5*60+45</f>
        <v>345</v>
      </c>
      <c r="F140" s="12"/>
      <c r="G140" s="3" t="s">
        <v>1553</v>
      </c>
      <c r="J140" s="63">
        <v>1</v>
      </c>
      <c r="S140" s="119">
        <f t="shared" si="31"/>
        <v>0.9287328827247191</v>
      </c>
      <c r="T140" s="136">
        <f t="shared" si="32"/>
        <v>84641</v>
      </c>
      <c r="U140" s="75">
        <f t="shared" ref="U140:U150" si="33">T140/60</f>
        <v>1410.6833333333334</v>
      </c>
      <c r="V140" s="141">
        <f t="shared" ref="V140:V150" si="34">U140/60</f>
        <v>23.511388888888892</v>
      </c>
    </row>
    <row r="141" spans="3:22" x14ac:dyDescent="0.25">
      <c r="C141" s="27">
        <v>126</v>
      </c>
      <c r="D141" s="31" t="s">
        <v>1556</v>
      </c>
      <c r="E141" s="15">
        <f>3*60+53</f>
        <v>233</v>
      </c>
      <c r="F141" s="12"/>
      <c r="G141" s="3" t="s">
        <v>1555</v>
      </c>
      <c r="J141" s="63">
        <v>1</v>
      </c>
      <c r="S141" s="119">
        <f t="shared" si="31"/>
        <v>0.9312895014044944</v>
      </c>
      <c r="T141" s="136">
        <f t="shared" si="32"/>
        <v>84874</v>
      </c>
      <c r="U141" s="75">
        <f t="shared" si="33"/>
        <v>1414.5666666666666</v>
      </c>
      <c r="V141" s="141">
        <f t="shared" si="34"/>
        <v>23.576111111111111</v>
      </c>
    </row>
    <row r="142" spans="3:22" x14ac:dyDescent="0.25">
      <c r="C142" s="27">
        <v>127</v>
      </c>
      <c r="D142" s="31" t="s">
        <v>1558</v>
      </c>
      <c r="E142" s="15">
        <f>8*60+44</f>
        <v>524</v>
      </c>
      <c r="F142" s="12"/>
      <c r="G142" s="3" t="s">
        <v>1557</v>
      </c>
      <c r="J142" s="63">
        <v>1</v>
      </c>
      <c r="S142" s="119">
        <f t="shared" si="31"/>
        <v>0.9370391502808989</v>
      </c>
      <c r="T142" s="136">
        <f t="shared" si="32"/>
        <v>85398</v>
      </c>
      <c r="U142" s="75">
        <f t="shared" si="33"/>
        <v>1423.3</v>
      </c>
      <c r="V142" s="141">
        <f t="shared" si="34"/>
        <v>23.721666666666668</v>
      </c>
    </row>
    <row r="143" spans="3:22" x14ac:dyDescent="0.25">
      <c r="C143" s="27">
        <v>128</v>
      </c>
      <c r="D143" s="31" t="s">
        <v>1560</v>
      </c>
      <c r="E143" s="15">
        <f>5*60+27</f>
        <v>327</v>
      </c>
      <c r="F143" s="12"/>
      <c r="G143" s="3" t="s">
        <v>1559</v>
      </c>
      <c r="J143" s="63">
        <v>1</v>
      </c>
      <c r="S143" s="119">
        <f t="shared" si="31"/>
        <v>0.9406271945224719</v>
      </c>
      <c r="T143" s="136">
        <f t="shared" si="32"/>
        <v>85725</v>
      </c>
      <c r="U143" s="75">
        <f t="shared" si="33"/>
        <v>1428.75</v>
      </c>
      <c r="V143" s="141">
        <f t="shared" si="34"/>
        <v>23.8125</v>
      </c>
    </row>
    <row r="144" spans="3:22" x14ac:dyDescent="0.25">
      <c r="C144" s="27">
        <v>129</v>
      </c>
      <c r="D144" s="31" t="s">
        <v>1562</v>
      </c>
      <c r="E144" s="15">
        <f>10*60+41</f>
        <v>641</v>
      </c>
      <c r="F144" s="12"/>
      <c r="G144" s="3" t="s">
        <v>1561</v>
      </c>
      <c r="J144" s="63">
        <v>1</v>
      </c>
      <c r="S144" s="119">
        <f t="shared" si="31"/>
        <v>0.9476606390449438</v>
      </c>
      <c r="T144" s="136">
        <f t="shared" si="32"/>
        <v>86366</v>
      </c>
      <c r="U144" s="75">
        <f t="shared" si="33"/>
        <v>1439.4333333333334</v>
      </c>
      <c r="V144" s="141">
        <f t="shared" si="34"/>
        <v>23.990555555555556</v>
      </c>
    </row>
    <row r="145" spans="2:22" x14ac:dyDescent="0.25">
      <c r="B145" t="s">
        <v>1592</v>
      </c>
      <c r="C145" s="27">
        <v>130</v>
      </c>
      <c r="D145" s="31" t="s">
        <v>1564</v>
      </c>
      <c r="E145" s="15">
        <f>9*60+3</f>
        <v>543</v>
      </c>
      <c r="F145" s="12"/>
      <c r="G145" s="3" t="s">
        <v>1563</v>
      </c>
      <c r="J145" s="63">
        <v>1</v>
      </c>
      <c r="S145" s="119">
        <f t="shared" si="31"/>
        <v>0.9536187675561798</v>
      </c>
      <c r="T145" s="136">
        <f t="shared" si="32"/>
        <v>86909</v>
      </c>
      <c r="U145" s="75">
        <f t="shared" si="33"/>
        <v>1448.4833333333333</v>
      </c>
      <c r="V145" s="141">
        <f t="shared" si="34"/>
        <v>24.141388888888891</v>
      </c>
    </row>
    <row r="146" spans="2:22" ht="15.75" thickBot="1" x14ac:dyDescent="0.3">
      <c r="C146" s="17"/>
      <c r="D146" s="32"/>
      <c r="E146" s="19">
        <f>SUM(E136:E145)/60</f>
        <v>68.349999999999994</v>
      </c>
      <c r="F146" s="20">
        <f>E146/60</f>
        <v>1.1391666666666667</v>
      </c>
      <c r="G146" s="21"/>
      <c r="S146" s="119"/>
      <c r="T146" s="136"/>
      <c r="U146" s="75"/>
      <c r="V146" s="141"/>
    </row>
    <row r="147" spans="2:22" x14ac:dyDescent="0.25">
      <c r="C147" s="7">
        <v>131</v>
      </c>
      <c r="D147" s="33" t="s">
        <v>848</v>
      </c>
      <c r="E147" s="16">
        <f>5*60+49</f>
        <v>349</v>
      </c>
      <c r="F147" s="13"/>
      <c r="G147" s="4" t="s">
        <v>1565</v>
      </c>
      <c r="J147" s="63">
        <v>1</v>
      </c>
      <c r="S147" s="139">
        <f>(E147/$G$1)+S145</f>
        <v>0.9574482092696629</v>
      </c>
      <c r="T147" s="136">
        <f>E147+T145</f>
        <v>87258</v>
      </c>
      <c r="U147" s="75">
        <f t="shared" si="33"/>
        <v>1454.3</v>
      </c>
      <c r="V147" s="141">
        <f t="shared" si="34"/>
        <v>24.238333333333333</v>
      </c>
    </row>
    <row r="148" spans="2:22" x14ac:dyDescent="0.25">
      <c r="C148" s="6">
        <v>132</v>
      </c>
      <c r="D148" s="31" t="s">
        <v>1567</v>
      </c>
      <c r="E148" s="15">
        <f>8*60+4</f>
        <v>484</v>
      </c>
      <c r="F148" s="12"/>
      <c r="G148" s="3" t="s">
        <v>1566</v>
      </c>
      <c r="J148" s="63">
        <v>1</v>
      </c>
      <c r="S148" s="119">
        <f t="shared" ref="S148:S155" si="35">(E148/$G$1)+S147</f>
        <v>0.9627589536516854</v>
      </c>
      <c r="T148" s="136">
        <f t="shared" ref="T148:T155" si="36">E148+T147</f>
        <v>87742</v>
      </c>
      <c r="U148" s="75">
        <f t="shared" si="33"/>
        <v>1462.3666666666666</v>
      </c>
      <c r="V148" s="141">
        <f t="shared" si="34"/>
        <v>24.372777777777777</v>
      </c>
    </row>
    <row r="149" spans="2:22" x14ac:dyDescent="0.25">
      <c r="C149" s="7">
        <v>133</v>
      </c>
      <c r="D149" s="31" t="s">
        <v>1569</v>
      </c>
      <c r="E149" s="15">
        <f>5*60+8</f>
        <v>308</v>
      </c>
      <c r="F149" s="12"/>
      <c r="G149" s="3" t="s">
        <v>1568</v>
      </c>
      <c r="H149" s="92" t="s">
        <v>1581</v>
      </c>
      <c r="J149" s="63">
        <v>1</v>
      </c>
      <c r="S149" s="119">
        <f t="shared" si="35"/>
        <v>0.966138518258427</v>
      </c>
      <c r="T149" s="136">
        <f t="shared" si="36"/>
        <v>88050</v>
      </c>
      <c r="U149" s="75">
        <f t="shared" si="33"/>
        <v>1467.5</v>
      </c>
      <c r="V149" s="141">
        <f t="shared" si="34"/>
        <v>24.458333333333332</v>
      </c>
    </row>
    <row r="150" spans="2:22" x14ac:dyDescent="0.25">
      <c r="C150" s="6">
        <v>134</v>
      </c>
      <c r="D150" s="31" t="s">
        <v>1429</v>
      </c>
      <c r="E150" s="15">
        <f>12*60+21</f>
        <v>741</v>
      </c>
      <c r="F150" s="12"/>
      <c r="G150" s="3" t="s">
        <v>1570</v>
      </c>
      <c r="J150" s="63">
        <v>1</v>
      </c>
      <c r="S150" s="119">
        <f t="shared" si="35"/>
        <v>0.97426922401685401</v>
      </c>
      <c r="T150" s="136">
        <f t="shared" si="36"/>
        <v>88791</v>
      </c>
      <c r="U150" s="75">
        <f t="shared" si="33"/>
        <v>1479.85</v>
      </c>
      <c r="V150" s="141">
        <f t="shared" si="34"/>
        <v>24.664166666666667</v>
      </c>
    </row>
    <row r="151" spans="2:22" x14ac:dyDescent="0.25">
      <c r="C151" s="7">
        <v>135</v>
      </c>
      <c r="D151" s="31" t="s">
        <v>1494</v>
      </c>
      <c r="E151" s="15">
        <f>5*60+28</f>
        <v>328</v>
      </c>
      <c r="F151" s="12"/>
      <c r="G151" s="3" t="s">
        <v>1571</v>
      </c>
      <c r="I151" s="63">
        <v>1</v>
      </c>
      <c r="S151" s="119">
        <f t="shared" si="35"/>
        <v>0.97786824087078661</v>
      </c>
      <c r="T151" s="136">
        <f t="shared" si="36"/>
        <v>89119</v>
      </c>
      <c r="U151" s="75">
        <f t="shared" ref="U151:U153" si="37">T151/60</f>
        <v>1485.3166666666666</v>
      </c>
      <c r="V151" s="141">
        <f t="shared" ref="V151:V153" si="38">U151/60</f>
        <v>24.755277777777778</v>
      </c>
    </row>
    <row r="152" spans="2:22" x14ac:dyDescent="0.25">
      <c r="C152" s="7">
        <v>136</v>
      </c>
      <c r="D152" s="31" t="s">
        <v>1573</v>
      </c>
      <c r="E152" s="15">
        <f>9*60+28</f>
        <v>568</v>
      </c>
      <c r="F152" s="12"/>
      <c r="G152" s="3" t="s">
        <v>1572</v>
      </c>
      <c r="I152" s="63">
        <v>1</v>
      </c>
      <c r="S152" s="119">
        <f t="shared" si="35"/>
        <v>0.98410068469101131</v>
      </c>
      <c r="T152" s="136">
        <f t="shared" si="36"/>
        <v>89687</v>
      </c>
      <c r="U152" s="75">
        <f t="shared" si="37"/>
        <v>1494.7833333333333</v>
      </c>
      <c r="V152" s="141">
        <f t="shared" si="38"/>
        <v>24.913055555555555</v>
      </c>
    </row>
    <row r="153" spans="2:22" x14ac:dyDescent="0.25">
      <c r="C153" s="7">
        <v>137</v>
      </c>
      <c r="D153" s="31" t="s">
        <v>813</v>
      </c>
      <c r="E153" s="15">
        <f>6*60+38</f>
        <v>398</v>
      </c>
      <c r="F153" s="12"/>
      <c r="G153" s="3" t="s">
        <v>1574</v>
      </c>
      <c r="I153" s="63">
        <v>1</v>
      </c>
      <c r="S153" s="119">
        <f t="shared" si="35"/>
        <v>0.9884677844101124</v>
      </c>
      <c r="T153" s="136">
        <f t="shared" si="36"/>
        <v>90085</v>
      </c>
      <c r="U153" s="75">
        <f t="shared" si="37"/>
        <v>1501.4166666666667</v>
      </c>
      <c r="V153" s="141">
        <f t="shared" si="38"/>
        <v>25.023611111111112</v>
      </c>
    </row>
    <row r="154" spans="2:22" x14ac:dyDescent="0.25">
      <c r="C154" s="7">
        <v>138</v>
      </c>
      <c r="D154" s="31" t="s">
        <v>1210</v>
      </c>
      <c r="E154" s="15">
        <f>6*60+38</f>
        <v>398</v>
      </c>
      <c r="F154" s="12"/>
      <c r="G154" s="3" t="s">
        <v>1591</v>
      </c>
      <c r="I154" s="63">
        <v>1</v>
      </c>
      <c r="S154" s="119">
        <f t="shared" si="35"/>
        <v>0.9928348841292135</v>
      </c>
      <c r="T154" s="136">
        <f t="shared" si="36"/>
        <v>90483</v>
      </c>
      <c r="U154" s="75">
        <f t="shared" ref="U154" si="39">T154/60</f>
        <v>1508.05</v>
      </c>
      <c r="V154" s="141">
        <f t="shared" ref="V154" si="40">U154/60</f>
        <v>25.134166666666665</v>
      </c>
    </row>
    <row r="155" spans="2:22" x14ac:dyDescent="0.25">
      <c r="C155" s="7">
        <v>139</v>
      </c>
      <c r="D155" s="31" t="s">
        <v>1595</v>
      </c>
      <c r="E155" s="15">
        <f>10*60+53</f>
        <v>653</v>
      </c>
      <c r="F155" s="12"/>
      <c r="G155" s="3" t="s">
        <v>1594</v>
      </c>
      <c r="I155" s="63">
        <v>1</v>
      </c>
      <c r="S155" s="119">
        <f t="shared" si="35"/>
        <v>1</v>
      </c>
      <c r="T155" s="136">
        <f t="shared" si="36"/>
        <v>91136</v>
      </c>
      <c r="U155" s="75">
        <f t="shared" ref="U155" si="41">T155/60</f>
        <v>1518.9333333333334</v>
      </c>
      <c r="V155" s="141">
        <f t="shared" ref="V155" si="42">U155/60</f>
        <v>25.315555555555555</v>
      </c>
    </row>
    <row r="156" spans="2:22" ht="15.75" thickBot="1" x14ac:dyDescent="0.3">
      <c r="C156" s="17"/>
      <c r="D156" s="32"/>
      <c r="E156" s="19">
        <f>SUM(E147:E154)/60</f>
        <v>59.56666666666667</v>
      </c>
      <c r="F156" s="20">
        <f>E156/60</f>
        <v>0.99277777777777787</v>
      </c>
      <c r="G156" s="2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P61"/>
  <sheetViews>
    <sheetView topLeftCell="B1" workbookViewId="0">
      <selection activeCell="G37" sqref="G37"/>
    </sheetView>
  </sheetViews>
  <sheetFormatPr defaultRowHeight="15" x14ac:dyDescent="0.25"/>
  <cols>
    <col min="3" max="3" width="6.140625" customWidth="1"/>
    <col min="4" max="4" width="9.140625" style="29"/>
    <col min="7" max="7" width="77.5703125" style="1" customWidth="1"/>
    <col min="8" max="8" width="9.140625" style="92"/>
    <col min="11" max="15" width="3.7109375" style="63" customWidth="1"/>
    <col min="16" max="16" width="9.140625" style="63"/>
  </cols>
  <sheetData>
    <row r="2" spans="3:16" ht="15.75" thickBot="1" x14ac:dyDescent="0.3">
      <c r="C2" s="1" t="s">
        <v>41</v>
      </c>
      <c r="F2" s="23">
        <f>F14+F25+F36+F47+F58+F61</f>
        <v>6.4666666666666659</v>
      </c>
    </row>
    <row r="3" spans="3:16" ht="15.75" thickBot="1" x14ac:dyDescent="0.3">
      <c r="C3" s="1"/>
      <c r="F3" s="23"/>
      <c r="I3" s="47" t="s">
        <v>735</v>
      </c>
      <c r="J3" s="48" t="s">
        <v>736</v>
      </c>
      <c r="K3" s="103" t="s">
        <v>907</v>
      </c>
      <c r="L3" s="103" t="s">
        <v>938</v>
      </c>
      <c r="M3" s="103" t="s">
        <v>939</v>
      </c>
      <c r="N3" s="103" t="s">
        <v>940</v>
      </c>
      <c r="O3" s="103" t="s">
        <v>941</v>
      </c>
      <c r="P3" s="103" t="s">
        <v>942</v>
      </c>
    </row>
    <row r="4" spans="3:16" x14ac:dyDescent="0.25">
      <c r="C4" s="5">
        <v>1</v>
      </c>
      <c r="D4" s="30" t="s">
        <v>727</v>
      </c>
      <c r="E4" s="14">
        <f>6*60+27</f>
        <v>387</v>
      </c>
      <c r="F4" s="11"/>
      <c r="G4" s="2" t="s">
        <v>726</v>
      </c>
      <c r="I4" s="67">
        <f>E4</f>
        <v>387</v>
      </c>
      <c r="J4" s="68">
        <f>I4/60</f>
        <v>6.45</v>
      </c>
      <c r="K4" s="63" t="s">
        <v>780</v>
      </c>
    </row>
    <row r="5" spans="3:16" x14ac:dyDescent="0.25">
      <c r="C5" s="6">
        <v>2</v>
      </c>
      <c r="D5" s="31" t="s">
        <v>729</v>
      </c>
      <c r="E5" s="15">
        <f>9*60+12</f>
        <v>552</v>
      </c>
      <c r="F5" s="12"/>
      <c r="G5" s="3" t="s">
        <v>728</v>
      </c>
      <c r="I5" s="55">
        <f>E5+I4</f>
        <v>939</v>
      </c>
      <c r="J5" s="56">
        <f t="shared" ref="J5:J54" si="0">I5/60</f>
        <v>15.65</v>
      </c>
      <c r="K5" s="63" t="s">
        <v>780</v>
      </c>
    </row>
    <row r="6" spans="3:16" x14ac:dyDescent="0.25">
      <c r="C6" s="6">
        <v>3</v>
      </c>
      <c r="D6" s="31" t="s">
        <v>417</v>
      </c>
      <c r="E6" s="15">
        <f>10*60+37</f>
        <v>637</v>
      </c>
      <c r="F6" s="12"/>
      <c r="G6" s="3" t="s">
        <v>732</v>
      </c>
      <c r="I6" s="55">
        <f t="shared" ref="I6:I13" si="1">E6+I5</f>
        <v>1576</v>
      </c>
      <c r="J6" s="56">
        <f t="shared" si="0"/>
        <v>26.266666666666666</v>
      </c>
      <c r="K6" s="63" t="s">
        <v>780</v>
      </c>
    </row>
    <row r="7" spans="3:16" x14ac:dyDescent="0.25">
      <c r="C7" s="6">
        <v>4</v>
      </c>
      <c r="D7" s="31" t="s">
        <v>731</v>
      </c>
      <c r="E7" s="15">
        <f>8*60+39</f>
        <v>519</v>
      </c>
      <c r="F7" s="12"/>
      <c r="G7" s="3" t="s">
        <v>730</v>
      </c>
      <c r="I7" s="55">
        <f t="shared" si="1"/>
        <v>2095</v>
      </c>
      <c r="J7" s="56">
        <f t="shared" si="0"/>
        <v>34.916666666666664</v>
      </c>
      <c r="L7" s="63" t="s">
        <v>780</v>
      </c>
    </row>
    <row r="8" spans="3:16" x14ac:dyDescent="0.25">
      <c r="C8" s="6">
        <v>5</v>
      </c>
      <c r="D8" s="31" t="s">
        <v>734</v>
      </c>
      <c r="E8" s="15">
        <f>8*60+36</f>
        <v>516</v>
      </c>
      <c r="F8" s="12"/>
      <c r="G8" s="3" t="s">
        <v>733</v>
      </c>
      <c r="I8" s="55">
        <f t="shared" si="1"/>
        <v>2611</v>
      </c>
      <c r="J8" s="56">
        <f t="shared" si="0"/>
        <v>43.516666666666666</v>
      </c>
      <c r="L8" s="63" t="s">
        <v>780</v>
      </c>
    </row>
    <row r="9" spans="3:16" x14ac:dyDescent="0.25">
      <c r="C9" s="6">
        <v>6</v>
      </c>
      <c r="D9" s="31" t="s">
        <v>804</v>
      </c>
      <c r="E9" s="15">
        <f>6*60+6</f>
        <v>366</v>
      </c>
      <c r="F9" s="12"/>
      <c r="G9" s="3" t="s">
        <v>803</v>
      </c>
      <c r="I9" s="65">
        <f t="shared" si="1"/>
        <v>2977</v>
      </c>
      <c r="J9" s="69">
        <f t="shared" si="0"/>
        <v>49.616666666666667</v>
      </c>
      <c r="L9" s="63" t="s">
        <v>780</v>
      </c>
    </row>
    <row r="10" spans="3:16" x14ac:dyDescent="0.25">
      <c r="C10" s="6">
        <v>7</v>
      </c>
      <c r="D10" s="31" t="s">
        <v>807</v>
      </c>
      <c r="E10" s="15">
        <f>8*60+28</f>
        <v>508</v>
      </c>
      <c r="F10" s="12"/>
      <c r="G10" s="3" t="s">
        <v>806</v>
      </c>
      <c r="I10" s="55">
        <f t="shared" si="1"/>
        <v>3485</v>
      </c>
      <c r="J10" s="56">
        <f t="shared" si="0"/>
        <v>58.083333333333336</v>
      </c>
      <c r="M10" s="63" t="s">
        <v>780</v>
      </c>
    </row>
    <row r="11" spans="3:16" x14ac:dyDescent="0.25">
      <c r="C11" s="6">
        <v>8</v>
      </c>
      <c r="D11" s="31" t="s">
        <v>809</v>
      </c>
      <c r="E11" s="15">
        <f>10*60+27</f>
        <v>627</v>
      </c>
      <c r="F11" s="12"/>
      <c r="G11" s="3" t="s">
        <v>808</v>
      </c>
      <c r="H11" s="92" t="s">
        <v>901</v>
      </c>
      <c r="I11" s="70">
        <f t="shared" si="1"/>
        <v>4112</v>
      </c>
      <c r="J11" s="66">
        <f t="shared" si="0"/>
        <v>68.533333333333331</v>
      </c>
      <c r="M11" s="63" t="s">
        <v>780</v>
      </c>
    </row>
    <row r="12" spans="3:16" x14ac:dyDescent="0.25">
      <c r="C12" s="6">
        <v>9</v>
      </c>
      <c r="D12" s="31" t="s">
        <v>811</v>
      </c>
      <c r="E12" s="15">
        <f>4*60+57</f>
        <v>297</v>
      </c>
      <c r="F12" s="12"/>
      <c r="G12" s="3" t="s">
        <v>810</v>
      </c>
      <c r="I12" s="51">
        <f t="shared" si="1"/>
        <v>4409</v>
      </c>
      <c r="J12" s="52">
        <f t="shared" si="0"/>
        <v>73.483333333333334</v>
      </c>
      <c r="M12" s="63" t="s">
        <v>780</v>
      </c>
    </row>
    <row r="13" spans="3:16" x14ac:dyDescent="0.25">
      <c r="C13" s="6">
        <v>10</v>
      </c>
      <c r="D13" s="31" t="s">
        <v>813</v>
      </c>
      <c r="E13" s="15">
        <f>6*60+38</f>
        <v>398</v>
      </c>
      <c r="F13" s="12"/>
      <c r="G13" s="3" t="s">
        <v>812</v>
      </c>
      <c r="I13" s="51">
        <f t="shared" si="1"/>
        <v>4807</v>
      </c>
      <c r="J13" s="52">
        <f t="shared" si="0"/>
        <v>80.11666666666666</v>
      </c>
      <c r="M13" s="63" t="s">
        <v>780</v>
      </c>
    </row>
    <row r="14" spans="3:16" ht="15.75" thickBot="1" x14ac:dyDescent="0.3">
      <c r="C14" s="17"/>
      <c r="D14" s="32"/>
      <c r="E14" s="19">
        <f>SUM(E4:E13)/60</f>
        <v>80.11666666666666</v>
      </c>
      <c r="F14" s="20">
        <f>E14/60</f>
        <v>1.3352777777777776</v>
      </c>
      <c r="G14" s="21"/>
      <c r="I14" s="51"/>
      <c r="J14" s="52"/>
    </row>
    <row r="15" spans="3:16" x14ac:dyDescent="0.25">
      <c r="C15" s="7">
        <v>11</v>
      </c>
      <c r="D15" s="33" t="s">
        <v>815</v>
      </c>
      <c r="E15" s="16">
        <f>5*60+38</f>
        <v>338</v>
      </c>
      <c r="F15" s="13"/>
      <c r="G15" s="4" t="s">
        <v>814</v>
      </c>
      <c r="I15" s="51">
        <f>E15+I13</f>
        <v>5145</v>
      </c>
      <c r="J15" s="52">
        <f t="shared" si="0"/>
        <v>85.75</v>
      </c>
      <c r="M15" s="63" t="s">
        <v>780</v>
      </c>
    </row>
    <row r="16" spans="3:16" x14ac:dyDescent="0.25">
      <c r="C16" s="6">
        <v>12</v>
      </c>
      <c r="D16" s="31" t="s">
        <v>817</v>
      </c>
      <c r="E16" s="15">
        <f>7*60+39</f>
        <v>459</v>
      </c>
      <c r="F16" s="12"/>
      <c r="G16" s="3" t="s">
        <v>816</v>
      </c>
      <c r="I16" s="95">
        <f>E16+I15</f>
        <v>5604</v>
      </c>
      <c r="J16" s="104">
        <f t="shared" si="0"/>
        <v>93.4</v>
      </c>
      <c r="M16" s="63" t="s">
        <v>780</v>
      </c>
    </row>
    <row r="17" spans="3:14" x14ac:dyDescent="0.25">
      <c r="C17" s="6">
        <v>13</v>
      </c>
      <c r="D17" s="31" t="s">
        <v>817</v>
      </c>
      <c r="E17" s="15">
        <f>7*60+39</f>
        <v>459</v>
      </c>
      <c r="F17" s="12"/>
      <c r="G17" s="3" t="s">
        <v>818</v>
      </c>
      <c r="I17" s="51">
        <f t="shared" ref="I17:I24" si="2">E17+I16</f>
        <v>6063</v>
      </c>
      <c r="J17" s="52">
        <f t="shared" si="0"/>
        <v>101.05</v>
      </c>
      <c r="M17" s="63" t="s">
        <v>780</v>
      </c>
    </row>
    <row r="18" spans="3:14" x14ac:dyDescent="0.25">
      <c r="C18" s="6">
        <v>14</v>
      </c>
      <c r="D18" s="31" t="s">
        <v>820</v>
      </c>
      <c r="E18" s="15">
        <f>6*60+1</f>
        <v>361</v>
      </c>
      <c r="F18" s="12"/>
      <c r="G18" s="3" t="s">
        <v>819</v>
      </c>
      <c r="I18" s="51">
        <f t="shared" si="2"/>
        <v>6424</v>
      </c>
      <c r="J18" s="52">
        <f t="shared" si="0"/>
        <v>107.06666666666666</v>
      </c>
      <c r="M18" s="63" t="s">
        <v>780</v>
      </c>
    </row>
    <row r="19" spans="3:14" x14ac:dyDescent="0.25">
      <c r="C19" s="6">
        <v>15</v>
      </c>
      <c r="D19" s="31" t="s">
        <v>822</v>
      </c>
      <c r="E19" s="15">
        <f>8*60+23</f>
        <v>503</v>
      </c>
      <c r="F19" s="12"/>
      <c r="G19" s="3" t="s">
        <v>821</v>
      </c>
      <c r="I19" s="51">
        <f t="shared" si="2"/>
        <v>6927</v>
      </c>
      <c r="J19" s="52">
        <f t="shared" si="0"/>
        <v>115.45</v>
      </c>
      <c r="M19" s="63" t="s">
        <v>780</v>
      </c>
    </row>
    <row r="20" spans="3:14" x14ac:dyDescent="0.25">
      <c r="C20" s="6">
        <v>16</v>
      </c>
      <c r="D20" s="31" t="s">
        <v>824</v>
      </c>
      <c r="E20" s="15">
        <f>5*60+6</f>
        <v>306</v>
      </c>
      <c r="F20" s="12"/>
      <c r="G20" s="3" t="s">
        <v>823</v>
      </c>
      <c r="H20" s="92" t="s">
        <v>902</v>
      </c>
      <c r="I20" s="53">
        <f t="shared" si="2"/>
        <v>7233</v>
      </c>
      <c r="J20" s="54">
        <f t="shared" si="0"/>
        <v>120.55</v>
      </c>
      <c r="N20" s="63" t="s">
        <v>780</v>
      </c>
    </row>
    <row r="21" spans="3:14" x14ac:dyDescent="0.25">
      <c r="C21" s="6">
        <v>17</v>
      </c>
      <c r="D21" s="31" t="s">
        <v>826</v>
      </c>
      <c r="E21" s="15">
        <f>8*60+15</f>
        <v>495</v>
      </c>
      <c r="F21" s="12"/>
      <c r="G21" s="3" t="s">
        <v>825</v>
      </c>
      <c r="I21" s="55">
        <f t="shared" si="2"/>
        <v>7728</v>
      </c>
      <c r="J21" s="56">
        <f t="shared" si="0"/>
        <v>128.80000000000001</v>
      </c>
      <c r="N21" s="63" t="s">
        <v>780</v>
      </c>
    </row>
    <row r="22" spans="3:14" x14ac:dyDescent="0.25">
      <c r="C22" s="6">
        <v>18</v>
      </c>
      <c r="D22" s="31" t="s">
        <v>827</v>
      </c>
      <c r="E22" s="15">
        <f>9*60+17</f>
        <v>557</v>
      </c>
      <c r="F22" s="12"/>
      <c r="G22" s="3" t="s">
        <v>828</v>
      </c>
      <c r="I22" s="65">
        <f t="shared" si="2"/>
        <v>8285</v>
      </c>
      <c r="J22" s="69">
        <f t="shared" si="0"/>
        <v>138.08333333333334</v>
      </c>
      <c r="N22" s="63" t="s">
        <v>780</v>
      </c>
    </row>
    <row r="23" spans="3:14" x14ac:dyDescent="0.25">
      <c r="C23" s="6">
        <v>19</v>
      </c>
      <c r="D23" s="31" t="s">
        <v>830</v>
      </c>
      <c r="E23" s="15">
        <f>5*60+50</f>
        <v>350</v>
      </c>
      <c r="F23" s="12"/>
      <c r="G23" s="3" t="s">
        <v>829</v>
      </c>
      <c r="I23" s="55">
        <f t="shared" si="2"/>
        <v>8635</v>
      </c>
      <c r="J23" s="56">
        <f t="shared" si="0"/>
        <v>143.91666666666666</v>
      </c>
      <c r="N23" s="63" t="s">
        <v>780</v>
      </c>
    </row>
    <row r="24" spans="3:14" x14ac:dyDescent="0.25">
      <c r="C24" s="6">
        <v>20</v>
      </c>
      <c r="D24" s="31" t="s">
        <v>832</v>
      </c>
      <c r="E24" s="15">
        <f>8*60+40</f>
        <v>520</v>
      </c>
      <c r="F24" s="12"/>
      <c r="G24" s="3" t="s">
        <v>831</v>
      </c>
      <c r="I24" s="55">
        <f t="shared" si="2"/>
        <v>9155</v>
      </c>
      <c r="J24" s="56">
        <f t="shared" si="0"/>
        <v>152.58333333333334</v>
      </c>
      <c r="N24" s="63" t="s">
        <v>780</v>
      </c>
    </row>
    <row r="25" spans="3:14" ht="15.75" thickBot="1" x14ac:dyDescent="0.3">
      <c r="C25" s="17"/>
      <c r="D25" s="32"/>
      <c r="E25" s="19">
        <f>SUM(E15:E24)/60</f>
        <v>72.466666666666669</v>
      </c>
      <c r="F25" s="20">
        <f>E25/60</f>
        <v>1.2077777777777778</v>
      </c>
      <c r="G25" s="21"/>
      <c r="I25" s="55"/>
      <c r="J25" s="56"/>
    </row>
    <row r="26" spans="3:14" x14ac:dyDescent="0.25">
      <c r="C26" s="5">
        <v>21</v>
      </c>
      <c r="D26" s="30" t="s">
        <v>834</v>
      </c>
      <c r="E26" s="14">
        <f>8*60+55</f>
        <v>535</v>
      </c>
      <c r="F26" s="11"/>
      <c r="G26" s="2" t="s">
        <v>833</v>
      </c>
      <c r="I26" s="55">
        <f>E26+I24</f>
        <v>9690</v>
      </c>
      <c r="J26" s="56">
        <f t="shared" si="0"/>
        <v>161.5</v>
      </c>
      <c r="N26" s="63" t="s">
        <v>780</v>
      </c>
    </row>
    <row r="27" spans="3:14" x14ac:dyDescent="0.25">
      <c r="C27" s="6">
        <v>22</v>
      </c>
      <c r="D27" s="31" t="s">
        <v>836</v>
      </c>
      <c r="E27" s="15">
        <f>5*60+41</f>
        <v>341</v>
      </c>
      <c r="F27" s="12"/>
      <c r="G27" s="3" t="s">
        <v>835</v>
      </c>
      <c r="I27" s="55">
        <f>E27+I26</f>
        <v>10031</v>
      </c>
      <c r="J27" s="56">
        <f t="shared" si="0"/>
        <v>167.18333333333334</v>
      </c>
      <c r="N27" s="63" t="s">
        <v>780</v>
      </c>
    </row>
    <row r="28" spans="3:14" x14ac:dyDescent="0.25">
      <c r="C28" s="6">
        <v>23</v>
      </c>
      <c r="D28" s="31" t="s">
        <v>838</v>
      </c>
      <c r="E28" s="15">
        <f>8*60+10</f>
        <v>490</v>
      </c>
      <c r="F28" s="12"/>
      <c r="G28" s="3" t="s">
        <v>837</v>
      </c>
      <c r="I28" s="55">
        <f>E28+I27</f>
        <v>10521</v>
      </c>
      <c r="J28" s="56">
        <f t="shared" si="0"/>
        <v>175.35</v>
      </c>
      <c r="N28" s="63" t="s">
        <v>780</v>
      </c>
    </row>
    <row r="29" spans="3:14" x14ac:dyDescent="0.25">
      <c r="C29" s="6">
        <v>24</v>
      </c>
      <c r="D29" s="31" t="s">
        <v>840</v>
      </c>
      <c r="E29" s="15">
        <f>6*60+5</f>
        <v>365</v>
      </c>
      <c r="F29" s="12"/>
      <c r="G29" s="3" t="s">
        <v>839</v>
      </c>
      <c r="H29" s="92" t="s">
        <v>904</v>
      </c>
      <c r="I29" s="70">
        <f>E29+I28</f>
        <v>10886</v>
      </c>
      <c r="J29" s="66">
        <f t="shared" si="0"/>
        <v>181.43333333333334</v>
      </c>
      <c r="K29" s="102"/>
      <c r="N29" s="63" t="s">
        <v>780</v>
      </c>
    </row>
    <row r="30" spans="3:14" x14ac:dyDescent="0.25">
      <c r="C30" s="6">
        <v>25</v>
      </c>
      <c r="D30" s="31" t="s">
        <v>842</v>
      </c>
      <c r="E30" s="15">
        <f>5*60+47</f>
        <v>347</v>
      </c>
      <c r="F30" s="12"/>
      <c r="G30" s="3" t="s">
        <v>841</v>
      </c>
      <c r="I30" s="51">
        <f t="shared" ref="I30:I35" si="3">E30+I29</f>
        <v>11233</v>
      </c>
      <c r="J30" s="52">
        <f t="shared" si="0"/>
        <v>187.21666666666667</v>
      </c>
      <c r="N30" s="63" t="s">
        <v>780</v>
      </c>
    </row>
    <row r="31" spans="3:14" x14ac:dyDescent="0.25">
      <c r="C31" s="6">
        <v>26</v>
      </c>
      <c r="D31" s="31" t="s">
        <v>844</v>
      </c>
      <c r="E31" s="15">
        <f>8*60+24</f>
        <v>504</v>
      </c>
      <c r="F31" s="12"/>
      <c r="G31" s="3" t="s">
        <v>843</v>
      </c>
      <c r="I31" s="51">
        <f t="shared" si="3"/>
        <v>11737</v>
      </c>
      <c r="J31" s="52">
        <f t="shared" si="0"/>
        <v>195.61666666666667</v>
      </c>
      <c r="N31" s="63" t="s">
        <v>780</v>
      </c>
    </row>
    <row r="32" spans="3:14" x14ac:dyDescent="0.25">
      <c r="C32" s="6">
        <v>27</v>
      </c>
      <c r="D32" s="31" t="s">
        <v>277</v>
      </c>
      <c r="E32" s="15">
        <f>10*60+4</f>
        <v>604</v>
      </c>
      <c r="F32" s="12"/>
      <c r="G32" s="3" t="s">
        <v>845</v>
      </c>
      <c r="I32" s="51">
        <f t="shared" si="3"/>
        <v>12341</v>
      </c>
      <c r="J32" s="52">
        <f t="shared" si="0"/>
        <v>205.68333333333334</v>
      </c>
      <c r="N32" s="63" t="s">
        <v>780</v>
      </c>
    </row>
    <row r="33" spans="3:16" x14ac:dyDescent="0.25">
      <c r="C33" s="6">
        <v>28</v>
      </c>
      <c r="D33" s="31" t="s">
        <v>179</v>
      </c>
      <c r="E33" s="15">
        <f>12*60+38</f>
        <v>758</v>
      </c>
      <c r="F33" s="12"/>
      <c r="G33" s="3" t="s">
        <v>846</v>
      </c>
      <c r="I33" s="51">
        <f t="shared" si="3"/>
        <v>13099</v>
      </c>
      <c r="J33" s="52">
        <f t="shared" si="0"/>
        <v>218.31666666666666</v>
      </c>
      <c r="N33" s="63" t="s">
        <v>780</v>
      </c>
    </row>
    <row r="34" spans="3:16" x14ac:dyDescent="0.25">
      <c r="C34" s="6">
        <v>29</v>
      </c>
      <c r="D34" s="31" t="s">
        <v>848</v>
      </c>
      <c r="E34" s="15">
        <f>5*60+49</f>
        <v>349</v>
      </c>
      <c r="F34" s="12"/>
      <c r="G34" s="3" t="s">
        <v>847</v>
      </c>
      <c r="I34" s="51">
        <f t="shared" si="3"/>
        <v>13448</v>
      </c>
      <c r="J34" s="52">
        <f t="shared" si="0"/>
        <v>224.13333333333333</v>
      </c>
      <c r="N34" s="63" t="s">
        <v>780</v>
      </c>
    </row>
    <row r="35" spans="3:16" x14ac:dyDescent="0.25">
      <c r="C35" s="6">
        <v>30</v>
      </c>
      <c r="D35" s="31" t="s">
        <v>805</v>
      </c>
      <c r="E35" s="15">
        <f>7*60+7</f>
        <v>427</v>
      </c>
      <c r="F35" s="12"/>
      <c r="G35" s="3" t="s">
        <v>849</v>
      </c>
      <c r="I35" s="51">
        <f t="shared" si="3"/>
        <v>13875</v>
      </c>
      <c r="J35" s="52">
        <f t="shared" si="0"/>
        <v>231.25</v>
      </c>
      <c r="N35" s="63" t="s">
        <v>780</v>
      </c>
    </row>
    <row r="36" spans="3:16" ht="15.75" thickBot="1" x14ac:dyDescent="0.3">
      <c r="C36" s="17"/>
      <c r="D36" s="32"/>
      <c r="E36" s="19">
        <f>SUM(E26:E35)/60</f>
        <v>78.666666666666671</v>
      </c>
      <c r="F36" s="20">
        <f>E36/60</f>
        <v>1.3111111111111111</v>
      </c>
      <c r="G36" s="21"/>
      <c r="I36" s="51"/>
      <c r="J36" s="52"/>
    </row>
    <row r="37" spans="3:16" x14ac:dyDescent="0.25">
      <c r="C37" s="7">
        <v>31</v>
      </c>
      <c r="D37" s="33" t="s">
        <v>851</v>
      </c>
      <c r="E37" s="16">
        <f>4*60+21</f>
        <v>261</v>
      </c>
      <c r="F37" s="13"/>
      <c r="G37" s="4" t="s">
        <v>850</v>
      </c>
      <c r="I37" s="89">
        <f>E37+I35</f>
        <v>14136</v>
      </c>
      <c r="J37" s="52">
        <f t="shared" si="0"/>
        <v>235.6</v>
      </c>
      <c r="O37" s="63" t="s">
        <v>780</v>
      </c>
    </row>
    <row r="38" spans="3:16" x14ac:dyDescent="0.25">
      <c r="C38" s="6">
        <v>32</v>
      </c>
      <c r="D38" s="31" t="s">
        <v>853</v>
      </c>
      <c r="E38" s="15">
        <f>4*60+18</f>
        <v>258</v>
      </c>
      <c r="F38" s="12"/>
      <c r="G38" s="3" t="s">
        <v>852</v>
      </c>
      <c r="H38" s="92" t="s">
        <v>903</v>
      </c>
      <c r="I38" s="105">
        <f>E38+I37</f>
        <v>14394</v>
      </c>
      <c r="J38" s="54">
        <f t="shared" si="0"/>
        <v>239.9</v>
      </c>
      <c r="O38" s="63" t="s">
        <v>780</v>
      </c>
    </row>
    <row r="39" spans="3:16" x14ac:dyDescent="0.25">
      <c r="C39" s="6">
        <v>33</v>
      </c>
      <c r="D39" s="31" t="s">
        <v>855</v>
      </c>
      <c r="E39" s="15">
        <f>6*60+22</f>
        <v>382</v>
      </c>
      <c r="F39" s="12"/>
      <c r="G39" s="3" t="s">
        <v>854</v>
      </c>
      <c r="I39" s="57">
        <f t="shared" ref="I39:I46" si="4">E39+I38</f>
        <v>14776</v>
      </c>
      <c r="J39" s="56">
        <f t="shared" si="0"/>
        <v>246.26666666666668</v>
      </c>
      <c r="O39" s="63" t="s">
        <v>780</v>
      </c>
    </row>
    <row r="40" spans="3:16" x14ac:dyDescent="0.25">
      <c r="C40" s="6">
        <v>34</v>
      </c>
      <c r="D40" s="31" t="s">
        <v>857</v>
      </c>
      <c r="E40" s="15">
        <f>6*60+49</f>
        <v>409</v>
      </c>
      <c r="F40" s="12"/>
      <c r="G40" s="3" t="s">
        <v>856</v>
      </c>
      <c r="I40" s="57">
        <f t="shared" si="4"/>
        <v>15185</v>
      </c>
      <c r="J40" s="56">
        <f t="shared" si="0"/>
        <v>253.08333333333334</v>
      </c>
      <c r="O40" s="63" t="s">
        <v>780</v>
      </c>
    </row>
    <row r="41" spans="3:16" x14ac:dyDescent="0.25">
      <c r="C41" s="6">
        <v>35</v>
      </c>
      <c r="D41" s="31" t="s">
        <v>859</v>
      </c>
      <c r="E41" s="15">
        <f>3*60+20</f>
        <v>200</v>
      </c>
      <c r="F41" s="12"/>
      <c r="G41" s="3" t="s">
        <v>858</v>
      </c>
      <c r="I41" s="57">
        <f t="shared" si="4"/>
        <v>15385</v>
      </c>
      <c r="J41" s="56">
        <f t="shared" si="0"/>
        <v>256.41666666666669</v>
      </c>
      <c r="O41" s="63" t="s">
        <v>780</v>
      </c>
    </row>
    <row r="42" spans="3:16" x14ac:dyDescent="0.25">
      <c r="C42" s="6">
        <v>36</v>
      </c>
      <c r="D42" s="31" t="s">
        <v>861</v>
      </c>
      <c r="E42" s="15">
        <f>7*60+37</f>
        <v>457</v>
      </c>
      <c r="F42" s="12"/>
      <c r="G42" s="3" t="s">
        <v>860</v>
      </c>
      <c r="I42" s="57">
        <f t="shared" si="4"/>
        <v>15842</v>
      </c>
      <c r="J42" s="56">
        <f t="shared" si="0"/>
        <v>264.03333333333336</v>
      </c>
      <c r="O42" s="63" t="s">
        <v>780</v>
      </c>
    </row>
    <row r="43" spans="3:16" x14ac:dyDescent="0.25">
      <c r="C43" s="6">
        <v>37</v>
      </c>
      <c r="D43" s="31" t="s">
        <v>863</v>
      </c>
      <c r="E43" s="15">
        <f>15*60+9</f>
        <v>909</v>
      </c>
      <c r="F43" s="12"/>
      <c r="G43" s="3" t="s">
        <v>862</v>
      </c>
      <c r="I43" s="57">
        <f t="shared" si="4"/>
        <v>16751</v>
      </c>
      <c r="J43" s="56">
        <f t="shared" si="0"/>
        <v>279.18333333333334</v>
      </c>
      <c r="P43" s="63" t="s">
        <v>780</v>
      </c>
    </row>
    <row r="44" spans="3:16" x14ac:dyDescent="0.25">
      <c r="C44" s="6">
        <v>38</v>
      </c>
      <c r="D44" s="31" t="s">
        <v>865</v>
      </c>
      <c r="E44" s="15">
        <f>8*60+34</f>
        <v>514</v>
      </c>
      <c r="F44" s="12"/>
      <c r="G44" s="3" t="s">
        <v>864</v>
      </c>
      <c r="I44" s="57">
        <f t="shared" si="4"/>
        <v>17265</v>
      </c>
      <c r="J44" s="56">
        <f t="shared" si="0"/>
        <v>287.75</v>
      </c>
      <c r="P44" s="63" t="s">
        <v>780</v>
      </c>
    </row>
    <row r="45" spans="3:16" x14ac:dyDescent="0.25">
      <c r="C45" s="6">
        <v>39</v>
      </c>
      <c r="D45" s="31" t="s">
        <v>867</v>
      </c>
      <c r="E45" s="15">
        <f>12*60+48</f>
        <v>768</v>
      </c>
      <c r="F45" s="12"/>
      <c r="G45" s="3" t="s">
        <v>866</v>
      </c>
      <c r="H45" s="92" t="s">
        <v>906</v>
      </c>
      <c r="I45" s="71">
        <f t="shared" si="4"/>
        <v>18033</v>
      </c>
      <c r="J45" s="66">
        <f t="shared" si="0"/>
        <v>300.55</v>
      </c>
      <c r="P45" s="63" t="s">
        <v>780</v>
      </c>
    </row>
    <row r="46" spans="3:16" x14ac:dyDescent="0.25">
      <c r="C46" s="6">
        <v>40</v>
      </c>
      <c r="D46" s="31" t="s">
        <v>869</v>
      </c>
      <c r="E46" s="15">
        <f>8*60+9</f>
        <v>489</v>
      </c>
      <c r="F46" s="12"/>
      <c r="G46" s="3" t="s">
        <v>868</v>
      </c>
      <c r="I46" s="89">
        <f t="shared" si="4"/>
        <v>18522</v>
      </c>
      <c r="J46" s="52">
        <f t="shared" si="0"/>
        <v>308.7</v>
      </c>
      <c r="P46" s="63" t="s">
        <v>780</v>
      </c>
    </row>
    <row r="47" spans="3:16" ht="15.75" thickBot="1" x14ac:dyDescent="0.3">
      <c r="C47" s="17"/>
      <c r="D47" s="32"/>
      <c r="E47" s="19">
        <f>SUM(E37:E46)/60</f>
        <v>77.45</v>
      </c>
      <c r="F47" s="20">
        <f>E47/60</f>
        <v>1.2908333333333333</v>
      </c>
      <c r="G47" s="21"/>
      <c r="I47" s="89"/>
      <c r="J47" s="52"/>
    </row>
    <row r="48" spans="3:16" x14ac:dyDescent="0.25">
      <c r="C48" s="7">
        <v>41</v>
      </c>
      <c r="D48" s="33" t="s">
        <v>871</v>
      </c>
      <c r="E48" s="16">
        <f>5*60+39</f>
        <v>339</v>
      </c>
      <c r="F48" s="13"/>
      <c r="G48" s="4" t="s">
        <v>870</v>
      </c>
      <c r="I48" s="51">
        <f>E48+I46</f>
        <v>18861</v>
      </c>
      <c r="J48" s="52">
        <f t="shared" si="0"/>
        <v>314.35000000000002</v>
      </c>
      <c r="P48" s="63" t="s">
        <v>780</v>
      </c>
    </row>
    <row r="49" spans="2:16" x14ac:dyDescent="0.25">
      <c r="C49" s="6">
        <v>42</v>
      </c>
      <c r="D49" s="31" t="s">
        <v>873</v>
      </c>
      <c r="E49" s="15">
        <f>7*60+32</f>
        <v>452</v>
      </c>
      <c r="F49" s="12"/>
      <c r="G49" s="3" t="s">
        <v>872</v>
      </c>
      <c r="I49" s="51">
        <f>E49+I48</f>
        <v>19313</v>
      </c>
      <c r="J49" s="52">
        <f t="shared" si="0"/>
        <v>321.88333333333333</v>
      </c>
      <c r="P49" s="63" t="s">
        <v>780</v>
      </c>
    </row>
    <row r="50" spans="2:16" x14ac:dyDescent="0.25">
      <c r="C50" s="6">
        <v>43</v>
      </c>
      <c r="D50" s="31" t="s">
        <v>875</v>
      </c>
      <c r="E50" s="15">
        <f>6*60</f>
        <v>360</v>
      </c>
      <c r="F50" s="12"/>
      <c r="G50" s="3" t="s">
        <v>874</v>
      </c>
      <c r="I50" s="51">
        <f t="shared" ref="I50:I52" si="5">E50+I49</f>
        <v>19673</v>
      </c>
      <c r="J50" s="52">
        <f t="shared" si="0"/>
        <v>327.88333333333333</v>
      </c>
      <c r="P50" s="63" t="s">
        <v>780</v>
      </c>
    </row>
    <row r="51" spans="2:16" x14ac:dyDescent="0.25">
      <c r="C51" s="6">
        <v>44</v>
      </c>
      <c r="D51" s="31" t="s">
        <v>815</v>
      </c>
      <c r="E51" s="15">
        <f>5*60+38</f>
        <v>338</v>
      </c>
      <c r="F51" s="12"/>
      <c r="G51" s="3" t="s">
        <v>876</v>
      </c>
      <c r="I51" s="51">
        <f t="shared" si="5"/>
        <v>20011</v>
      </c>
      <c r="J51" s="52">
        <f t="shared" si="0"/>
        <v>333.51666666666665</v>
      </c>
      <c r="P51" s="63" t="s">
        <v>780</v>
      </c>
    </row>
    <row r="52" spans="2:16" x14ac:dyDescent="0.25">
      <c r="B52" t="s">
        <v>780</v>
      </c>
      <c r="C52" s="6">
        <v>45</v>
      </c>
      <c r="D52" s="31" t="s">
        <v>877</v>
      </c>
      <c r="E52" s="15">
        <f>4*60+56</f>
        <v>296</v>
      </c>
      <c r="F52" s="12"/>
      <c r="G52" s="3" t="s">
        <v>878</v>
      </c>
      <c r="I52" s="51">
        <f t="shared" si="5"/>
        <v>20307</v>
      </c>
      <c r="J52" s="52">
        <f t="shared" si="0"/>
        <v>338.45</v>
      </c>
    </row>
    <row r="53" spans="2:16" x14ac:dyDescent="0.25">
      <c r="B53" t="s">
        <v>780</v>
      </c>
      <c r="C53" s="6">
        <v>46</v>
      </c>
      <c r="D53" s="31" t="s">
        <v>879</v>
      </c>
      <c r="E53" s="15">
        <f>7*60</f>
        <v>420</v>
      </c>
      <c r="F53" s="12"/>
      <c r="G53" s="3" t="s">
        <v>880</v>
      </c>
      <c r="I53" s="51">
        <f>E53+I52</f>
        <v>20727</v>
      </c>
      <c r="J53" s="52">
        <f t="shared" si="0"/>
        <v>345.45</v>
      </c>
    </row>
    <row r="54" spans="2:16" x14ac:dyDescent="0.25">
      <c r="B54" t="s">
        <v>780</v>
      </c>
      <c r="C54" s="6">
        <v>47</v>
      </c>
      <c r="D54" s="31" t="s">
        <v>881</v>
      </c>
      <c r="E54" s="15">
        <f>11*60+21</f>
        <v>681</v>
      </c>
      <c r="F54" s="12"/>
      <c r="G54" s="3" t="s">
        <v>882</v>
      </c>
      <c r="I54" s="95">
        <f t="shared" ref="I54" si="6">E54+I53</f>
        <v>21408</v>
      </c>
      <c r="J54" s="104">
        <f t="shared" si="0"/>
        <v>356.8</v>
      </c>
      <c r="K54" s="102"/>
    </row>
    <row r="55" spans="2:16" x14ac:dyDescent="0.25">
      <c r="B55" t="s">
        <v>780</v>
      </c>
      <c r="C55" s="6">
        <v>48</v>
      </c>
      <c r="D55" s="31" t="s">
        <v>884</v>
      </c>
      <c r="E55" s="15">
        <f>3*60+4</f>
        <v>184</v>
      </c>
      <c r="F55" s="12"/>
      <c r="G55" s="3" t="s">
        <v>883</v>
      </c>
      <c r="H55" s="92" t="s">
        <v>905</v>
      </c>
      <c r="I55" s="53">
        <f t="shared" ref="I55:I57" si="7">E55+I54</f>
        <v>21592</v>
      </c>
      <c r="J55" s="54">
        <f t="shared" ref="J55:J60" si="8">I55/60</f>
        <v>359.86666666666667</v>
      </c>
    </row>
    <row r="56" spans="2:16" x14ac:dyDescent="0.25">
      <c r="C56" s="6">
        <v>49</v>
      </c>
      <c r="D56" s="31" t="s">
        <v>886</v>
      </c>
      <c r="E56" s="15">
        <f>6*60+24</f>
        <v>384</v>
      </c>
      <c r="F56" s="12"/>
      <c r="G56" s="3" t="s">
        <v>885</v>
      </c>
      <c r="I56" s="65">
        <f t="shared" si="7"/>
        <v>21976</v>
      </c>
      <c r="J56" s="69">
        <f t="shared" si="8"/>
        <v>366.26666666666665</v>
      </c>
    </row>
    <row r="57" spans="2:16" x14ac:dyDescent="0.25">
      <c r="C57" s="6">
        <v>50</v>
      </c>
      <c r="D57" s="31" t="s">
        <v>886</v>
      </c>
      <c r="E57" s="15">
        <f>6*60+24</f>
        <v>384</v>
      </c>
      <c r="F57" s="12"/>
      <c r="G57" s="3" t="s">
        <v>887</v>
      </c>
      <c r="I57" s="65">
        <f t="shared" si="7"/>
        <v>22360</v>
      </c>
      <c r="J57" s="69">
        <f t="shared" si="8"/>
        <v>372.66666666666669</v>
      </c>
    </row>
    <row r="58" spans="2:16" ht="15.75" thickBot="1" x14ac:dyDescent="0.3">
      <c r="C58" s="17"/>
      <c r="D58" s="32"/>
      <c r="E58" s="19">
        <f>SUM(E48:E57)/60</f>
        <v>63.966666666666669</v>
      </c>
      <c r="F58" s="20">
        <f>E58/60</f>
        <v>1.0661111111111112</v>
      </c>
      <c r="G58" s="21"/>
      <c r="I58" s="65"/>
      <c r="J58" s="69"/>
    </row>
    <row r="59" spans="2:16" x14ac:dyDescent="0.25">
      <c r="C59" s="7">
        <v>51</v>
      </c>
      <c r="D59" s="33" t="s">
        <v>889</v>
      </c>
      <c r="E59" s="16">
        <f>10*60+23</f>
        <v>623</v>
      </c>
      <c r="F59" s="13"/>
      <c r="G59" s="4" t="s">
        <v>888</v>
      </c>
      <c r="I59" s="65">
        <f>E59+I57</f>
        <v>22983</v>
      </c>
      <c r="J59" s="69">
        <f t="shared" si="8"/>
        <v>383.05</v>
      </c>
    </row>
    <row r="60" spans="2:16" x14ac:dyDescent="0.25">
      <c r="C60" s="6">
        <v>52</v>
      </c>
      <c r="D60" s="31" t="s">
        <v>811</v>
      </c>
      <c r="E60" s="15">
        <f>4*60+57</f>
        <v>297</v>
      </c>
      <c r="F60" s="12"/>
      <c r="G60" s="3" t="s">
        <v>890</v>
      </c>
      <c r="I60" s="65">
        <f>E60+I59</f>
        <v>23280</v>
      </c>
      <c r="J60" s="69">
        <f t="shared" si="8"/>
        <v>388</v>
      </c>
    </row>
    <row r="61" spans="2:16" ht="15.75" thickBot="1" x14ac:dyDescent="0.3">
      <c r="C61" s="17"/>
      <c r="D61" s="32"/>
      <c r="E61" s="19">
        <f>SUM(E59:E60)/60</f>
        <v>15.333333333333334</v>
      </c>
      <c r="F61" s="20">
        <f>E61/60</f>
        <v>0.25555555555555559</v>
      </c>
      <c r="G61" s="21"/>
      <c r="I61" s="106"/>
      <c r="J61" s="107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H10"/>
  <sheetViews>
    <sheetView workbookViewId="0">
      <selection activeCell="G18" sqref="G18"/>
    </sheetView>
  </sheetViews>
  <sheetFormatPr defaultRowHeight="15" x14ac:dyDescent="0.25"/>
  <cols>
    <col min="3" max="3" width="6.140625" customWidth="1"/>
    <col min="7" max="7" width="75" style="1" customWidth="1"/>
  </cols>
  <sheetData>
    <row r="2" spans="3:8" x14ac:dyDescent="0.25">
      <c r="C2" s="1" t="s">
        <v>41</v>
      </c>
      <c r="F2" s="23">
        <f>SUM(E4:E10)/(60*60)</f>
        <v>1.9163888888888889</v>
      </c>
    </row>
    <row r="3" spans="3:8" ht="15.75" thickBot="1" x14ac:dyDescent="0.3">
      <c r="C3" s="1"/>
      <c r="F3" s="23"/>
    </row>
    <row r="4" spans="3:8" x14ac:dyDescent="0.25">
      <c r="C4" s="5">
        <v>1</v>
      </c>
      <c r="D4" s="40" t="s">
        <v>419</v>
      </c>
      <c r="E4" s="14">
        <f>17*60+59</f>
        <v>1079</v>
      </c>
      <c r="F4" s="11"/>
      <c r="G4" s="2" t="s">
        <v>418</v>
      </c>
      <c r="H4" s="25"/>
    </row>
    <row r="5" spans="3:8" x14ac:dyDescent="0.25">
      <c r="C5" s="6">
        <v>2</v>
      </c>
      <c r="D5" s="34" t="s">
        <v>421</v>
      </c>
      <c r="E5" s="15">
        <f>12*60+18</f>
        <v>738</v>
      </c>
      <c r="F5" s="12"/>
      <c r="G5" s="3" t="s">
        <v>420</v>
      </c>
      <c r="H5" s="25"/>
    </row>
    <row r="6" spans="3:8" x14ac:dyDescent="0.25">
      <c r="C6" s="6">
        <v>3</v>
      </c>
      <c r="D6" s="34" t="s">
        <v>423</v>
      </c>
      <c r="E6" s="15">
        <f>14*60+18</f>
        <v>858</v>
      </c>
      <c r="F6" s="12"/>
      <c r="G6" s="3" t="s">
        <v>422</v>
      </c>
      <c r="H6" s="25"/>
    </row>
    <row r="7" spans="3:8" x14ac:dyDescent="0.25">
      <c r="C7" s="6">
        <v>4</v>
      </c>
      <c r="D7" s="34" t="s">
        <v>425</v>
      </c>
      <c r="E7" s="15">
        <f>19*60+50</f>
        <v>1190</v>
      </c>
      <c r="F7" s="12"/>
      <c r="G7" s="3" t="s">
        <v>424</v>
      </c>
      <c r="H7" s="25"/>
    </row>
    <row r="8" spans="3:8" x14ac:dyDescent="0.25">
      <c r="C8" s="6">
        <v>5</v>
      </c>
      <c r="D8" s="34" t="s">
        <v>427</v>
      </c>
      <c r="E8" s="15">
        <f>24*60+7</f>
        <v>1447</v>
      </c>
      <c r="F8" s="12"/>
      <c r="G8" s="3" t="s">
        <v>426</v>
      </c>
      <c r="H8" s="25"/>
    </row>
    <row r="9" spans="3:8" x14ac:dyDescent="0.25">
      <c r="C9" s="6">
        <v>6</v>
      </c>
      <c r="D9" s="34" t="s">
        <v>429</v>
      </c>
      <c r="E9" s="15">
        <f>9*60+34</f>
        <v>574</v>
      </c>
      <c r="F9" s="12"/>
      <c r="G9" s="3" t="s">
        <v>428</v>
      </c>
      <c r="H9" s="25"/>
    </row>
    <row r="10" spans="3:8" ht="15.75" thickBot="1" x14ac:dyDescent="0.3">
      <c r="C10" s="41">
        <v>7</v>
      </c>
      <c r="D10" s="45" t="s">
        <v>431</v>
      </c>
      <c r="E10" s="42">
        <f>16*60+53</f>
        <v>1013</v>
      </c>
      <c r="F10" s="43"/>
      <c r="G10" s="44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J18"/>
  <sheetViews>
    <sheetView workbookViewId="0">
      <selection activeCell="F21" sqref="F21"/>
    </sheetView>
  </sheetViews>
  <sheetFormatPr defaultRowHeight="15" x14ac:dyDescent="0.25"/>
  <cols>
    <col min="3" max="3" width="6.140625" customWidth="1"/>
    <col min="7" max="7" width="89.7109375" style="1" customWidth="1"/>
    <col min="9" max="9" width="4.7109375" style="63" customWidth="1"/>
  </cols>
  <sheetData>
    <row r="2" spans="3:9" x14ac:dyDescent="0.25">
      <c r="C2" s="1" t="s">
        <v>41</v>
      </c>
      <c r="F2" s="23">
        <f>F14+F18</f>
        <v>2.4886111111111111</v>
      </c>
    </row>
    <row r="3" spans="3:9" ht="15.75" thickBot="1" x14ac:dyDescent="0.3">
      <c r="C3" s="1"/>
      <c r="F3" s="23"/>
      <c r="I3" s="115" t="s">
        <v>1333</v>
      </c>
    </row>
    <row r="4" spans="3:9" x14ac:dyDescent="0.25">
      <c r="C4" s="5">
        <v>1</v>
      </c>
      <c r="D4" s="40">
        <v>0.5493055555555556</v>
      </c>
      <c r="E4" s="14">
        <f>13*60+11</f>
        <v>791</v>
      </c>
      <c r="F4" s="11"/>
      <c r="G4" s="2" t="s">
        <v>946</v>
      </c>
      <c r="H4" s="25"/>
      <c r="I4" s="63">
        <v>1</v>
      </c>
    </row>
    <row r="5" spans="3:9" x14ac:dyDescent="0.25">
      <c r="C5" s="6">
        <v>2</v>
      </c>
      <c r="D5" s="34">
        <v>0.47152777777777777</v>
      </c>
      <c r="E5" s="15">
        <f>11*60+11</f>
        <v>671</v>
      </c>
      <c r="F5" s="12"/>
      <c r="G5" s="3" t="s">
        <v>947</v>
      </c>
      <c r="H5" s="25"/>
    </row>
    <row r="6" spans="3:9" x14ac:dyDescent="0.25">
      <c r="C6" s="6">
        <v>3</v>
      </c>
      <c r="D6" s="34" t="s">
        <v>949</v>
      </c>
      <c r="E6" s="15">
        <f>25*60+28</f>
        <v>1528</v>
      </c>
      <c r="F6" s="12"/>
      <c r="G6" s="3" t="s">
        <v>948</v>
      </c>
      <c r="H6" s="25"/>
    </row>
    <row r="7" spans="3:9" x14ac:dyDescent="0.25">
      <c r="C7" s="6">
        <v>4</v>
      </c>
      <c r="D7" s="34">
        <v>0.34861111111111115</v>
      </c>
      <c r="E7" s="15">
        <f>8*60+22</f>
        <v>502</v>
      </c>
      <c r="F7" s="12"/>
      <c r="G7" s="3" t="s">
        <v>950</v>
      </c>
      <c r="H7" s="25"/>
    </row>
    <row r="8" spans="3:9" x14ac:dyDescent="0.25">
      <c r="C8" s="6">
        <v>5</v>
      </c>
      <c r="D8" s="34">
        <v>0.38541666666666669</v>
      </c>
      <c r="E8" s="15">
        <f>9*60+15</f>
        <v>555</v>
      </c>
      <c r="F8" s="12"/>
      <c r="G8" s="3" t="s">
        <v>951</v>
      </c>
      <c r="H8" s="25"/>
    </row>
    <row r="9" spans="3:9" x14ac:dyDescent="0.25">
      <c r="C9" s="6">
        <v>6</v>
      </c>
      <c r="D9" s="34">
        <v>0.33194444444444443</v>
      </c>
      <c r="E9" s="15">
        <f>7*60+58</f>
        <v>478</v>
      </c>
      <c r="F9" s="12"/>
      <c r="G9" s="3" t="s">
        <v>952</v>
      </c>
      <c r="H9" s="25"/>
    </row>
    <row r="10" spans="3:9" x14ac:dyDescent="0.25">
      <c r="C10" s="6">
        <v>7</v>
      </c>
      <c r="D10" s="34">
        <v>0.54999999999999993</v>
      </c>
      <c r="E10" s="15">
        <f>13*60+12</f>
        <v>792</v>
      </c>
      <c r="F10" s="12"/>
      <c r="G10" s="3" t="s">
        <v>953</v>
      </c>
    </row>
    <row r="11" spans="3:9" x14ac:dyDescent="0.25">
      <c r="C11" s="6">
        <v>8</v>
      </c>
      <c r="D11" s="34">
        <v>0.22777777777777777</v>
      </c>
      <c r="E11" s="15">
        <f>5*60+28</f>
        <v>328</v>
      </c>
      <c r="F11" s="12"/>
      <c r="G11" s="3" t="s">
        <v>954</v>
      </c>
    </row>
    <row r="12" spans="3:9" x14ac:dyDescent="0.25">
      <c r="C12" s="6">
        <v>9</v>
      </c>
      <c r="D12" s="34">
        <v>0.67361111111111116</v>
      </c>
      <c r="E12" s="15">
        <f>16*60+10</f>
        <v>970</v>
      </c>
      <c r="F12" s="12"/>
      <c r="G12" s="3" t="s">
        <v>955</v>
      </c>
    </row>
    <row r="13" spans="3:9" x14ac:dyDescent="0.25">
      <c r="C13" s="6">
        <v>10</v>
      </c>
      <c r="D13" s="34">
        <v>0.5083333333333333</v>
      </c>
      <c r="E13" s="15">
        <f>12*60+12</f>
        <v>732</v>
      </c>
      <c r="F13" s="12"/>
      <c r="G13" s="3" t="s">
        <v>956</v>
      </c>
    </row>
    <row r="14" spans="3:9" ht="15.75" thickBot="1" x14ac:dyDescent="0.3">
      <c r="C14" s="17"/>
      <c r="D14" s="36"/>
      <c r="E14" s="19">
        <f>SUM(E4:E13)/60</f>
        <v>122.45</v>
      </c>
      <c r="F14" s="20">
        <f>E14/60</f>
        <v>2.0408333333333335</v>
      </c>
      <c r="G14" s="21"/>
    </row>
    <row r="15" spans="3:9" x14ac:dyDescent="0.25">
      <c r="C15" s="7">
        <v>11</v>
      </c>
      <c r="D15" s="24">
        <v>0.25208333333333333</v>
      </c>
      <c r="E15" s="16">
        <f>6*60+3</f>
        <v>363</v>
      </c>
      <c r="F15" s="13"/>
      <c r="G15" s="4" t="s">
        <v>957</v>
      </c>
    </row>
    <row r="16" spans="3:9" x14ac:dyDescent="0.25">
      <c r="C16" s="6">
        <v>12</v>
      </c>
      <c r="D16" s="34">
        <v>0.41805555555555557</v>
      </c>
      <c r="E16" s="15">
        <f>10*60+2</f>
        <v>602</v>
      </c>
      <c r="F16" s="12"/>
      <c r="G16" s="3" t="s">
        <v>958</v>
      </c>
    </row>
    <row r="17" spans="3:10" x14ac:dyDescent="0.25">
      <c r="C17" s="6">
        <v>13</v>
      </c>
      <c r="D17" s="34">
        <v>0.44930555555555557</v>
      </c>
      <c r="E17" s="15">
        <f>10*60+47</f>
        <v>647</v>
      </c>
      <c r="F17" s="12"/>
      <c r="G17" s="3" t="s">
        <v>959</v>
      </c>
    </row>
    <row r="18" spans="3:10" ht="15.75" thickBot="1" x14ac:dyDescent="0.3">
      <c r="C18" s="17"/>
      <c r="D18" s="36"/>
      <c r="E18" s="19">
        <f>SUM(E15:E17)/60</f>
        <v>26.866666666666667</v>
      </c>
      <c r="F18" s="20">
        <f>E18/60</f>
        <v>0.44777777777777777</v>
      </c>
      <c r="G18" s="21"/>
      <c r="J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Kudvenkat courses</vt:lpstr>
      <vt:lpstr>MVC</vt:lpstr>
      <vt:lpstr>JavaScript</vt:lpstr>
      <vt:lpstr>jQuery</vt:lpstr>
      <vt:lpstr>C#</vt:lpstr>
      <vt:lpstr>ASP.NET</vt:lpstr>
      <vt:lpstr>ASP.NET Web API</vt:lpstr>
      <vt:lpstr>ADO.NET</vt:lpstr>
      <vt:lpstr>Exam 70-533</vt:lpstr>
      <vt:lpstr>WCF</vt:lpstr>
      <vt:lpstr>Entity framwork</vt:lpstr>
      <vt:lpstr>Linq</vt:lpstr>
      <vt:lpstr>ASP.NET webservices</vt:lpstr>
      <vt:lpstr>Angular</vt:lpstr>
      <vt:lpstr>SQL server</vt:lpstr>
      <vt:lpstr>Bootstrap</vt:lpstr>
      <vt:lpstr>Dot Net Basics</vt:lpstr>
      <vt:lpstr>JavaScript with ASP.NET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Jonas</dc:creator>
  <cp:lastModifiedBy>Home</cp:lastModifiedBy>
  <dcterms:created xsi:type="dcterms:W3CDTF">2016-05-19T12:10:58Z</dcterms:created>
  <dcterms:modified xsi:type="dcterms:W3CDTF">2018-09-27T20:50:37Z</dcterms:modified>
</cp:coreProperties>
</file>