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ciej\Documents\GitHub\TEMiWCZ_BLDC_HW\"/>
    </mc:Choice>
  </mc:AlternateContent>
  <xr:revisionPtr revIDLastSave="0" documentId="13_ncr:1_{E7E7A463-50AD-412E-BC66-6CDAE0CCE284}" xr6:coauthVersionLast="47" xr6:coauthVersionMax="47" xr10:uidLastSave="{00000000-0000-0000-0000-000000000000}"/>
  <bookViews>
    <workbookView xWindow="0" yWindow="0" windowWidth="14400" windowHeight="15600" activeTab="3" xr2:uid="{00000000-000D-0000-FFFF-FFFF00000000}"/>
  </bookViews>
  <sheets>
    <sheet name="Arkusz1" sheetId="1" r:id="rId1"/>
    <sheet name="temp" sheetId="2" r:id="rId2"/>
    <sheet name="current meas" sheetId="3" r:id="rId3"/>
    <sheet name="buck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B19" i="3"/>
  <c r="B15" i="3"/>
  <c r="B17" i="3" s="1"/>
  <c r="B14" i="3"/>
  <c r="J32" i="2"/>
  <c r="I32" i="2"/>
  <c r="H32" i="2"/>
  <c r="H31" i="2"/>
  <c r="J31" i="2" s="1"/>
  <c r="H30" i="2"/>
  <c r="J30" i="2" s="1"/>
  <c r="K30" i="2" s="1"/>
  <c r="J29" i="2"/>
  <c r="I29" i="2"/>
  <c r="H29" i="2"/>
  <c r="H28" i="2"/>
  <c r="J28" i="2" s="1"/>
  <c r="B28" i="2"/>
  <c r="B29" i="2" s="1"/>
  <c r="H27" i="2"/>
  <c r="J27" i="2" s="1"/>
  <c r="H26" i="2"/>
  <c r="I26" i="2" s="1"/>
  <c r="B26" i="2"/>
  <c r="H25" i="2"/>
  <c r="J25" i="2" s="1"/>
  <c r="H24" i="2"/>
  <c r="I24" i="2" s="1"/>
  <c r="B24" i="2"/>
  <c r="H23" i="2"/>
  <c r="I23" i="2" s="1"/>
  <c r="B23" i="2"/>
  <c r="J22" i="2"/>
  <c r="H22" i="2"/>
  <c r="I22" i="2" s="1"/>
  <c r="H21" i="2"/>
  <c r="I21" i="2" s="1"/>
  <c r="H20" i="2"/>
  <c r="J20" i="2" s="1"/>
  <c r="H19" i="2"/>
  <c r="J19" i="2" s="1"/>
  <c r="K19" i="2" s="1"/>
  <c r="J18" i="2"/>
  <c r="H18" i="2"/>
  <c r="I18" i="2" s="1"/>
  <c r="H17" i="2"/>
  <c r="J17" i="2" s="1"/>
  <c r="H16" i="2"/>
  <c r="J16" i="2" s="1"/>
  <c r="H15" i="2"/>
  <c r="J15" i="2" s="1"/>
  <c r="K15" i="2" s="1"/>
  <c r="J14" i="2"/>
  <c r="H14" i="2"/>
  <c r="I14" i="2" s="1"/>
  <c r="H13" i="2"/>
  <c r="I13" i="2" s="1"/>
  <c r="H12" i="2"/>
  <c r="J12" i="2" s="1"/>
  <c r="K12" i="2" s="1"/>
  <c r="H11" i="2"/>
  <c r="J11" i="2" s="1"/>
  <c r="K11" i="2" s="1"/>
  <c r="J10" i="2"/>
  <c r="H10" i="2"/>
  <c r="I10" i="2" s="1"/>
  <c r="H9" i="2"/>
  <c r="J9" i="2" s="1"/>
  <c r="H8" i="2"/>
  <c r="J8" i="2" s="1"/>
  <c r="H7" i="2"/>
  <c r="J7" i="2" s="1"/>
  <c r="K7" i="2" s="1"/>
  <c r="J6" i="2"/>
  <c r="H6" i="2"/>
  <c r="I6" i="2" s="1"/>
  <c r="H5" i="2"/>
  <c r="J5" i="2" s="1"/>
  <c r="K5" i="2" s="1"/>
  <c r="H4" i="2"/>
  <c r="J4" i="2" s="1"/>
  <c r="K4" i="2" s="1"/>
  <c r="B4" i="2"/>
  <c r="B5" i="2" s="1"/>
  <c r="J3" i="2"/>
  <c r="I3" i="2"/>
  <c r="H3" i="2"/>
  <c r="H2" i="2"/>
  <c r="J2" i="2" s="1"/>
  <c r="P5" i="1"/>
  <c r="L16" i="1"/>
  <c r="I16" i="1"/>
  <c r="L7" i="1"/>
  <c r="P4" i="1"/>
  <c r="P10" i="1" s="1"/>
  <c r="P11" i="1" s="1"/>
  <c r="L9" i="1"/>
  <c r="L5" i="1"/>
  <c r="L4" i="1"/>
  <c r="C6" i="1"/>
  <c r="B20" i="3" l="1"/>
  <c r="K25" i="2"/>
  <c r="K3" i="2"/>
  <c r="K16" i="2"/>
  <c r="K17" i="2"/>
  <c r="K28" i="2"/>
  <c r="K18" i="2"/>
  <c r="K6" i="2"/>
  <c r="K20" i="2"/>
  <c r="K8" i="2"/>
  <c r="K9" i="2"/>
  <c r="K31" i="2"/>
  <c r="K22" i="2"/>
  <c r="K10" i="2"/>
  <c r="K29" i="2"/>
  <c r="K32" i="2"/>
  <c r="I30" i="2"/>
  <c r="I31" i="2"/>
  <c r="I28" i="2"/>
  <c r="I9" i="2"/>
  <c r="I17" i="2"/>
  <c r="J13" i="2"/>
  <c r="K13" i="2" s="1"/>
  <c r="J21" i="2"/>
  <c r="K21" i="2" s="1"/>
  <c r="I7" i="2"/>
  <c r="I15" i="2"/>
  <c r="I19" i="2"/>
  <c r="J26" i="2"/>
  <c r="K26" i="2" s="1"/>
  <c r="C4" i="2"/>
  <c r="J23" i="2"/>
  <c r="K23" i="2" s="1"/>
  <c r="I4" i="2"/>
  <c r="I16" i="2"/>
  <c r="J24" i="2"/>
  <c r="I2" i="2"/>
  <c r="I25" i="2"/>
  <c r="I11" i="2"/>
  <c r="I27" i="2"/>
  <c r="I8" i="2"/>
  <c r="I12" i="2"/>
  <c r="I20" i="2"/>
  <c r="I5" i="2"/>
  <c r="L10" i="1"/>
  <c r="K27" i="2" l="1"/>
  <c r="K24" i="2"/>
  <c r="K14" i="2"/>
  <c r="K34" i="2" s="1"/>
</calcChain>
</file>

<file path=xl/sharedStrings.xml><?xml version="1.0" encoding="utf-8"?>
<sst xmlns="http://schemas.openxmlformats.org/spreadsheetml/2006/main" count="92" uniqueCount="72">
  <si>
    <t>Qg</t>
  </si>
  <si>
    <t>tr</t>
  </si>
  <si>
    <t>td_off</t>
  </si>
  <si>
    <t>IGBT</t>
  </si>
  <si>
    <t>tf</t>
  </si>
  <si>
    <t>td_on</t>
  </si>
  <si>
    <t>założenia</t>
  </si>
  <si>
    <t>VCC</t>
  </si>
  <si>
    <t>I</t>
  </si>
  <si>
    <t>V</t>
  </si>
  <si>
    <t>A</t>
  </si>
  <si>
    <t>F</t>
  </si>
  <si>
    <t>s</t>
  </si>
  <si>
    <t>Tmin</t>
  </si>
  <si>
    <t>fmax</t>
  </si>
  <si>
    <t>Hz</t>
  </si>
  <si>
    <t>Ig_max</t>
  </si>
  <si>
    <t>Ice_max</t>
  </si>
  <si>
    <t>Rce</t>
  </si>
  <si>
    <t>Ohm</t>
  </si>
  <si>
    <t>W</t>
  </si>
  <si>
    <t>Vge_max</t>
  </si>
  <si>
    <t>Rth</t>
  </si>
  <si>
    <t>K/W</t>
  </si>
  <si>
    <t>Tj</t>
  </si>
  <si>
    <t>Vce_sat</t>
  </si>
  <si>
    <t>P_cond_loss</t>
  </si>
  <si>
    <t>P_sw_loss</t>
  </si>
  <si>
    <t>f</t>
  </si>
  <si>
    <t>Ets</t>
  </si>
  <si>
    <t>J</t>
  </si>
  <si>
    <t>P_cond_frd</t>
  </si>
  <si>
    <t>P_sw_frd</t>
  </si>
  <si>
    <t>total_loss(6igbt)</t>
  </si>
  <si>
    <t>Pout</t>
  </si>
  <si>
    <t>eficiency</t>
  </si>
  <si>
    <t>r_gate_min</t>
  </si>
  <si>
    <t>gate driver</t>
  </si>
  <si>
    <t xml:space="preserve">DRV8301 </t>
  </si>
  <si>
    <t>Q</t>
  </si>
  <si>
    <t>trise</t>
  </si>
  <si>
    <t>Ig</t>
  </si>
  <si>
    <t>R1</t>
  </si>
  <si>
    <t>temp</t>
  </si>
  <si>
    <t>r</t>
  </si>
  <si>
    <t>kOhm</t>
  </si>
  <si>
    <t>uout</t>
  </si>
  <si>
    <t>dout</t>
  </si>
  <si>
    <t>Rt</t>
  </si>
  <si>
    <t>vcc</t>
  </si>
  <si>
    <t>i</t>
  </si>
  <si>
    <t>P</t>
  </si>
  <si>
    <t>beta</t>
  </si>
  <si>
    <t>t0</t>
  </si>
  <si>
    <t>temp ed</t>
  </si>
  <si>
    <t>umax</t>
  </si>
  <si>
    <t>gain</t>
  </si>
  <si>
    <t>min volt diff</t>
  </si>
  <si>
    <t>min i diff</t>
  </si>
  <si>
    <t>min dif</t>
  </si>
  <si>
    <t>https://www.ti.com/lit/an/slva477b/slva477b.pdf?ts=1742961983487&amp;ref_url=https%253A%252F%252Fwww.google.com%252F</t>
  </si>
  <si>
    <t>TI BUCK GUIDES</t>
  </si>
  <si>
    <t>https://www.ti.com/lit/ds/symlink/lmr51610.pdf?ts=1744201861273&amp;ref_url=https%253A%252F%252Fwww.ti.com%252Fproduct%252FLMR51610%253FkeyMatch%253Dlm51610%2526tisearch%253Duniversal_search</t>
  </si>
  <si>
    <t>https://www.mouser.pl/ProductDetail/Texas-Instruments/LMR51610YDBVR?qs=sGAEpiMZZMvAX9OfPh%252B2NSM3AxpIzmi00gYVKQJvqx%2F6GBd8VBMoTw%3D%3D</t>
  </si>
  <si>
    <t>LMR51610YDBVR</t>
  </si>
  <si>
    <t>I_OUT</t>
  </si>
  <si>
    <t>V_OUT</t>
  </si>
  <si>
    <t>V_IN</t>
  </si>
  <si>
    <t>L_MIN</t>
  </si>
  <si>
    <t>F_SW</t>
  </si>
  <si>
    <t>K_IND</t>
  </si>
  <si>
    <t>R_FBT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</si>
</sst>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4" formatCode="_-* #,##0.000000000000_-;\-* #,##0.00000000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1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9" fontId="0" fillId="0" borderId="0" xfId="1" applyFont="1"/>
    <xf numFmtId="0" fontId="0" fillId="0" borderId="7" xfId="0" applyBorder="1"/>
    <xf numFmtId="11" fontId="0" fillId="0" borderId="8" xfId="0" applyNumberFormat="1" applyBorder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3"/>
    <xf numFmtId="0" fontId="5" fillId="0" borderId="0" xfId="3" applyFont="1"/>
    <xf numFmtId="0" fontId="0" fillId="0" borderId="0" xfId="0" applyAlignment="1">
      <alignment horizontal="right"/>
    </xf>
    <xf numFmtId="174" fontId="0" fillId="0" borderId="0" xfId="2" applyNumberFormat="1" applyFont="1"/>
  </cellXfs>
  <cellStyles count="4">
    <cellStyle name="Dziesiętny" xfId="2" builtinId="3"/>
    <cellStyle name="Hiperłącze" xfId="3" builtinId="8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[1]Arkusz1!$J$1</c:f>
              <c:strCache>
                <c:ptCount val="1"/>
                <c:pt idx="0">
                  <c:v>uout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[1]Arkusz1!$G$2:$G$32</c:f>
              <c:numCache>
                <c:formatCode>General</c:formatCode>
                <c:ptCount val="3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</c:numCache>
            </c:numRef>
          </c:cat>
          <c:val>
            <c:numRef>
              <c:f>[1]Arkusz1!$J$2:$J$32</c:f>
              <c:numCache>
                <c:formatCode>General</c:formatCode>
                <c:ptCount val="31"/>
                <c:pt idx="0">
                  <c:v>3.2352384479134706</c:v>
                </c:pt>
                <c:pt idx="1">
                  <c:v>3.2128946372542524</c:v>
                </c:pt>
                <c:pt idx="2">
                  <c:v>3.1844137103615688</c:v>
                </c:pt>
                <c:pt idx="3">
                  <c:v>3.1486438299697053</c:v>
                </c:pt>
                <c:pt idx="4">
                  <c:v>3.1043930865505431</c:v>
                </c:pt>
                <c:pt idx="5">
                  <c:v>3.0504940831543346</c:v>
                </c:pt>
                <c:pt idx="6">
                  <c:v>2.9858885422966739</c:v>
                </c:pt>
                <c:pt idx="7">
                  <c:v>2.9097283274643</c:v>
                </c:pt>
                <c:pt idx="8">
                  <c:v>2.821484674233258</c:v>
                </c:pt>
                <c:pt idx="9">
                  <c:v>2.7210526315789472</c:v>
                </c:pt>
                <c:pt idx="10">
                  <c:v>2.6088341118192102</c:v>
                </c:pt>
                <c:pt idx="11">
                  <c:v>2.4857822012261335</c:v>
                </c:pt>
                <c:pt idx="12">
                  <c:v>2.3533928041709387</c:v>
                </c:pt>
                <c:pt idx="13">
                  <c:v>2.2136374729238422</c:v>
                </c:pt>
                <c:pt idx="14">
                  <c:v>2.0688419873731188</c:v>
                </c:pt>
                <c:pt idx="15">
                  <c:v>1.9215260518459123</c:v>
                </c:pt>
                <c:pt idx="16">
                  <c:v>1.7742271052871876</c:v>
                </c:pt>
                <c:pt idx="17">
                  <c:v>1.629333375578784</c:v>
                </c:pt>
                <c:pt idx="18">
                  <c:v>1.4889475674422539</c:v>
                </c:pt>
                <c:pt idx="19">
                  <c:v>1.3547945752429937</c:v>
                </c:pt>
                <c:pt idx="20">
                  <c:v>1.2281771204394902</c:v>
                </c:pt>
                <c:pt idx="21">
                  <c:v>1.1099749155794145</c:v>
                </c:pt>
                <c:pt idx="22">
                  <c:v>1.0006775400942014</c:v>
                </c:pt>
                <c:pt idx="23">
                  <c:v>0.90043908555385799</c:v>
                </c:pt>
                <c:pt idx="24">
                  <c:v>0.80914320318389032</c:v>
                </c:pt>
                <c:pt idx="25">
                  <c:v>0.72646941583618996</c:v>
                </c:pt>
                <c:pt idx="26">
                  <c:v>0.65195440459246712</c:v>
                </c:pt>
                <c:pt idx="27">
                  <c:v>0.58504469291222438</c:v>
                </c:pt>
                <c:pt idx="28">
                  <c:v>0.52513932143561037</c:v>
                </c:pt>
                <c:pt idx="29">
                  <c:v>0.47162261141513984</c:v>
                </c:pt>
                <c:pt idx="30">
                  <c:v>0.42388800956189304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7-431E-A556-EBDC17E6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64800"/>
        <c:axId val="824066720"/>
      </c:lineChart>
      <c:catAx>
        <c:axId val="8240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</a:t>
                </a:r>
              </a:p>
            </c:rich>
          </c:tx>
          <c:layout>
            <c:manualLayout>
              <c:xMode val="edge"/>
              <c:yMode val="edge"/>
              <c:x val="0.49126100201330253"/>
              <c:y val="0.8914905202067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6720"/>
        <c:crosses val="autoZero"/>
        <c:auto val="1"/>
        <c:lblAlgn val="ctr"/>
        <c:lblOffset val="100"/>
        <c:noMultiLvlLbl val="0"/>
      </c:catAx>
      <c:valAx>
        <c:axId val="8240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4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9525</xdr:rowOff>
    </xdr:from>
    <xdr:to>
      <xdr:col>19</xdr:col>
      <xdr:colOff>495300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B96CE1-3169-4D50-967F-0A05F9964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>
        <row r="1">
          <cell r="J1" t="str">
            <v>uout</v>
          </cell>
        </row>
        <row r="2">
          <cell r="G2">
            <v>-20</v>
          </cell>
          <cell r="J2">
            <v>3.2352384479134706</v>
          </cell>
        </row>
        <row r="3">
          <cell r="G3">
            <v>-15</v>
          </cell>
          <cell r="J3">
            <v>3.2128946372542524</v>
          </cell>
        </row>
        <row r="4">
          <cell r="G4">
            <v>-10</v>
          </cell>
          <cell r="J4">
            <v>3.1844137103615688</v>
          </cell>
        </row>
        <row r="5">
          <cell r="G5">
            <v>-5</v>
          </cell>
          <cell r="J5">
            <v>3.1486438299697053</v>
          </cell>
        </row>
        <row r="6">
          <cell r="G6">
            <v>0</v>
          </cell>
          <cell r="J6">
            <v>3.1043930865505431</v>
          </cell>
        </row>
        <row r="7">
          <cell r="G7">
            <v>5</v>
          </cell>
          <cell r="J7">
            <v>3.0504940831543346</v>
          </cell>
        </row>
        <row r="8">
          <cell r="G8">
            <v>10</v>
          </cell>
          <cell r="J8">
            <v>2.9858885422966739</v>
          </cell>
        </row>
        <row r="9">
          <cell r="G9">
            <v>15</v>
          </cell>
          <cell r="J9">
            <v>2.9097283274643</v>
          </cell>
        </row>
        <row r="10">
          <cell r="G10">
            <v>20</v>
          </cell>
          <cell r="J10">
            <v>2.821484674233258</v>
          </cell>
        </row>
        <row r="11">
          <cell r="G11">
            <v>25</v>
          </cell>
          <cell r="J11">
            <v>2.7210526315789472</v>
          </cell>
        </row>
        <row r="12">
          <cell r="G12">
            <v>30</v>
          </cell>
          <cell r="J12">
            <v>2.6088341118192102</v>
          </cell>
        </row>
        <row r="13">
          <cell r="G13">
            <v>35</v>
          </cell>
          <cell r="J13">
            <v>2.4857822012261335</v>
          </cell>
        </row>
        <row r="14">
          <cell r="G14">
            <v>40</v>
          </cell>
          <cell r="J14">
            <v>2.3533928041709387</v>
          </cell>
        </row>
        <row r="15">
          <cell r="G15">
            <v>45</v>
          </cell>
          <cell r="J15">
            <v>2.2136374729238422</v>
          </cell>
        </row>
        <row r="16">
          <cell r="G16">
            <v>50</v>
          </cell>
          <cell r="J16">
            <v>2.0688419873731188</v>
          </cell>
        </row>
        <row r="17">
          <cell r="G17">
            <v>55</v>
          </cell>
          <cell r="J17">
            <v>1.9215260518459123</v>
          </cell>
        </row>
        <row r="18">
          <cell r="G18">
            <v>60</v>
          </cell>
          <cell r="J18">
            <v>1.7742271052871876</v>
          </cell>
        </row>
        <row r="19">
          <cell r="G19">
            <v>65</v>
          </cell>
          <cell r="J19">
            <v>1.629333375578784</v>
          </cell>
        </row>
        <row r="20">
          <cell r="G20">
            <v>70</v>
          </cell>
          <cell r="J20">
            <v>1.4889475674422539</v>
          </cell>
        </row>
        <row r="21">
          <cell r="G21">
            <v>75</v>
          </cell>
          <cell r="J21">
            <v>1.3547945752429937</v>
          </cell>
        </row>
        <row r="22">
          <cell r="G22">
            <v>80</v>
          </cell>
          <cell r="J22">
            <v>1.2281771204394902</v>
          </cell>
        </row>
        <row r="23">
          <cell r="G23">
            <v>85</v>
          </cell>
          <cell r="J23">
            <v>1.1099749155794145</v>
          </cell>
        </row>
        <row r="24">
          <cell r="G24">
            <v>90</v>
          </cell>
          <cell r="J24">
            <v>1.0006775400942014</v>
          </cell>
        </row>
        <row r="25">
          <cell r="G25">
            <v>95</v>
          </cell>
          <cell r="J25">
            <v>0.90043908555385799</v>
          </cell>
        </row>
        <row r="26">
          <cell r="G26">
            <v>100</v>
          </cell>
          <cell r="J26">
            <v>0.80914320318389032</v>
          </cell>
        </row>
        <row r="27">
          <cell r="G27">
            <v>105</v>
          </cell>
          <cell r="J27">
            <v>0.72646941583618996</v>
          </cell>
        </row>
        <row r="28">
          <cell r="G28">
            <v>110</v>
          </cell>
          <cell r="J28">
            <v>0.65195440459246712</v>
          </cell>
        </row>
        <row r="29">
          <cell r="G29">
            <v>115</v>
          </cell>
          <cell r="J29">
            <v>0.58504469291222438</v>
          </cell>
        </row>
        <row r="30">
          <cell r="G30">
            <v>120</v>
          </cell>
          <cell r="J30">
            <v>0.52513932143561037</v>
          </cell>
        </row>
        <row r="31">
          <cell r="G31">
            <v>125</v>
          </cell>
          <cell r="J31">
            <v>0.47162261141513984</v>
          </cell>
        </row>
        <row r="32">
          <cell r="G32">
            <v>130</v>
          </cell>
          <cell r="J32">
            <v>0.42388800956189304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pl/ProductDetail/Texas-Instruments/LMR51610YDBVR?qs=sGAEpiMZZMvAX9OfPh%252B2NSM3AxpIzmi00gYVKQJvqx%2F6GBd8VBMoT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opLeftCell="B1" zoomScale="190" zoomScaleNormal="190" workbookViewId="0">
      <selection activeCell="E19" sqref="E19"/>
    </sheetView>
  </sheetViews>
  <sheetFormatPr defaultRowHeight="15" x14ac:dyDescent="0.25"/>
  <cols>
    <col min="9" max="9" width="6.28515625" customWidth="1"/>
    <col min="13" max="13" width="5.7109375" customWidth="1"/>
    <col min="15" max="15" width="15.42578125" customWidth="1"/>
    <col min="16" max="16" width="5.7109375" customWidth="1"/>
  </cols>
  <sheetData>
    <row r="2" spans="2:17" ht="15.75" thickBot="1" x14ac:dyDescent="0.3"/>
    <row r="3" spans="2:17" ht="15.75" thickBot="1" x14ac:dyDescent="0.3">
      <c r="B3" s="2" t="s">
        <v>6</v>
      </c>
      <c r="C3" s="4"/>
      <c r="G3" t="s">
        <v>3</v>
      </c>
    </row>
    <row r="4" spans="2:17" x14ac:dyDescent="0.25">
      <c r="B4" s="5" t="s">
        <v>7</v>
      </c>
      <c r="C4" s="6">
        <v>48</v>
      </c>
      <c r="G4" s="2" t="s">
        <v>21</v>
      </c>
      <c r="H4" s="3">
        <v>15</v>
      </c>
      <c r="I4" s="4" t="s">
        <v>9</v>
      </c>
      <c r="K4" s="2" t="s">
        <v>13</v>
      </c>
      <c r="L4" s="10">
        <f>SUM(H7:H10)</f>
        <v>2.1300000000000001E-7</v>
      </c>
      <c r="M4" s="4" t="s">
        <v>12</v>
      </c>
      <c r="O4" t="s">
        <v>26</v>
      </c>
      <c r="P4">
        <f>L8*H5</f>
        <v>42</v>
      </c>
      <c r="Q4" t="s">
        <v>20</v>
      </c>
    </row>
    <row r="5" spans="2:17" x14ac:dyDescent="0.25">
      <c r="B5" s="5" t="s">
        <v>8</v>
      </c>
      <c r="C5" s="6">
        <v>20</v>
      </c>
      <c r="G5" s="5" t="s">
        <v>17</v>
      </c>
      <c r="H5">
        <v>20</v>
      </c>
      <c r="I5" s="6" t="s">
        <v>10</v>
      </c>
      <c r="K5" s="5" t="s">
        <v>14</v>
      </c>
      <c r="L5" s="1">
        <f>1/L4</f>
        <v>4694835.6807511738</v>
      </c>
      <c r="M5" s="6" t="s">
        <v>15</v>
      </c>
      <c r="O5" t="s">
        <v>27</v>
      </c>
      <c r="P5" s="1">
        <f>C7*H11</f>
        <v>4.4000000000000004</v>
      </c>
      <c r="Q5" t="s">
        <v>20</v>
      </c>
    </row>
    <row r="6" spans="2:17" ht="15.75" thickBot="1" x14ac:dyDescent="0.3">
      <c r="B6" s="5" t="s">
        <v>34</v>
      </c>
      <c r="C6" s="6">
        <f>C4*C5</f>
        <v>960</v>
      </c>
      <c r="G6" s="7" t="s">
        <v>0</v>
      </c>
      <c r="H6" s="8">
        <v>4.8E-8</v>
      </c>
      <c r="I6" s="9" t="s">
        <v>11</v>
      </c>
      <c r="K6" s="5" t="s">
        <v>36</v>
      </c>
      <c r="L6">
        <v>10</v>
      </c>
      <c r="M6" s="6" t="s">
        <v>19</v>
      </c>
    </row>
    <row r="7" spans="2:17" ht="15.75" thickBot="1" x14ac:dyDescent="0.3">
      <c r="B7" s="7" t="s">
        <v>28</v>
      </c>
      <c r="C7" s="17">
        <v>20000</v>
      </c>
      <c r="G7" s="2" t="s">
        <v>5</v>
      </c>
      <c r="H7" s="10">
        <v>2E-8</v>
      </c>
      <c r="I7" s="4" t="s">
        <v>12</v>
      </c>
      <c r="K7" s="7" t="s">
        <v>16</v>
      </c>
      <c r="L7" s="16">
        <f>H4/L6</f>
        <v>1.5</v>
      </c>
      <c r="M7" s="9" t="s">
        <v>10</v>
      </c>
      <c r="O7" t="s">
        <v>31</v>
      </c>
    </row>
    <row r="8" spans="2:17" ht="15.75" thickBot="1" x14ac:dyDescent="0.3">
      <c r="G8" s="5" t="s">
        <v>1</v>
      </c>
      <c r="H8" s="1">
        <v>1.0999999999999999E-8</v>
      </c>
      <c r="I8" s="6" t="s">
        <v>12</v>
      </c>
      <c r="K8" s="11" t="s">
        <v>25</v>
      </c>
      <c r="L8" s="12">
        <v>2.1</v>
      </c>
      <c r="M8" s="13" t="s">
        <v>9</v>
      </c>
      <c r="O8" t="s">
        <v>32</v>
      </c>
    </row>
    <row r="9" spans="2:17" x14ac:dyDescent="0.25">
      <c r="G9" s="5" t="s">
        <v>2</v>
      </c>
      <c r="H9" s="1">
        <v>1.6500000000000001E-7</v>
      </c>
      <c r="I9" s="6" t="s">
        <v>12</v>
      </c>
      <c r="K9" s="2" t="s">
        <v>18</v>
      </c>
      <c r="L9" s="3">
        <f>L8/H5</f>
        <v>0.10500000000000001</v>
      </c>
      <c r="M9" s="4" t="s">
        <v>19</v>
      </c>
    </row>
    <row r="10" spans="2:17" ht="15.75" thickBot="1" x14ac:dyDescent="0.3">
      <c r="G10" s="7" t="s">
        <v>4</v>
      </c>
      <c r="H10" s="8">
        <v>1.7E-8</v>
      </c>
      <c r="I10" s="9" t="s">
        <v>12</v>
      </c>
      <c r="K10" s="7" t="s">
        <v>24</v>
      </c>
      <c r="L10" s="16">
        <f>P4*H12</f>
        <v>50.4</v>
      </c>
      <c r="M10" s="9"/>
      <c r="O10" t="s">
        <v>33</v>
      </c>
      <c r="P10">
        <f>(P4+P5)*6</f>
        <v>278.39999999999998</v>
      </c>
    </row>
    <row r="11" spans="2:17" ht="15.75" thickBot="1" x14ac:dyDescent="0.3">
      <c r="G11" s="11" t="s">
        <v>29</v>
      </c>
      <c r="H11" s="14">
        <v>2.2000000000000001E-4</v>
      </c>
      <c r="I11" s="13" t="s">
        <v>30</v>
      </c>
      <c r="O11" t="s">
        <v>35</v>
      </c>
      <c r="P11" s="15">
        <f>C6/(C6+P10)</f>
        <v>0.77519379844961234</v>
      </c>
    </row>
    <row r="12" spans="2:17" x14ac:dyDescent="0.25">
      <c r="G12" t="s">
        <v>22</v>
      </c>
      <c r="H12" s="1">
        <v>1.2</v>
      </c>
      <c r="I12" t="s">
        <v>23</v>
      </c>
    </row>
    <row r="15" spans="2:17" x14ac:dyDescent="0.25">
      <c r="H15" t="s">
        <v>39</v>
      </c>
      <c r="I15" s="1">
        <v>6.2000000000000001E-9</v>
      </c>
    </row>
    <row r="16" spans="2:17" x14ac:dyDescent="0.25">
      <c r="H16" t="s">
        <v>40</v>
      </c>
      <c r="I16">
        <f>0.000000004</f>
        <v>4.0000000000000002E-9</v>
      </c>
      <c r="K16" t="s">
        <v>41</v>
      </c>
      <c r="L16">
        <f>I15/I16</f>
        <v>1.5499999999999998</v>
      </c>
    </row>
    <row r="21" spans="2:3" x14ac:dyDescent="0.25">
      <c r="B21" t="s">
        <v>37</v>
      </c>
      <c r="C2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156-81CB-46C4-9854-CFE67F82DA4A}">
  <dimension ref="A1:K34"/>
  <sheetViews>
    <sheetView workbookViewId="0">
      <selection activeCell="J35" sqref="J35"/>
    </sheetView>
  </sheetViews>
  <sheetFormatPr defaultRowHeight="15" x14ac:dyDescent="0.25"/>
  <cols>
    <col min="2" max="2" width="11.140625" customWidth="1"/>
    <col min="3" max="3" width="12" bestFit="1" customWidth="1"/>
    <col min="11" max="11" width="9.42578125" bestFit="1" customWidth="1"/>
  </cols>
  <sheetData>
    <row r="1" spans="1:11" x14ac:dyDescent="0.25">
      <c r="A1" t="s">
        <v>42</v>
      </c>
      <c r="B1" s="1">
        <v>10000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s="1">
        <v>47000</v>
      </c>
      <c r="G2">
        <v>-20</v>
      </c>
      <c r="H2" s="1">
        <f>$B$2*EXP($B$6*(1/(G2+273)-1/($B$7+273)))</f>
        <v>499561.59846057848</v>
      </c>
      <c r="I2">
        <f>H2/1000</f>
        <v>499.56159846057847</v>
      </c>
      <c r="J2" s="18">
        <f>$B$3*H2/($B$1+H2)</f>
        <v>3.2352384479134706</v>
      </c>
    </row>
    <row r="3" spans="1:11" x14ac:dyDescent="0.25">
      <c r="A3" t="s">
        <v>49</v>
      </c>
      <c r="B3">
        <v>3.3</v>
      </c>
      <c r="G3">
        <v>-15</v>
      </c>
      <c r="H3" s="1">
        <f t="shared" ref="H3:H32" si="0">$B$2*EXP($B$6*(1/(G3+273)-1/($B$7+273)))</f>
        <v>368851.53060350643</v>
      </c>
      <c r="I3">
        <f t="shared" ref="I3:I32" si="1">H3/1000</f>
        <v>368.85153060350643</v>
      </c>
      <c r="J3" s="18">
        <f t="shared" ref="J3:J32" si="2">$B$3*H3/($B$1+H3)</f>
        <v>3.2128946372542524</v>
      </c>
      <c r="K3" s="18">
        <f>ABS(J3-J2)</f>
        <v>2.23438106592182E-2</v>
      </c>
    </row>
    <row r="4" spans="1:11" x14ac:dyDescent="0.25">
      <c r="A4" t="s">
        <v>50</v>
      </c>
      <c r="B4" s="1">
        <f>B3/(B1+B2)</f>
        <v>5.789473684210526E-5</v>
      </c>
      <c r="C4">
        <f>B4*1000</f>
        <v>5.7894736842105263E-2</v>
      </c>
      <c r="G4">
        <v>-10</v>
      </c>
      <c r="H4" s="1">
        <f t="shared" si="0"/>
        <v>275500.98894279118</v>
      </c>
      <c r="I4">
        <f t="shared" si="1"/>
        <v>275.5009889427912</v>
      </c>
      <c r="J4" s="18">
        <f t="shared" si="2"/>
        <v>3.1844137103615688</v>
      </c>
      <c r="K4" s="18">
        <f t="shared" ref="K4:K32" si="3">ABS(J4-J3)</f>
        <v>2.8480926892683556E-2</v>
      </c>
    </row>
    <row r="5" spans="1:11" x14ac:dyDescent="0.25">
      <c r="A5" t="s">
        <v>51</v>
      </c>
      <c r="B5">
        <f>B4*B2</f>
        <v>2.7210526315789472</v>
      </c>
      <c r="G5">
        <v>-5</v>
      </c>
      <c r="H5" s="1">
        <f t="shared" si="0"/>
        <v>208028.7727510212</v>
      </c>
      <c r="I5">
        <f t="shared" si="1"/>
        <v>208.02877275102119</v>
      </c>
      <c r="J5" s="18">
        <f t="shared" si="2"/>
        <v>3.1486438299697053</v>
      </c>
      <c r="K5" s="18">
        <f t="shared" si="3"/>
        <v>3.5769880391863573E-2</v>
      </c>
    </row>
    <row r="6" spans="1:11" x14ac:dyDescent="0.25">
      <c r="A6" t="s">
        <v>52</v>
      </c>
      <c r="B6">
        <v>3960</v>
      </c>
      <c r="G6">
        <v>0</v>
      </c>
      <c r="H6" s="1">
        <f t="shared" si="0"/>
        <v>158705.69356704748</v>
      </c>
      <c r="I6">
        <f t="shared" si="1"/>
        <v>158.70569356704749</v>
      </c>
      <c r="J6" s="18">
        <f t="shared" si="2"/>
        <v>3.1043930865505431</v>
      </c>
      <c r="K6" s="18">
        <f t="shared" si="3"/>
        <v>4.4250743419162131E-2</v>
      </c>
    </row>
    <row r="7" spans="1:11" x14ac:dyDescent="0.25">
      <c r="A7" t="s">
        <v>53</v>
      </c>
      <c r="B7">
        <v>25</v>
      </c>
      <c r="G7">
        <v>5</v>
      </c>
      <c r="H7" s="1">
        <f t="shared" si="0"/>
        <v>122261.39250402014</v>
      </c>
      <c r="I7">
        <f t="shared" si="1"/>
        <v>122.26139250402014</v>
      </c>
      <c r="J7" s="18">
        <f t="shared" si="2"/>
        <v>3.0504940831543346</v>
      </c>
      <c r="K7" s="18">
        <f t="shared" si="3"/>
        <v>5.3899003396208567E-2</v>
      </c>
    </row>
    <row r="8" spans="1:11" x14ac:dyDescent="0.25">
      <c r="A8" t="s">
        <v>54</v>
      </c>
      <c r="B8">
        <v>100</v>
      </c>
      <c r="G8">
        <v>10</v>
      </c>
      <c r="H8" s="1">
        <f t="shared" si="0"/>
        <v>95058.249836808158</v>
      </c>
      <c r="I8">
        <f t="shared" si="1"/>
        <v>95.058249836808159</v>
      </c>
      <c r="J8" s="18">
        <f t="shared" si="2"/>
        <v>2.9858885422966739</v>
      </c>
      <c r="K8" s="18">
        <f t="shared" si="3"/>
        <v>6.4605540857660682E-2</v>
      </c>
    </row>
    <row r="9" spans="1:11" x14ac:dyDescent="0.25">
      <c r="G9">
        <v>15</v>
      </c>
      <c r="H9" s="1">
        <f t="shared" si="0"/>
        <v>74556.482886882673</v>
      </c>
      <c r="I9">
        <f t="shared" si="1"/>
        <v>74.556482886882677</v>
      </c>
      <c r="J9" s="18">
        <f t="shared" si="2"/>
        <v>2.9097283274643</v>
      </c>
      <c r="K9" s="18">
        <f t="shared" si="3"/>
        <v>7.6160214832373896E-2</v>
      </c>
    </row>
    <row r="10" spans="1:11" x14ac:dyDescent="0.25">
      <c r="A10" s="19"/>
      <c r="G10">
        <v>20</v>
      </c>
      <c r="H10" s="1">
        <f t="shared" si="0"/>
        <v>58963.308431392412</v>
      </c>
      <c r="I10">
        <f t="shared" si="1"/>
        <v>58.963308431392413</v>
      </c>
      <c r="J10" s="18">
        <f t="shared" si="2"/>
        <v>2.821484674233258</v>
      </c>
      <c r="K10" s="18">
        <f t="shared" si="3"/>
        <v>8.8243653231041996E-2</v>
      </c>
    </row>
    <row r="11" spans="1:11" x14ac:dyDescent="0.25">
      <c r="G11">
        <v>25</v>
      </c>
      <c r="H11" s="1">
        <f t="shared" si="0"/>
        <v>47000</v>
      </c>
      <c r="I11">
        <f t="shared" si="1"/>
        <v>47</v>
      </c>
      <c r="J11" s="18">
        <f t="shared" si="2"/>
        <v>2.7210526315789472</v>
      </c>
      <c r="K11" s="18">
        <f t="shared" si="3"/>
        <v>0.10043204265431083</v>
      </c>
    </row>
    <row r="12" spans="1:11" x14ac:dyDescent="0.25">
      <c r="G12">
        <v>30</v>
      </c>
      <c r="H12" s="1">
        <f t="shared" si="0"/>
        <v>37745.411867560397</v>
      </c>
      <c r="I12">
        <f t="shared" si="1"/>
        <v>37.745411867560399</v>
      </c>
      <c r="J12" s="18">
        <f t="shared" si="2"/>
        <v>2.6088341118192102</v>
      </c>
      <c r="K12" s="18">
        <f t="shared" si="3"/>
        <v>0.11221851975973696</v>
      </c>
    </row>
    <row r="13" spans="1:11" x14ac:dyDescent="0.25">
      <c r="G13">
        <v>35</v>
      </c>
      <c r="H13" s="1">
        <f t="shared" si="0"/>
        <v>30529.696169372415</v>
      </c>
      <c r="I13">
        <f t="shared" si="1"/>
        <v>30.529696169372414</v>
      </c>
      <c r="J13" s="18">
        <f t="shared" si="2"/>
        <v>2.4857822012261335</v>
      </c>
      <c r="K13" s="18">
        <f t="shared" si="3"/>
        <v>0.12305191059307674</v>
      </c>
    </row>
    <row r="14" spans="1:11" x14ac:dyDescent="0.25">
      <c r="G14">
        <v>40</v>
      </c>
      <c r="H14" s="1">
        <f t="shared" si="0"/>
        <v>24861.344964843425</v>
      </c>
      <c r="I14">
        <f t="shared" si="1"/>
        <v>24.861344964843425</v>
      </c>
      <c r="J14" s="18">
        <f t="shared" si="2"/>
        <v>2.3533928041709387</v>
      </c>
      <c r="K14" s="18">
        <f t="shared" si="3"/>
        <v>0.13238939705519481</v>
      </c>
    </row>
    <row r="15" spans="1:11" x14ac:dyDescent="0.25">
      <c r="G15">
        <v>45</v>
      </c>
      <c r="H15" s="1">
        <f t="shared" si="0"/>
        <v>20376.600055247116</v>
      </c>
      <c r="I15">
        <f t="shared" si="1"/>
        <v>20.376600055247117</v>
      </c>
      <c r="J15" s="18">
        <f t="shared" si="2"/>
        <v>2.2136374729238422</v>
      </c>
      <c r="K15" s="18">
        <f t="shared" si="3"/>
        <v>0.13975533124709649</v>
      </c>
    </row>
    <row r="16" spans="1:11" x14ac:dyDescent="0.25">
      <c r="G16">
        <v>50</v>
      </c>
      <c r="H16" s="1">
        <f t="shared" si="0"/>
        <v>16804.033001084066</v>
      </c>
      <c r="I16">
        <f t="shared" si="1"/>
        <v>16.804033001084065</v>
      </c>
      <c r="J16" s="18">
        <f t="shared" si="2"/>
        <v>2.0688419873731188</v>
      </c>
      <c r="K16" s="18">
        <f t="shared" si="3"/>
        <v>0.14479548555072341</v>
      </c>
    </row>
    <row r="17" spans="1:11" x14ac:dyDescent="0.25">
      <c r="G17">
        <v>55</v>
      </c>
      <c r="H17" s="1">
        <f t="shared" si="0"/>
        <v>13939.51662575143</v>
      </c>
      <c r="I17">
        <f t="shared" si="1"/>
        <v>13.93951662575143</v>
      </c>
      <c r="J17" s="18">
        <f t="shared" si="2"/>
        <v>1.9215260518459123</v>
      </c>
      <c r="K17" s="18">
        <f t="shared" si="3"/>
        <v>0.14731593552720645</v>
      </c>
    </row>
    <row r="18" spans="1:11" x14ac:dyDescent="0.25">
      <c r="G18">
        <v>60</v>
      </c>
      <c r="H18" s="1">
        <f t="shared" si="0"/>
        <v>11628.382647478744</v>
      </c>
      <c r="I18">
        <f t="shared" si="1"/>
        <v>11.628382647478745</v>
      </c>
      <c r="J18" s="18">
        <f t="shared" si="2"/>
        <v>1.7742271052871876</v>
      </c>
      <c r="K18" s="18">
        <f t="shared" si="3"/>
        <v>0.14729894655872466</v>
      </c>
    </row>
    <row r="19" spans="1:11" x14ac:dyDescent="0.25">
      <c r="G19">
        <v>65</v>
      </c>
      <c r="H19" s="1">
        <f t="shared" si="0"/>
        <v>9752.594274415751</v>
      </c>
      <c r="I19">
        <f t="shared" si="1"/>
        <v>9.7525942744157508</v>
      </c>
      <c r="J19" s="18">
        <f t="shared" si="2"/>
        <v>1.629333375578784</v>
      </c>
      <c r="K19" s="18">
        <f t="shared" si="3"/>
        <v>0.14489372970840364</v>
      </c>
    </row>
    <row r="20" spans="1:11" x14ac:dyDescent="0.25">
      <c r="G20">
        <v>70</v>
      </c>
      <c r="H20" s="1">
        <f t="shared" si="0"/>
        <v>8221.4492561069364</v>
      </c>
      <c r="I20">
        <f t="shared" si="1"/>
        <v>8.2214492561069363</v>
      </c>
      <c r="J20" s="18">
        <f t="shared" si="2"/>
        <v>1.4889475674422539</v>
      </c>
      <c r="K20" s="18">
        <f t="shared" si="3"/>
        <v>0.14038580813653012</v>
      </c>
    </row>
    <row r="21" spans="1:11" x14ac:dyDescent="0.25">
      <c r="A21" t="s">
        <v>50</v>
      </c>
      <c r="B21">
        <v>20</v>
      </c>
      <c r="G21">
        <v>75</v>
      </c>
      <c r="H21" s="1">
        <f t="shared" si="0"/>
        <v>6964.7892094082217</v>
      </c>
      <c r="I21">
        <f t="shared" si="1"/>
        <v>6.964789209408222</v>
      </c>
      <c r="J21" s="18">
        <f t="shared" si="2"/>
        <v>1.3547945752429937</v>
      </c>
      <c r="K21" s="18">
        <f t="shared" si="3"/>
        <v>0.13415299219926013</v>
      </c>
    </row>
    <row r="22" spans="1:11" x14ac:dyDescent="0.25">
      <c r="A22" t="s">
        <v>44</v>
      </c>
      <c r="B22">
        <v>0.01</v>
      </c>
      <c r="G22">
        <v>80</v>
      </c>
      <c r="H22" s="1">
        <f t="shared" si="0"/>
        <v>5928.0024974915805</v>
      </c>
      <c r="I22">
        <f t="shared" si="1"/>
        <v>5.9280024974915806</v>
      </c>
      <c r="J22" s="18">
        <f t="shared" si="2"/>
        <v>1.2281771204394902</v>
      </c>
      <c r="K22" s="18">
        <f t="shared" si="3"/>
        <v>0.1266174548035035</v>
      </c>
    </row>
    <row r="23" spans="1:11" x14ac:dyDescent="0.25">
      <c r="A23" t="s">
        <v>51</v>
      </c>
      <c r="B23">
        <f>B21^2*B22</f>
        <v>4</v>
      </c>
      <c r="G23">
        <v>85</v>
      </c>
      <c r="H23" s="1">
        <f t="shared" si="0"/>
        <v>5068.3205570363607</v>
      </c>
      <c r="I23">
        <f t="shared" si="1"/>
        <v>5.068320557036361</v>
      </c>
      <c r="J23" s="18">
        <f t="shared" si="2"/>
        <v>1.1099749155794145</v>
      </c>
      <c r="K23" s="18">
        <f t="shared" si="3"/>
        <v>0.11820220486007571</v>
      </c>
    </row>
    <row r="24" spans="1:11" x14ac:dyDescent="0.25">
      <c r="A24" t="s">
        <v>55</v>
      </c>
      <c r="B24">
        <f>1.5*B21*B22</f>
        <v>0.3</v>
      </c>
      <c r="G24">
        <v>90</v>
      </c>
      <c r="H24" s="1">
        <f t="shared" si="0"/>
        <v>4352.0539530379674</v>
      </c>
      <c r="I24">
        <f t="shared" si="1"/>
        <v>4.3520539530379674</v>
      </c>
      <c r="J24" s="18">
        <f t="shared" si="2"/>
        <v>1.0006775400942014</v>
      </c>
      <c r="K24" s="18">
        <f t="shared" si="3"/>
        <v>0.10929737548521312</v>
      </c>
    </row>
    <row r="25" spans="1:11" x14ac:dyDescent="0.25">
      <c r="A25" t="s">
        <v>56</v>
      </c>
      <c r="B25">
        <v>10</v>
      </c>
      <c r="G25">
        <v>95</v>
      </c>
      <c r="H25" s="1">
        <f t="shared" si="0"/>
        <v>3752.5160546369971</v>
      </c>
      <c r="I25">
        <f t="shared" si="1"/>
        <v>3.7525160546369971</v>
      </c>
      <c r="J25" s="18">
        <f t="shared" si="2"/>
        <v>0.90043908555385799</v>
      </c>
      <c r="K25" s="18">
        <f t="shared" si="3"/>
        <v>0.10023845454034341</v>
      </c>
    </row>
    <row r="26" spans="1:11" x14ac:dyDescent="0.25">
      <c r="A26" t="s">
        <v>46</v>
      </c>
      <c r="B26">
        <f>B24*B25</f>
        <v>3</v>
      </c>
      <c r="G26">
        <v>100</v>
      </c>
      <c r="H26" s="1">
        <f t="shared" si="0"/>
        <v>3248.4533202316661</v>
      </c>
      <c r="I26">
        <f t="shared" si="1"/>
        <v>3.2484533202316661</v>
      </c>
      <c r="J26" s="18">
        <f t="shared" si="2"/>
        <v>0.80914320318389032</v>
      </c>
      <c r="K26" s="18">
        <f t="shared" si="3"/>
        <v>9.1295882369967662E-2</v>
      </c>
    </row>
    <row r="27" spans="1:11" x14ac:dyDescent="0.25">
      <c r="G27">
        <v>105</v>
      </c>
      <c r="H27" s="1">
        <f t="shared" si="0"/>
        <v>2822.8513012688131</v>
      </c>
      <c r="I27">
        <f t="shared" si="1"/>
        <v>2.822851301268813</v>
      </c>
      <c r="J27" s="18">
        <f t="shared" si="2"/>
        <v>0.72646941583618996</v>
      </c>
      <c r="K27" s="18">
        <f t="shared" si="3"/>
        <v>8.2673787347700367E-2</v>
      </c>
    </row>
    <row r="28" spans="1:11" x14ac:dyDescent="0.25">
      <c r="A28" t="s">
        <v>57</v>
      </c>
      <c r="B28">
        <f>3.3/(2^12)</f>
        <v>8.0566406249999996E-4</v>
      </c>
      <c r="G28">
        <v>110</v>
      </c>
      <c r="H28" s="1">
        <f t="shared" si="0"/>
        <v>2462.0210683801752</v>
      </c>
      <c r="I28">
        <f t="shared" si="1"/>
        <v>2.4620210683801753</v>
      </c>
      <c r="J28" s="18">
        <f t="shared" si="2"/>
        <v>0.65195440459246712</v>
      </c>
      <c r="K28" s="18">
        <f t="shared" si="3"/>
        <v>7.451501124372284E-2</v>
      </c>
    </row>
    <row r="29" spans="1:11" x14ac:dyDescent="0.25">
      <c r="A29" t="s">
        <v>58</v>
      </c>
      <c r="B29">
        <f>B28/B26*B21</f>
        <v>5.3710937499999991E-3</v>
      </c>
      <c r="G29">
        <v>115</v>
      </c>
      <c r="H29" s="1">
        <f t="shared" si="0"/>
        <v>2154.896220150963</v>
      </c>
      <c r="I29">
        <f t="shared" si="1"/>
        <v>2.1548962201509632</v>
      </c>
      <c r="J29" s="18">
        <f t="shared" si="2"/>
        <v>0.58504469291222438</v>
      </c>
      <c r="K29" s="18">
        <f t="shared" si="3"/>
        <v>6.6909711680242734E-2</v>
      </c>
    </row>
    <row r="30" spans="1:11" x14ac:dyDescent="0.25">
      <c r="G30">
        <v>120</v>
      </c>
      <c r="H30" s="1">
        <f t="shared" si="0"/>
        <v>1892.4889652740985</v>
      </c>
      <c r="I30">
        <f t="shared" si="1"/>
        <v>1.8924889652740986</v>
      </c>
      <c r="J30" s="18">
        <f t="shared" si="2"/>
        <v>0.52513932143561037</v>
      </c>
      <c r="K30" s="18">
        <f t="shared" si="3"/>
        <v>5.9905371476614011E-2</v>
      </c>
    </row>
    <row r="31" spans="1:11" x14ac:dyDescent="0.25">
      <c r="G31">
        <v>125</v>
      </c>
      <c r="H31" s="1">
        <f t="shared" si="0"/>
        <v>1667.4670548512261</v>
      </c>
      <c r="I31">
        <f t="shared" si="1"/>
        <v>1.667467054851226</v>
      </c>
      <c r="J31" s="18">
        <f t="shared" si="2"/>
        <v>0.47162261141513984</v>
      </c>
      <c r="K31" s="18">
        <f t="shared" si="3"/>
        <v>5.3516710020470537E-2</v>
      </c>
    </row>
    <row r="32" spans="1:11" x14ac:dyDescent="0.25">
      <c r="G32">
        <v>130</v>
      </c>
      <c r="H32" s="1">
        <f t="shared" si="0"/>
        <v>1473.8230325214975</v>
      </c>
      <c r="I32">
        <f t="shared" si="1"/>
        <v>1.4738230325214974</v>
      </c>
      <c r="J32" s="18">
        <f t="shared" si="2"/>
        <v>0.42388800956189304</v>
      </c>
      <c r="K32" s="18">
        <f t="shared" si="3"/>
        <v>4.7734601853246794E-2</v>
      </c>
    </row>
    <row r="34" spans="10:11" x14ac:dyDescent="0.25">
      <c r="J34" t="s">
        <v>59</v>
      </c>
      <c r="K34" s="18">
        <f>MIN(K3:K32)</f>
        <v>2.23438106592182E-2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C07E-DD8A-4A57-9D3A-1D9832BE168C}">
  <dimension ref="A12:B20"/>
  <sheetViews>
    <sheetView topLeftCell="A11" workbookViewId="0">
      <selection activeCell="B19" sqref="B19"/>
    </sheetView>
  </sheetViews>
  <sheetFormatPr defaultRowHeight="15" x14ac:dyDescent="0.25"/>
  <sheetData>
    <row r="12" spans="1:2" x14ac:dyDescent="0.25">
      <c r="A12" t="s">
        <v>50</v>
      </c>
      <c r="B12">
        <v>20</v>
      </c>
    </row>
    <row r="13" spans="1:2" x14ac:dyDescent="0.25">
      <c r="A13" t="s">
        <v>44</v>
      </c>
      <c r="B13">
        <v>0.01</v>
      </c>
    </row>
    <row r="14" spans="1:2" x14ac:dyDescent="0.25">
      <c r="A14" t="s">
        <v>51</v>
      </c>
      <c r="B14">
        <f>B12^2*B13</f>
        <v>4</v>
      </c>
    </row>
    <row r="15" spans="1:2" x14ac:dyDescent="0.25">
      <c r="A15" t="s">
        <v>55</v>
      </c>
      <c r="B15">
        <f>1.5*B12*B13</f>
        <v>0.3</v>
      </c>
    </row>
    <row r="16" spans="1:2" x14ac:dyDescent="0.25">
      <c r="A16" t="s">
        <v>56</v>
      </c>
      <c r="B16">
        <v>10</v>
      </c>
    </row>
    <row r="17" spans="1:2" x14ac:dyDescent="0.25">
      <c r="A17" t="s">
        <v>46</v>
      </c>
      <c r="B17">
        <f>B15*B16</f>
        <v>3</v>
      </c>
    </row>
    <row r="19" spans="1:2" x14ac:dyDescent="0.25">
      <c r="A19" t="s">
        <v>57</v>
      </c>
      <c r="B19">
        <f>3.3/(2^12)</f>
        <v>8.0566406249999996E-4</v>
      </c>
    </row>
    <row r="20" spans="1:2" x14ac:dyDescent="0.25">
      <c r="A20" t="s">
        <v>58</v>
      </c>
      <c r="B20">
        <f>B19/B17*B12</f>
        <v>5.3710937499999991E-3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4B3A-5996-4225-AAD3-3A12E99682F8}">
  <dimension ref="B2:F21"/>
  <sheetViews>
    <sheetView tabSelected="1" workbookViewId="0">
      <selection activeCell="F9" sqref="F9"/>
    </sheetView>
  </sheetViews>
  <sheetFormatPr defaultRowHeight="15" x14ac:dyDescent="0.25"/>
  <cols>
    <col min="3" max="3" width="16.28515625" customWidth="1"/>
  </cols>
  <sheetData>
    <row r="2" spans="2:5" x14ac:dyDescent="0.25">
      <c r="B2" s="20" t="s">
        <v>61</v>
      </c>
    </row>
    <row r="3" spans="2:5" x14ac:dyDescent="0.25">
      <c r="B3" t="s">
        <v>60</v>
      </c>
    </row>
    <row r="6" spans="2:5" x14ac:dyDescent="0.25">
      <c r="B6" s="20" t="s">
        <v>64</v>
      </c>
    </row>
    <row r="7" spans="2:5" x14ac:dyDescent="0.25">
      <c r="B7" t="s">
        <v>62</v>
      </c>
    </row>
    <row r="8" spans="2:5" x14ac:dyDescent="0.25">
      <c r="B8" s="21" t="s">
        <v>63</v>
      </c>
    </row>
    <row r="9" spans="2:5" x14ac:dyDescent="0.25">
      <c r="B9" s="22"/>
    </row>
    <row r="11" spans="2:5" x14ac:dyDescent="0.25">
      <c r="B11" s="20" t="s">
        <v>65</v>
      </c>
      <c r="C11">
        <v>1</v>
      </c>
    </row>
    <row r="12" spans="2:5" x14ac:dyDescent="0.25">
      <c r="B12" s="20" t="s">
        <v>66</v>
      </c>
      <c r="C12">
        <v>5</v>
      </c>
    </row>
    <row r="13" spans="2:5" x14ac:dyDescent="0.25">
      <c r="B13" s="20" t="s">
        <v>67</v>
      </c>
      <c r="C13">
        <v>48</v>
      </c>
    </row>
    <row r="14" spans="2:5" x14ac:dyDescent="0.25">
      <c r="B14" s="20" t="s">
        <v>69</v>
      </c>
      <c r="C14">
        <v>1100000</v>
      </c>
    </row>
    <row r="15" spans="2:5" x14ac:dyDescent="0.25">
      <c r="B15" s="20" t="s">
        <v>70</v>
      </c>
      <c r="C15" s="23">
        <v>0.3</v>
      </c>
      <c r="E15" s="23"/>
    </row>
    <row r="18" spans="2:6" x14ac:dyDescent="0.25">
      <c r="B18" s="20" t="s">
        <v>68</v>
      </c>
      <c r="C18">
        <f>((C13-C12)/(C11*C15))*(C12/(C13*C14))</f>
        <v>1.3573232323232325E-5</v>
      </c>
      <c r="F18" s="20" t="s">
        <v>71</v>
      </c>
    </row>
    <row r="21" spans="2:6" x14ac:dyDescent="0.25">
      <c r="C21" s="24">
        <v>1.3573232323232325E-5</v>
      </c>
    </row>
  </sheetData>
  <hyperlinks>
    <hyperlink ref="B8" r:id="rId1" xr:uid="{B85B539A-D2FF-4DB1-BDBA-3E35446DDA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temp</vt:lpstr>
      <vt:lpstr>current meas</vt:lpstr>
      <vt:lpstr>buck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PMB</dc:creator>
  <cp:lastModifiedBy>Maciej Choinski (255938)</cp:lastModifiedBy>
  <dcterms:created xsi:type="dcterms:W3CDTF">2015-06-05T18:19:34Z</dcterms:created>
  <dcterms:modified xsi:type="dcterms:W3CDTF">2025-04-09T22:02:18Z</dcterms:modified>
</cp:coreProperties>
</file>