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60" yWindow="1620" windowWidth="21340" windowHeight="15560" tabRatio="500" firstSheet="5" activeTab="11"/>
  </bookViews>
  <sheets>
    <sheet name="Water Quality Trends" sheetId="2" r:id="rId1"/>
    <sheet name="Priority Ranking" sheetId="1" r:id="rId2"/>
    <sheet name="Sheet1" sheetId="3" r:id="rId3"/>
    <sheet name="Sheet2" sheetId="4" r:id="rId4"/>
    <sheet name="Sheet3" sheetId="5" r:id="rId5"/>
    <sheet name="Nitrate" sheetId="7" r:id="rId6"/>
    <sheet name="Bug Data" sheetId="6" r:id="rId7"/>
    <sheet name="Sheet7" sheetId="9" r:id="rId8"/>
    <sheet name="Flow" sheetId="11" r:id="rId9"/>
    <sheet name="Temp-Precip" sheetId="10" r:id="rId10"/>
    <sheet name="Sheet4" sheetId="12" r:id="rId11"/>
    <sheet name="Sheet5" sheetId="13" r:id="rId12"/>
  </sheets>
  <definedNames>
    <definedName name="_xlnm._FilterDatabase" localSheetId="5" hidden="1">Nitrate!$C$1:$G$17</definedName>
    <definedName name="_xlnm._FilterDatabase" localSheetId="3" hidden="1">Sheet2!$A$29:$D$43</definedName>
    <definedName name="_xlnm._FilterDatabase" localSheetId="4" hidden="1">Sheet3!$J$1:$T$18</definedName>
    <definedName name="_xlnm._FilterDatabase" localSheetId="9" hidden="1">'Temp-Precip'!$B$2:$G$235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7" i="7" l="1"/>
  <c r="S27" i="7"/>
  <c r="T3" i="7"/>
  <c r="T4" i="7"/>
  <c r="T6" i="7"/>
  <c r="T7" i="7"/>
  <c r="T9" i="7"/>
  <c r="T11" i="7"/>
  <c r="T16" i="7"/>
  <c r="T18" i="7"/>
  <c r="T27" i="7"/>
  <c r="U6" i="7"/>
  <c r="U7" i="7"/>
  <c r="U9" i="7"/>
  <c r="U11" i="7"/>
  <c r="U12" i="7"/>
  <c r="U17" i="7"/>
  <c r="U18" i="7"/>
  <c r="U27" i="7"/>
  <c r="V2" i="7"/>
  <c r="V3" i="7"/>
  <c r="V4" i="7"/>
  <c r="V5" i="7"/>
  <c r="V6" i="7"/>
  <c r="V7" i="7"/>
  <c r="V8" i="7"/>
  <c r="V9" i="7"/>
  <c r="V10" i="7"/>
  <c r="V11" i="7"/>
  <c r="V12" i="7"/>
  <c r="V14" i="7"/>
  <c r="V15" i="7"/>
  <c r="V16" i="7"/>
  <c r="V17" i="7"/>
  <c r="V18" i="7"/>
  <c r="V19" i="7"/>
  <c r="V27" i="7"/>
  <c r="Q27" i="7"/>
  <c r="C35" i="6"/>
  <c r="D35" i="6"/>
  <c r="E35" i="6"/>
  <c r="B35" i="6"/>
  <c r="N17" i="7"/>
  <c r="N16" i="7"/>
  <c r="N12" i="7"/>
  <c r="N11" i="7"/>
  <c r="N9" i="7"/>
  <c r="N7" i="7"/>
  <c r="N6" i="7"/>
  <c r="M17" i="7"/>
  <c r="M15" i="7"/>
  <c r="M11" i="7"/>
  <c r="M9" i="7"/>
  <c r="M7" i="7"/>
  <c r="M6" i="7"/>
  <c r="M4" i="7"/>
  <c r="M3" i="7"/>
  <c r="K15" i="7"/>
  <c r="K16" i="7"/>
  <c r="K17" i="7"/>
  <c r="K14" i="7"/>
  <c r="K5" i="7"/>
  <c r="K12" i="7"/>
  <c r="K13" i="7"/>
  <c r="K10" i="7"/>
  <c r="K3" i="7"/>
  <c r="K4" i="7"/>
  <c r="K6" i="7"/>
  <c r="K7" i="7"/>
  <c r="K8" i="7"/>
  <c r="K9" i="7"/>
  <c r="K11" i="7"/>
  <c r="K2" i="7"/>
  <c r="E31" i="6"/>
  <c r="D31" i="6"/>
  <c r="C31" i="6"/>
  <c r="Q26" i="7"/>
  <c r="R26" i="7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D235" i="10"/>
  <c r="C235" i="10"/>
  <c r="D230" i="10"/>
  <c r="C230" i="10"/>
  <c r="C225" i="10"/>
  <c r="C3" i="10"/>
  <c r="D3" i="10"/>
  <c r="C4" i="10"/>
  <c r="D4" i="10"/>
  <c r="C5" i="10"/>
  <c r="D5" i="10"/>
  <c r="C6" i="10"/>
  <c r="D6" i="10"/>
  <c r="C7" i="10"/>
  <c r="D7" i="10"/>
  <c r="L233" i="10"/>
  <c r="M233" i="10"/>
  <c r="M232" i="10"/>
  <c r="L232" i="10"/>
  <c r="D224" i="10"/>
  <c r="C224" i="10"/>
  <c r="D212" i="10"/>
  <c r="D200" i="10"/>
  <c r="D188" i="10"/>
  <c r="D176" i="10"/>
  <c r="D164" i="10"/>
  <c r="D152" i="10"/>
  <c r="D140" i="10"/>
  <c r="D128" i="10"/>
  <c r="D116" i="10"/>
  <c r="D104" i="10"/>
  <c r="D92" i="10"/>
  <c r="D80" i="10"/>
  <c r="D68" i="10"/>
  <c r="D56" i="10"/>
  <c r="D44" i="10"/>
  <c r="D32" i="10"/>
  <c r="D20" i="10"/>
  <c r="D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8" i="10"/>
  <c r="Q21" i="7"/>
  <c r="R21" i="7"/>
  <c r="Q23" i="7"/>
  <c r="R23" i="7"/>
  <c r="Q22" i="7"/>
  <c r="R22" i="7"/>
  <c r="Q24" i="7"/>
  <c r="R24" i="7"/>
  <c r="T21" i="7"/>
  <c r="U21" i="7"/>
  <c r="T23" i="7"/>
  <c r="U23" i="7"/>
  <c r="T22" i="7"/>
  <c r="U22" i="7"/>
  <c r="T24" i="7"/>
  <c r="U24" i="7"/>
  <c r="S24" i="7"/>
  <c r="S22" i="7"/>
  <c r="S23" i="7"/>
  <c r="S21" i="7"/>
  <c r="T26" i="7"/>
  <c r="U26" i="7"/>
  <c r="V26" i="7"/>
  <c r="S26" i="7"/>
  <c r="E21" i="6"/>
  <c r="E20" i="6"/>
  <c r="E23" i="6"/>
  <c r="E22" i="6"/>
  <c r="E28" i="6"/>
  <c r="D21" i="6"/>
  <c r="D20" i="6"/>
  <c r="D23" i="6"/>
  <c r="D22" i="6"/>
  <c r="D28" i="6"/>
  <c r="C5" i="6"/>
  <c r="C6" i="6"/>
  <c r="C7" i="6"/>
  <c r="C10" i="6"/>
  <c r="C11" i="6"/>
  <c r="C12" i="6"/>
  <c r="C13" i="6"/>
  <c r="C15" i="6"/>
  <c r="C16" i="6"/>
  <c r="C17" i="6"/>
  <c r="C21" i="6"/>
  <c r="C20" i="6"/>
  <c r="C23" i="6"/>
  <c r="C22" i="6"/>
  <c r="C28" i="6"/>
  <c r="B21" i="6"/>
  <c r="B20" i="6"/>
  <c r="B23" i="6"/>
  <c r="B22" i="6"/>
  <c r="B28" i="6"/>
  <c r="C29" i="6"/>
  <c r="D29" i="6"/>
  <c r="E29" i="6"/>
  <c r="B29" i="6"/>
  <c r="X69" i="7"/>
  <c r="T67" i="7"/>
  <c r="U67" i="7"/>
  <c r="V67" i="7"/>
  <c r="M66" i="7"/>
  <c r="X68" i="7"/>
  <c r="U66" i="7"/>
  <c r="V66" i="7"/>
  <c r="X67" i="7"/>
  <c r="T65" i="7"/>
  <c r="V65" i="7"/>
  <c r="X66" i="7"/>
  <c r="V64" i="7"/>
  <c r="V63" i="7"/>
  <c r="V62" i="7"/>
  <c r="X63" i="7"/>
  <c r="U61" i="7"/>
  <c r="V61" i="7"/>
  <c r="X62" i="7"/>
  <c r="T60" i="7"/>
  <c r="U60" i="7"/>
  <c r="V60" i="7"/>
  <c r="V59" i="7"/>
  <c r="X60" i="7"/>
  <c r="T58" i="7"/>
  <c r="U58" i="7"/>
  <c r="V58" i="7"/>
  <c r="M57" i="7"/>
  <c r="X59" i="7"/>
  <c r="V57" i="7"/>
  <c r="M56" i="7"/>
  <c r="X58" i="7"/>
  <c r="T56" i="7"/>
  <c r="U56" i="7"/>
  <c r="V56" i="7"/>
  <c r="M55" i="7"/>
  <c r="X57" i="7"/>
  <c r="T55" i="7"/>
  <c r="U55" i="7"/>
  <c r="V55" i="7"/>
  <c r="M54" i="7"/>
  <c r="X56" i="7"/>
  <c r="V54" i="7"/>
  <c r="X55" i="7"/>
  <c r="T53" i="7"/>
  <c r="V53" i="7"/>
  <c r="M52" i="7"/>
  <c r="X54" i="7"/>
  <c r="T52" i="7"/>
  <c r="V52" i="7"/>
  <c r="M51" i="7"/>
  <c r="X53" i="7"/>
  <c r="V51" i="7"/>
  <c r="W101" i="7"/>
  <c r="W100" i="7"/>
  <c r="X25" i="7"/>
  <c r="W88" i="7"/>
  <c r="M87" i="7"/>
  <c r="L87" i="7"/>
  <c r="F87" i="7"/>
  <c r="M86" i="7"/>
  <c r="L86" i="7"/>
  <c r="F86" i="7"/>
  <c r="Y15" i="7"/>
  <c r="X16" i="7"/>
  <c r="X15" i="7"/>
  <c r="G83" i="7"/>
  <c r="X13" i="7"/>
  <c r="W82" i="7"/>
  <c r="X12" i="7"/>
  <c r="W81" i="7"/>
  <c r="M81" i="7"/>
  <c r="L81" i="7"/>
  <c r="F81" i="7"/>
  <c r="Y10" i="7"/>
  <c r="X11" i="7"/>
  <c r="W80" i="7"/>
  <c r="M80" i="7"/>
  <c r="L80" i="7"/>
  <c r="F80" i="7"/>
  <c r="X10" i="7"/>
  <c r="W79" i="7"/>
  <c r="M79" i="7"/>
  <c r="X9" i="7"/>
  <c r="M78" i="7"/>
  <c r="L78" i="7"/>
  <c r="X8" i="7"/>
  <c r="L77" i="7"/>
  <c r="F77" i="7"/>
  <c r="X7" i="7"/>
  <c r="W76" i="7"/>
  <c r="L76" i="7"/>
  <c r="F76" i="7"/>
  <c r="X6" i="7"/>
  <c r="X5" i="7"/>
  <c r="M74" i="7"/>
  <c r="X3" i="7"/>
  <c r="W73" i="7"/>
  <c r="L73" i="7"/>
  <c r="X2" i="7"/>
  <c r="T62" i="5"/>
  <c r="N62" i="5"/>
  <c r="Q62" i="5"/>
  <c r="R62" i="5"/>
  <c r="K62" i="5"/>
  <c r="T61" i="5"/>
  <c r="Q61" i="5"/>
  <c r="R61" i="5"/>
  <c r="T60" i="5"/>
  <c r="N60" i="5"/>
  <c r="R60" i="5"/>
  <c r="T59" i="5"/>
  <c r="R59" i="5"/>
  <c r="R58" i="5"/>
  <c r="R57" i="5"/>
  <c r="T56" i="5"/>
  <c r="Q56" i="5"/>
  <c r="R56" i="5"/>
  <c r="T55" i="5"/>
  <c r="N55" i="5"/>
  <c r="Q55" i="5"/>
  <c r="R55" i="5"/>
  <c r="R54" i="5"/>
  <c r="T53" i="5"/>
  <c r="N53" i="5"/>
  <c r="Q53" i="5"/>
  <c r="R53" i="5"/>
  <c r="K53" i="5"/>
  <c r="T52" i="5"/>
  <c r="R52" i="5"/>
  <c r="K52" i="5"/>
  <c r="T51" i="5"/>
  <c r="N51" i="5"/>
  <c r="Q51" i="5"/>
  <c r="R51" i="5"/>
  <c r="K51" i="5"/>
  <c r="T50" i="5"/>
  <c r="N50" i="5"/>
  <c r="Q50" i="5"/>
  <c r="R50" i="5"/>
  <c r="K50" i="5"/>
  <c r="T49" i="5"/>
  <c r="R49" i="5"/>
  <c r="T48" i="5"/>
  <c r="N48" i="5"/>
  <c r="R48" i="5"/>
  <c r="K48" i="5"/>
  <c r="T47" i="5"/>
  <c r="N47" i="5"/>
  <c r="R47" i="5"/>
  <c r="K47" i="5"/>
  <c r="T46" i="5"/>
  <c r="R46" i="5"/>
  <c r="R17" i="5"/>
  <c r="R4" i="5"/>
  <c r="R5" i="5"/>
  <c r="R8" i="5"/>
  <c r="R9" i="5"/>
  <c r="R10" i="5"/>
  <c r="R14" i="5"/>
  <c r="R15" i="5"/>
  <c r="R3" i="5"/>
  <c r="R6" i="5"/>
  <c r="R2" i="5"/>
  <c r="R11" i="5"/>
  <c r="R16" i="5"/>
  <c r="R13" i="5"/>
  <c r="R12" i="5"/>
  <c r="R18" i="5"/>
  <c r="R7" i="5"/>
  <c r="T18" i="5"/>
  <c r="T4" i="5"/>
  <c r="T5" i="5"/>
  <c r="T8" i="5"/>
  <c r="T9" i="5"/>
  <c r="T10" i="5"/>
  <c r="T14" i="5"/>
  <c r="T15" i="5"/>
  <c r="T3" i="5"/>
  <c r="T6" i="5"/>
  <c r="T2" i="5"/>
  <c r="T11" i="5"/>
  <c r="U10" i="5"/>
  <c r="U15" i="5"/>
  <c r="T12" i="5"/>
  <c r="T7" i="5"/>
  <c r="M27" i="5"/>
  <c r="M26" i="5"/>
  <c r="M24" i="5"/>
  <c r="K27" i="5"/>
  <c r="K26" i="5"/>
  <c r="Q18" i="5"/>
  <c r="Q12" i="5"/>
  <c r="Q6" i="5"/>
  <c r="Q3" i="5"/>
  <c r="Q15" i="5"/>
  <c r="Q14" i="5"/>
  <c r="Q5" i="5"/>
  <c r="N18" i="5"/>
  <c r="N12" i="5"/>
  <c r="N6" i="5"/>
  <c r="N3" i="5"/>
  <c r="N14" i="5"/>
  <c r="N10" i="5"/>
  <c r="N9" i="5"/>
  <c r="N4" i="5"/>
  <c r="K18" i="5"/>
  <c r="K12" i="5"/>
  <c r="K11" i="5"/>
  <c r="K6" i="5"/>
  <c r="K3" i="5"/>
  <c r="K10" i="5"/>
  <c r="K9" i="5"/>
  <c r="F17" i="5"/>
  <c r="F16" i="5"/>
  <c r="F11" i="5"/>
  <c r="F10" i="5"/>
  <c r="F9" i="5"/>
  <c r="F8" i="5"/>
  <c r="B17" i="5"/>
  <c r="B16" i="5"/>
  <c r="B11" i="5"/>
  <c r="B10" i="5"/>
  <c r="B7" i="5"/>
  <c r="B6" i="5"/>
  <c r="E11" i="5"/>
  <c r="E10" i="5"/>
  <c r="E8" i="5"/>
  <c r="E17" i="5"/>
  <c r="E16" i="5"/>
  <c r="E7" i="5"/>
  <c r="E6" i="5"/>
  <c r="F4" i="5"/>
  <c r="E3" i="5"/>
  <c r="C13" i="5"/>
  <c r="R51" i="4"/>
  <c r="R52" i="4"/>
  <c r="R53" i="4"/>
  <c r="R55" i="4"/>
  <c r="R56" i="4"/>
  <c r="I45" i="4"/>
  <c r="I46" i="4"/>
  <c r="I47" i="4"/>
  <c r="I48" i="4"/>
  <c r="I49" i="4"/>
  <c r="I50" i="4"/>
  <c r="I51" i="4"/>
  <c r="I52" i="4"/>
  <c r="I53" i="4"/>
  <c r="I54" i="4"/>
  <c r="I55" i="4"/>
  <c r="I56" i="4"/>
  <c r="I44" i="4"/>
  <c r="AA3" i="4"/>
  <c r="AA4" i="4"/>
  <c r="AA5" i="4"/>
  <c r="AA6" i="4"/>
  <c r="AA7" i="4"/>
  <c r="AA8" i="4"/>
  <c r="AA9" i="4"/>
  <c r="AA10" i="4"/>
  <c r="AA11" i="4"/>
  <c r="AA12" i="4"/>
  <c r="AA13" i="4"/>
  <c r="AA2" i="4"/>
  <c r="Z17" i="4"/>
  <c r="Z9" i="4"/>
  <c r="Z7" i="4"/>
  <c r="Z5" i="4"/>
  <c r="Y14" i="4"/>
  <c r="Y15" i="4"/>
  <c r="Y16" i="4"/>
  <c r="Y17" i="4"/>
  <c r="Q21" i="4"/>
  <c r="Q25" i="4"/>
  <c r="C24" i="4"/>
  <c r="D24" i="4"/>
  <c r="Q24" i="4"/>
  <c r="Q23" i="4"/>
  <c r="Q22" i="4"/>
  <c r="Q20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K25" i="4"/>
  <c r="P25" i="4"/>
  <c r="O25" i="4"/>
  <c r="N25" i="4"/>
  <c r="M25" i="4"/>
  <c r="L25" i="4"/>
  <c r="T24" i="4"/>
  <c r="K24" i="4"/>
  <c r="P24" i="4"/>
  <c r="O24" i="4"/>
  <c r="G24" i="4"/>
  <c r="N24" i="4"/>
  <c r="F24" i="4"/>
  <c r="M24" i="4"/>
  <c r="E24" i="4"/>
  <c r="L24" i="4"/>
  <c r="K23" i="4"/>
  <c r="P23" i="4"/>
  <c r="U23" i="4"/>
  <c r="O23" i="4"/>
  <c r="N23" i="4"/>
  <c r="M23" i="4"/>
  <c r="L23" i="4"/>
  <c r="K22" i="4"/>
  <c r="P22" i="4"/>
  <c r="U22" i="4"/>
  <c r="O22" i="4"/>
  <c r="N22" i="4"/>
  <c r="M22" i="4"/>
  <c r="L22" i="4"/>
  <c r="K21" i="4"/>
  <c r="P21" i="4"/>
  <c r="U21" i="4"/>
  <c r="O21" i="4"/>
  <c r="N21" i="4"/>
  <c r="M21" i="4"/>
  <c r="L21" i="4"/>
  <c r="K20" i="4"/>
  <c r="P20" i="4"/>
  <c r="U20" i="4"/>
  <c r="O20" i="4"/>
  <c r="N20" i="4"/>
  <c r="M20" i="4"/>
  <c r="L20" i="4"/>
  <c r="K19" i="4"/>
  <c r="P19" i="4"/>
  <c r="O19" i="4"/>
  <c r="N19" i="4"/>
  <c r="M19" i="4"/>
  <c r="L19" i="4"/>
  <c r="K18" i="4"/>
  <c r="P18" i="4"/>
  <c r="O18" i="4"/>
  <c r="N18" i="4"/>
  <c r="M18" i="4"/>
  <c r="L18" i="4"/>
  <c r="K17" i="4"/>
  <c r="P17" i="4"/>
  <c r="U17" i="4"/>
  <c r="O17" i="4"/>
  <c r="N17" i="4"/>
  <c r="M17" i="4"/>
  <c r="L17" i="4"/>
  <c r="K16" i="4"/>
  <c r="P16" i="4"/>
  <c r="U16" i="4"/>
  <c r="O16" i="4"/>
  <c r="N16" i="4"/>
  <c r="M16" i="4"/>
  <c r="L16" i="4"/>
  <c r="K15" i="4"/>
  <c r="P15" i="4"/>
  <c r="U15" i="4"/>
  <c r="O15" i="4"/>
  <c r="N15" i="4"/>
  <c r="M15" i="4"/>
  <c r="L15" i="4"/>
  <c r="K14" i="4"/>
  <c r="P14" i="4"/>
  <c r="U14" i="4"/>
  <c r="O14" i="4"/>
  <c r="N14" i="4"/>
  <c r="M14" i="4"/>
  <c r="L14" i="4"/>
  <c r="K13" i="4"/>
  <c r="P13" i="4"/>
  <c r="U13" i="4"/>
  <c r="O13" i="4"/>
  <c r="N13" i="4"/>
  <c r="M13" i="4"/>
  <c r="L13" i="4"/>
  <c r="T12" i="4"/>
  <c r="K12" i="4"/>
  <c r="P12" i="4"/>
  <c r="U12" i="4"/>
  <c r="O12" i="4"/>
  <c r="N12" i="4"/>
  <c r="M12" i="4"/>
  <c r="L12" i="4"/>
  <c r="K11" i="4"/>
  <c r="P11" i="4"/>
  <c r="U11" i="4"/>
  <c r="O11" i="4"/>
  <c r="N11" i="4"/>
  <c r="M11" i="4"/>
  <c r="L11" i="4"/>
  <c r="K10" i="4"/>
  <c r="P10" i="4"/>
  <c r="U10" i="4"/>
  <c r="O10" i="4"/>
  <c r="N10" i="4"/>
  <c r="M10" i="4"/>
  <c r="L10" i="4"/>
  <c r="K9" i="4"/>
  <c r="P9" i="4"/>
  <c r="U9" i="4"/>
  <c r="O9" i="4"/>
  <c r="N9" i="4"/>
  <c r="M9" i="4"/>
  <c r="L9" i="4"/>
  <c r="K8" i="4"/>
  <c r="P8" i="4"/>
  <c r="U8" i="4"/>
  <c r="O8" i="4"/>
  <c r="N8" i="4"/>
  <c r="M8" i="4"/>
  <c r="L8" i="4"/>
  <c r="K7" i="4"/>
  <c r="P7" i="4"/>
  <c r="U7" i="4"/>
  <c r="O7" i="4"/>
  <c r="N7" i="4"/>
  <c r="M7" i="4"/>
  <c r="L7" i="4"/>
  <c r="K6" i="4"/>
  <c r="P6" i="4"/>
  <c r="U6" i="4"/>
  <c r="O6" i="4"/>
  <c r="N6" i="4"/>
  <c r="M6" i="4"/>
  <c r="L6" i="4"/>
  <c r="K5" i="4"/>
  <c r="P5" i="4"/>
  <c r="U5" i="4"/>
  <c r="O5" i="4"/>
  <c r="N5" i="4"/>
  <c r="M5" i="4"/>
  <c r="L5" i="4"/>
  <c r="K4" i="4"/>
  <c r="P4" i="4"/>
  <c r="U4" i="4"/>
  <c r="O4" i="4"/>
  <c r="N4" i="4"/>
  <c r="M4" i="4"/>
  <c r="L4" i="4"/>
  <c r="K3" i="4"/>
  <c r="P3" i="4"/>
  <c r="U3" i="4"/>
  <c r="O3" i="4"/>
  <c r="N3" i="4"/>
  <c r="M3" i="4"/>
  <c r="L3" i="4"/>
  <c r="K2" i="4"/>
  <c r="P2" i="4"/>
  <c r="U2" i="4"/>
  <c r="O2" i="4"/>
  <c r="N2" i="4"/>
  <c r="M2" i="4"/>
  <c r="L2" i="4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8" i="3"/>
  <c r="Q49" i="3"/>
  <c r="Q50" i="3"/>
  <c r="Q51" i="3"/>
  <c r="I53" i="3"/>
  <c r="N53" i="3"/>
  <c r="M53" i="3"/>
  <c r="L53" i="3"/>
  <c r="K53" i="3"/>
  <c r="J53" i="3"/>
  <c r="P52" i="3"/>
  <c r="D52" i="3"/>
  <c r="I52" i="3"/>
  <c r="N52" i="3"/>
  <c r="M52" i="3"/>
  <c r="G52" i="3"/>
  <c r="L52" i="3"/>
  <c r="F52" i="3"/>
  <c r="K52" i="3"/>
  <c r="E52" i="3"/>
  <c r="J52" i="3"/>
  <c r="C52" i="3"/>
  <c r="I51" i="3"/>
  <c r="N51" i="3"/>
  <c r="M51" i="3"/>
  <c r="L51" i="3"/>
  <c r="K51" i="3"/>
  <c r="J51" i="3"/>
  <c r="I50" i="3"/>
  <c r="N50" i="3"/>
  <c r="M50" i="3"/>
  <c r="L50" i="3"/>
  <c r="K50" i="3"/>
  <c r="J50" i="3"/>
  <c r="I49" i="3"/>
  <c r="N49" i="3"/>
  <c r="M49" i="3"/>
  <c r="L49" i="3"/>
  <c r="K49" i="3"/>
  <c r="J49" i="3"/>
  <c r="I48" i="3"/>
  <c r="N48" i="3"/>
  <c r="M48" i="3"/>
  <c r="L48" i="3"/>
  <c r="K48" i="3"/>
  <c r="J48" i="3"/>
  <c r="I47" i="3"/>
  <c r="N47" i="3"/>
  <c r="M47" i="3"/>
  <c r="L47" i="3"/>
  <c r="K47" i="3"/>
  <c r="J47" i="3"/>
  <c r="I46" i="3"/>
  <c r="N46" i="3"/>
  <c r="M46" i="3"/>
  <c r="L46" i="3"/>
  <c r="K46" i="3"/>
  <c r="J46" i="3"/>
  <c r="I45" i="3"/>
  <c r="N45" i="3"/>
  <c r="M45" i="3"/>
  <c r="L45" i="3"/>
  <c r="K45" i="3"/>
  <c r="J45" i="3"/>
  <c r="I44" i="3"/>
  <c r="N44" i="3"/>
  <c r="M44" i="3"/>
  <c r="L44" i="3"/>
  <c r="K44" i="3"/>
  <c r="J44" i="3"/>
  <c r="I43" i="3"/>
  <c r="N43" i="3"/>
  <c r="M43" i="3"/>
  <c r="L43" i="3"/>
  <c r="K43" i="3"/>
  <c r="J43" i="3"/>
  <c r="I42" i="3"/>
  <c r="N42" i="3"/>
  <c r="M42" i="3"/>
  <c r="L42" i="3"/>
  <c r="K42" i="3"/>
  <c r="J42" i="3"/>
  <c r="I41" i="3"/>
  <c r="N41" i="3"/>
  <c r="M41" i="3"/>
  <c r="L41" i="3"/>
  <c r="K41" i="3"/>
  <c r="J41" i="3"/>
  <c r="P40" i="3"/>
  <c r="I40" i="3"/>
  <c r="N40" i="3"/>
  <c r="M40" i="3"/>
  <c r="L40" i="3"/>
  <c r="K40" i="3"/>
  <c r="J40" i="3"/>
  <c r="I39" i="3"/>
  <c r="N39" i="3"/>
  <c r="M39" i="3"/>
  <c r="L39" i="3"/>
  <c r="K39" i="3"/>
  <c r="J39" i="3"/>
  <c r="I38" i="3"/>
  <c r="N38" i="3"/>
  <c r="M38" i="3"/>
  <c r="L38" i="3"/>
  <c r="K38" i="3"/>
  <c r="J38" i="3"/>
  <c r="I37" i="3"/>
  <c r="N37" i="3"/>
  <c r="M37" i="3"/>
  <c r="L37" i="3"/>
  <c r="K37" i="3"/>
  <c r="J37" i="3"/>
  <c r="I36" i="3"/>
  <c r="N36" i="3"/>
  <c r="M36" i="3"/>
  <c r="L36" i="3"/>
  <c r="K36" i="3"/>
  <c r="J36" i="3"/>
  <c r="I35" i="3"/>
  <c r="N35" i="3"/>
  <c r="M35" i="3"/>
  <c r="L35" i="3"/>
  <c r="K35" i="3"/>
  <c r="J35" i="3"/>
  <c r="I34" i="3"/>
  <c r="N34" i="3"/>
  <c r="M34" i="3"/>
  <c r="L34" i="3"/>
  <c r="K34" i="3"/>
  <c r="J34" i="3"/>
  <c r="I33" i="3"/>
  <c r="N33" i="3"/>
  <c r="M33" i="3"/>
  <c r="L33" i="3"/>
  <c r="K33" i="3"/>
  <c r="J33" i="3"/>
  <c r="I32" i="3"/>
  <c r="N32" i="3"/>
  <c r="M32" i="3"/>
  <c r="L32" i="3"/>
  <c r="K32" i="3"/>
  <c r="J32" i="3"/>
  <c r="I31" i="3"/>
  <c r="N31" i="3"/>
  <c r="Q31" i="3"/>
  <c r="M31" i="3"/>
  <c r="L31" i="3"/>
  <c r="K31" i="3"/>
  <c r="J31" i="3"/>
  <c r="I30" i="3"/>
  <c r="N30" i="3"/>
  <c r="Q30" i="3"/>
  <c r="M30" i="3"/>
  <c r="L30" i="3"/>
  <c r="K30" i="3"/>
  <c r="J30" i="3"/>
  <c r="I3" i="3"/>
  <c r="N3" i="3"/>
  <c r="Q3" i="3"/>
  <c r="N2" i="3"/>
  <c r="Q2" i="3"/>
  <c r="J3" i="3"/>
  <c r="K3" i="3"/>
  <c r="L3" i="3"/>
  <c r="M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D24" i="3"/>
  <c r="I24" i="3"/>
  <c r="E24" i="3"/>
  <c r="J24" i="3"/>
  <c r="F24" i="3"/>
  <c r="K24" i="3"/>
  <c r="G24" i="3"/>
  <c r="L24" i="3"/>
  <c r="M24" i="3"/>
  <c r="N24" i="3"/>
  <c r="I25" i="3"/>
  <c r="J25" i="3"/>
  <c r="K25" i="3"/>
  <c r="L25" i="3"/>
  <c r="M25" i="3"/>
  <c r="N25" i="3"/>
  <c r="J2" i="3"/>
  <c r="K2" i="3"/>
  <c r="L2" i="3"/>
  <c r="M2" i="3"/>
  <c r="I2" i="3"/>
  <c r="H94" i="1"/>
  <c r="I94" i="1"/>
  <c r="J94" i="1"/>
  <c r="K94" i="1"/>
  <c r="L94" i="1"/>
  <c r="M94" i="1"/>
  <c r="O94" i="1"/>
  <c r="H95" i="1"/>
  <c r="I95" i="1"/>
  <c r="J95" i="1"/>
  <c r="K95" i="1"/>
  <c r="L95" i="1"/>
  <c r="M95" i="1"/>
  <c r="O95" i="1"/>
  <c r="H96" i="1"/>
  <c r="I96" i="1"/>
  <c r="J96" i="1"/>
  <c r="K96" i="1"/>
  <c r="L96" i="1"/>
  <c r="M96" i="1"/>
  <c r="O96" i="1"/>
  <c r="H97" i="1"/>
  <c r="I97" i="1"/>
  <c r="J97" i="1"/>
  <c r="K97" i="1"/>
  <c r="L97" i="1"/>
  <c r="M97" i="1"/>
  <c r="O97" i="1"/>
  <c r="H98" i="1"/>
  <c r="I98" i="1"/>
  <c r="J98" i="1"/>
  <c r="K98" i="1"/>
  <c r="L98" i="1"/>
  <c r="M98" i="1"/>
  <c r="O98" i="1"/>
  <c r="H99" i="1"/>
  <c r="I99" i="1"/>
  <c r="J99" i="1"/>
  <c r="K99" i="1"/>
  <c r="L99" i="1"/>
  <c r="M99" i="1"/>
  <c r="O99" i="1"/>
  <c r="H100" i="1"/>
  <c r="I100" i="1"/>
  <c r="J100" i="1"/>
  <c r="K100" i="1"/>
  <c r="L100" i="1"/>
  <c r="M100" i="1"/>
  <c r="O100" i="1"/>
  <c r="H101" i="1"/>
  <c r="I101" i="1"/>
  <c r="J101" i="1"/>
  <c r="K101" i="1"/>
  <c r="L101" i="1"/>
  <c r="M101" i="1"/>
  <c r="O101" i="1"/>
  <c r="H102" i="1"/>
  <c r="I102" i="1"/>
  <c r="J102" i="1"/>
  <c r="K102" i="1"/>
  <c r="L102" i="1"/>
  <c r="M102" i="1"/>
  <c r="O102" i="1"/>
  <c r="H103" i="1"/>
  <c r="I103" i="1"/>
  <c r="J103" i="1"/>
  <c r="K103" i="1"/>
  <c r="L103" i="1"/>
  <c r="M103" i="1"/>
  <c r="O103" i="1"/>
  <c r="H104" i="1"/>
  <c r="I104" i="1"/>
  <c r="J104" i="1"/>
  <c r="K104" i="1"/>
  <c r="L104" i="1"/>
  <c r="M104" i="1"/>
  <c r="O104" i="1"/>
  <c r="H105" i="1"/>
  <c r="I105" i="1"/>
  <c r="J105" i="1"/>
  <c r="K105" i="1"/>
  <c r="L105" i="1"/>
  <c r="M105" i="1"/>
  <c r="O105" i="1"/>
  <c r="H106" i="1"/>
  <c r="I106" i="1"/>
  <c r="J106" i="1"/>
  <c r="K106" i="1"/>
  <c r="L106" i="1"/>
  <c r="M106" i="1"/>
  <c r="O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F108" i="1"/>
  <c r="E108" i="1"/>
  <c r="D108" i="1"/>
  <c r="G106" i="1"/>
  <c r="C104" i="1"/>
  <c r="E104" i="1"/>
  <c r="G104" i="1"/>
  <c r="C98" i="1"/>
  <c r="D98" i="1"/>
  <c r="G98" i="1"/>
  <c r="D100" i="1"/>
  <c r="G100" i="1"/>
  <c r="D96" i="1"/>
  <c r="H93" i="1"/>
  <c r="I93" i="1"/>
  <c r="J93" i="1"/>
  <c r="K93" i="1"/>
  <c r="L93" i="1"/>
  <c r="M93" i="1"/>
  <c r="P24" i="3"/>
  <c r="C24" i="3"/>
  <c r="P12" i="3"/>
  <c r="O93" i="1"/>
  <c r="R71" i="1"/>
  <c r="R72" i="1"/>
  <c r="R73" i="1"/>
  <c r="R74" i="1"/>
  <c r="R75" i="1"/>
  <c r="U41" i="1"/>
  <c r="H4" i="1"/>
  <c r="I4" i="1"/>
  <c r="J4" i="1"/>
  <c r="K4" i="1"/>
  <c r="L4" i="1"/>
  <c r="M4" i="1"/>
  <c r="O4" i="1"/>
  <c r="H7" i="1"/>
  <c r="I7" i="1"/>
  <c r="J7" i="1"/>
  <c r="K7" i="1"/>
  <c r="L7" i="1"/>
  <c r="M7" i="1"/>
  <c r="O7" i="1"/>
  <c r="U37" i="1"/>
  <c r="H11" i="1"/>
  <c r="I11" i="1"/>
  <c r="J11" i="1"/>
  <c r="K11" i="1"/>
  <c r="L11" i="1"/>
  <c r="M11" i="1"/>
  <c r="O11" i="1"/>
  <c r="R50" i="1"/>
  <c r="H14" i="1"/>
  <c r="I14" i="1"/>
  <c r="J14" i="1"/>
  <c r="K14" i="1"/>
  <c r="L14" i="1"/>
  <c r="M14" i="1"/>
  <c r="O14" i="1"/>
  <c r="R51" i="1"/>
  <c r="H17" i="1"/>
  <c r="I17" i="1"/>
  <c r="J17" i="1"/>
  <c r="K17" i="1"/>
  <c r="L17" i="1"/>
  <c r="M17" i="1"/>
  <c r="O17" i="1"/>
  <c r="R52" i="1"/>
  <c r="H20" i="1"/>
  <c r="I20" i="1"/>
  <c r="J20" i="1"/>
  <c r="K20" i="1"/>
  <c r="L20" i="1"/>
  <c r="M20" i="1"/>
  <c r="O20" i="1"/>
  <c r="R53" i="1"/>
  <c r="H23" i="1"/>
  <c r="I23" i="1"/>
  <c r="J23" i="1"/>
  <c r="K23" i="1"/>
  <c r="L23" i="1"/>
  <c r="M23" i="1"/>
  <c r="O23" i="1"/>
  <c r="R54" i="1"/>
  <c r="H25" i="1"/>
  <c r="I25" i="1"/>
  <c r="J25" i="1"/>
  <c r="K25" i="1"/>
  <c r="L25" i="1"/>
  <c r="M25" i="1"/>
  <c r="O25" i="1"/>
  <c r="R55" i="1"/>
  <c r="U38" i="1"/>
  <c r="O30" i="1"/>
  <c r="R56" i="1"/>
  <c r="H33" i="1"/>
  <c r="I33" i="1"/>
  <c r="J33" i="1"/>
  <c r="K33" i="1"/>
  <c r="L33" i="1"/>
  <c r="M33" i="1"/>
  <c r="O33" i="1"/>
  <c r="R57" i="1"/>
  <c r="H36" i="1"/>
  <c r="I36" i="1"/>
  <c r="J36" i="1"/>
  <c r="K36" i="1"/>
  <c r="L36" i="1"/>
  <c r="M36" i="1"/>
  <c r="O36" i="1"/>
  <c r="R58" i="1"/>
  <c r="H39" i="1"/>
  <c r="I39" i="1"/>
  <c r="J39" i="1"/>
  <c r="K39" i="1"/>
  <c r="L39" i="1"/>
  <c r="M39" i="1"/>
  <c r="O39" i="1"/>
  <c r="R59" i="1"/>
  <c r="H42" i="1"/>
  <c r="I42" i="1"/>
  <c r="J42" i="1"/>
  <c r="K42" i="1"/>
  <c r="L42" i="1"/>
  <c r="M42" i="1"/>
  <c r="O42" i="1"/>
  <c r="R60" i="1"/>
  <c r="H45" i="1"/>
  <c r="I45" i="1"/>
  <c r="J45" i="1"/>
  <c r="K45" i="1"/>
  <c r="L45" i="1"/>
  <c r="M45" i="1"/>
  <c r="O45" i="1"/>
  <c r="R61" i="1"/>
  <c r="H48" i="1"/>
  <c r="I48" i="1"/>
  <c r="J48" i="1"/>
  <c r="K48" i="1"/>
  <c r="L48" i="1"/>
  <c r="M48" i="1"/>
  <c r="O48" i="1"/>
  <c r="R62" i="1"/>
  <c r="U39" i="1"/>
  <c r="H52" i="1"/>
  <c r="I52" i="1"/>
  <c r="J52" i="1"/>
  <c r="K52" i="1"/>
  <c r="L52" i="1"/>
  <c r="M52" i="1"/>
  <c r="O52" i="1"/>
  <c r="R63" i="1"/>
  <c r="H54" i="1"/>
  <c r="I54" i="1"/>
  <c r="J54" i="1"/>
  <c r="K54" i="1"/>
  <c r="L54" i="1"/>
  <c r="M54" i="1"/>
  <c r="O54" i="1"/>
  <c r="R64" i="1"/>
  <c r="H56" i="1"/>
  <c r="I56" i="1"/>
  <c r="J56" i="1"/>
  <c r="K56" i="1"/>
  <c r="L56" i="1"/>
  <c r="M56" i="1"/>
  <c r="O56" i="1"/>
  <c r="R65" i="1"/>
  <c r="H58" i="1"/>
  <c r="I58" i="1"/>
  <c r="J58" i="1"/>
  <c r="K58" i="1"/>
  <c r="L58" i="1"/>
  <c r="M58" i="1"/>
  <c r="O58" i="1"/>
  <c r="R66" i="1"/>
  <c r="H60" i="1"/>
  <c r="I60" i="1"/>
  <c r="J60" i="1"/>
  <c r="K60" i="1"/>
  <c r="L60" i="1"/>
  <c r="M60" i="1"/>
  <c r="O60" i="1"/>
  <c r="R67" i="1"/>
  <c r="H62" i="1"/>
  <c r="I62" i="1"/>
  <c r="J62" i="1"/>
  <c r="K62" i="1"/>
  <c r="L62" i="1"/>
  <c r="M62" i="1"/>
  <c r="O62" i="1"/>
  <c r="R69" i="1"/>
  <c r="H64" i="1"/>
  <c r="I64" i="1"/>
  <c r="J64" i="1"/>
  <c r="K64" i="1"/>
  <c r="L64" i="1"/>
  <c r="M64" i="1"/>
  <c r="O64" i="1"/>
  <c r="R70" i="1"/>
  <c r="U40" i="1"/>
  <c r="R76" i="1"/>
  <c r="R77" i="1"/>
  <c r="R78" i="1"/>
  <c r="R79" i="1"/>
  <c r="U42" i="1"/>
  <c r="U43" i="1"/>
  <c r="W38" i="1"/>
  <c r="W39" i="1"/>
  <c r="W40" i="1"/>
  <c r="W41" i="1"/>
  <c r="W42" i="1"/>
  <c r="W37" i="1"/>
  <c r="O10" i="1"/>
  <c r="O12" i="1"/>
  <c r="O15" i="1"/>
  <c r="O18" i="1"/>
  <c r="O21" i="1"/>
  <c r="O24" i="1"/>
  <c r="T38" i="1"/>
  <c r="O2" i="1"/>
  <c r="T37" i="1"/>
  <c r="O28" i="1"/>
  <c r="O34" i="1"/>
  <c r="O40" i="1"/>
  <c r="O43" i="1"/>
  <c r="O46" i="1"/>
  <c r="T39" i="1"/>
  <c r="O51" i="1"/>
  <c r="O53" i="1"/>
  <c r="O55" i="1"/>
  <c r="O57" i="1"/>
  <c r="O61" i="1"/>
  <c r="T40" i="1"/>
  <c r="O67" i="1"/>
  <c r="O70" i="1"/>
  <c r="O72" i="1"/>
  <c r="O74" i="1"/>
  <c r="O76" i="1"/>
  <c r="O80" i="1"/>
  <c r="O82" i="1"/>
  <c r="O85" i="1"/>
  <c r="O88" i="1"/>
  <c r="T41" i="1"/>
  <c r="T42" i="1"/>
  <c r="T43" i="1"/>
  <c r="V38" i="1"/>
  <c r="V39" i="1"/>
  <c r="V40" i="1"/>
  <c r="V41" i="1"/>
  <c r="V42" i="1"/>
  <c r="V43" i="1"/>
  <c r="V37" i="1"/>
  <c r="T77" i="1"/>
  <c r="U77" i="1"/>
  <c r="U79" i="1"/>
  <c r="U78" i="1"/>
  <c r="U76" i="1"/>
  <c r="T78" i="1"/>
  <c r="T79" i="1"/>
  <c r="T76" i="1"/>
  <c r="T75" i="1"/>
  <c r="T74" i="1"/>
  <c r="T73" i="1"/>
  <c r="T72" i="1"/>
  <c r="T71" i="1"/>
  <c r="U75" i="1"/>
  <c r="U73" i="1"/>
  <c r="U71" i="1"/>
  <c r="O63" i="1"/>
  <c r="U70" i="1"/>
  <c r="U69" i="1"/>
  <c r="U66" i="1"/>
  <c r="U65" i="1"/>
  <c r="U64" i="1"/>
  <c r="U63" i="1"/>
  <c r="T64" i="1"/>
  <c r="T65" i="1"/>
  <c r="T66" i="1"/>
  <c r="T67" i="1"/>
  <c r="T69" i="1"/>
  <c r="T70" i="1"/>
  <c r="T63" i="1"/>
  <c r="U62" i="1"/>
  <c r="U61" i="1"/>
  <c r="U60" i="1"/>
  <c r="U58" i="1"/>
  <c r="U57" i="1"/>
  <c r="U56" i="1"/>
  <c r="T57" i="1"/>
  <c r="T58" i="1"/>
  <c r="T59" i="1"/>
  <c r="T60" i="1"/>
  <c r="T61" i="1"/>
  <c r="T62" i="1"/>
  <c r="T56" i="1"/>
  <c r="U55" i="1"/>
  <c r="U54" i="1"/>
  <c r="U53" i="1"/>
  <c r="U52" i="1"/>
  <c r="U51" i="1"/>
  <c r="U50" i="1"/>
  <c r="T51" i="1"/>
  <c r="T52" i="1"/>
  <c r="T53" i="1"/>
  <c r="T54" i="1"/>
  <c r="T55" i="1"/>
  <c r="T50" i="1"/>
  <c r="U48" i="1"/>
  <c r="R49" i="1"/>
  <c r="T49" i="1"/>
  <c r="R48" i="1"/>
  <c r="T48" i="1"/>
  <c r="R36" i="1"/>
  <c r="S49" i="1"/>
  <c r="R38" i="1"/>
  <c r="S52" i="1"/>
  <c r="S53" i="1"/>
  <c r="S54" i="1"/>
  <c r="S55" i="1"/>
  <c r="S51" i="1"/>
  <c r="S50" i="1"/>
  <c r="S48" i="1"/>
  <c r="H91" i="1"/>
  <c r="I91" i="1"/>
  <c r="J91" i="1"/>
  <c r="K91" i="1"/>
  <c r="L91" i="1"/>
  <c r="M91" i="1"/>
  <c r="H89" i="1"/>
  <c r="I89" i="1"/>
  <c r="J89" i="1"/>
  <c r="K89" i="1"/>
  <c r="L89" i="1"/>
  <c r="M89" i="1"/>
  <c r="H87" i="1"/>
  <c r="I87" i="1"/>
  <c r="J87" i="1"/>
  <c r="K87" i="1"/>
  <c r="L87" i="1"/>
  <c r="M87" i="1"/>
  <c r="H86" i="1"/>
  <c r="I86" i="1"/>
  <c r="J86" i="1"/>
  <c r="K86" i="1"/>
  <c r="L86" i="1"/>
  <c r="M86" i="1"/>
  <c r="H83" i="1"/>
  <c r="I83" i="1"/>
  <c r="J83" i="1"/>
  <c r="K83" i="1"/>
  <c r="L83" i="1"/>
  <c r="M83" i="1"/>
  <c r="H84" i="1"/>
  <c r="I84" i="1"/>
  <c r="J84" i="1"/>
  <c r="K84" i="1"/>
  <c r="L84" i="1"/>
  <c r="M84" i="1"/>
  <c r="H81" i="1"/>
  <c r="I81" i="1"/>
  <c r="J81" i="1"/>
  <c r="K81" i="1"/>
  <c r="L81" i="1"/>
  <c r="M81" i="1"/>
  <c r="H79" i="1"/>
  <c r="I79" i="1"/>
  <c r="J79" i="1"/>
  <c r="K79" i="1"/>
  <c r="L79" i="1"/>
  <c r="M79" i="1"/>
  <c r="H75" i="1"/>
  <c r="I75" i="1"/>
  <c r="J75" i="1"/>
  <c r="K75" i="1"/>
  <c r="L75" i="1"/>
  <c r="M75" i="1"/>
  <c r="H71" i="1"/>
  <c r="I71" i="1"/>
  <c r="J71" i="1"/>
  <c r="K71" i="1"/>
  <c r="L71" i="1"/>
  <c r="M71" i="1"/>
  <c r="H77" i="1"/>
  <c r="I77" i="1"/>
  <c r="J77" i="1"/>
  <c r="K77" i="1"/>
  <c r="L77" i="1"/>
  <c r="M77" i="1"/>
  <c r="H73" i="1"/>
  <c r="I73" i="1"/>
  <c r="J73" i="1"/>
  <c r="K73" i="1"/>
  <c r="L73" i="1"/>
  <c r="M73" i="1"/>
  <c r="H68" i="1"/>
  <c r="I68" i="1"/>
  <c r="J68" i="1"/>
  <c r="K68" i="1"/>
  <c r="L68" i="1"/>
  <c r="M68" i="1"/>
  <c r="L30" i="1"/>
  <c r="K30" i="1"/>
  <c r="J30" i="1"/>
  <c r="I30" i="1"/>
  <c r="H30" i="1"/>
  <c r="L29" i="1"/>
  <c r="K29" i="1"/>
  <c r="J29" i="1"/>
  <c r="I29" i="1"/>
  <c r="H29" i="1"/>
  <c r="H47" i="1"/>
  <c r="I47" i="1"/>
  <c r="J47" i="1"/>
  <c r="K47" i="1"/>
  <c r="L47" i="1"/>
  <c r="M47" i="1"/>
  <c r="H44" i="1"/>
  <c r="I44" i="1"/>
  <c r="J44" i="1"/>
  <c r="K44" i="1"/>
  <c r="L44" i="1"/>
  <c r="M44" i="1"/>
  <c r="H41" i="1"/>
  <c r="I41" i="1"/>
  <c r="J41" i="1"/>
  <c r="K41" i="1"/>
  <c r="L41" i="1"/>
  <c r="M41" i="1"/>
  <c r="H38" i="1"/>
  <c r="I38" i="1"/>
  <c r="J38" i="1"/>
  <c r="K38" i="1"/>
  <c r="L38" i="1"/>
  <c r="M38" i="1"/>
  <c r="H35" i="1"/>
  <c r="I35" i="1"/>
  <c r="J35" i="1"/>
  <c r="K35" i="1"/>
  <c r="L35" i="1"/>
  <c r="M35" i="1"/>
  <c r="H32" i="1"/>
  <c r="I32" i="1"/>
  <c r="J32" i="1"/>
  <c r="K32" i="1"/>
  <c r="L32" i="1"/>
  <c r="M32" i="1"/>
  <c r="O31" i="1"/>
  <c r="H22" i="1"/>
  <c r="I22" i="1"/>
  <c r="J22" i="1"/>
  <c r="K22" i="1"/>
  <c r="L22" i="1"/>
  <c r="M22" i="1"/>
  <c r="H19" i="1"/>
  <c r="I19" i="1"/>
  <c r="J19" i="1"/>
  <c r="K19" i="1"/>
  <c r="L19" i="1"/>
  <c r="M19" i="1"/>
  <c r="I16" i="1"/>
  <c r="J16" i="1"/>
  <c r="K16" i="1"/>
  <c r="L16" i="1"/>
  <c r="H16" i="1"/>
  <c r="H13" i="1"/>
  <c r="I13" i="1"/>
  <c r="J13" i="1"/>
  <c r="K13" i="1"/>
  <c r="L13" i="1"/>
  <c r="M13" i="1"/>
  <c r="H6" i="1"/>
  <c r="I6" i="1"/>
  <c r="J6" i="1"/>
  <c r="K6" i="1"/>
  <c r="L6" i="1"/>
  <c r="M6" i="1"/>
  <c r="M16" i="1"/>
  <c r="L3" i="1"/>
  <c r="H3" i="1"/>
  <c r="I3" i="1"/>
  <c r="J3" i="1"/>
  <c r="K3" i="1"/>
  <c r="M3" i="1"/>
</calcChain>
</file>

<file path=xl/sharedStrings.xml><?xml version="1.0" encoding="utf-8"?>
<sst xmlns="http://schemas.openxmlformats.org/spreadsheetml/2006/main" count="959" uniqueCount="182">
  <si>
    <t>CHR1</t>
  </si>
  <si>
    <t>Year</t>
  </si>
  <si>
    <t>Fecal Coliform</t>
  </si>
  <si>
    <t>E-Coli</t>
  </si>
  <si>
    <t>TSS</t>
  </si>
  <si>
    <t>Bio Condition</t>
  </si>
  <si>
    <t>Total Ranking Value</t>
  </si>
  <si>
    <t>CHR2</t>
  </si>
  <si>
    <t>TN</t>
  </si>
  <si>
    <t>TP</t>
  </si>
  <si>
    <t>Prior Ranking</t>
  </si>
  <si>
    <t>WHR1</t>
  </si>
  <si>
    <t>WOL1</t>
  </si>
  <si>
    <t>WCC1</t>
  </si>
  <si>
    <t>WCC2</t>
  </si>
  <si>
    <t>WCC3</t>
  </si>
  <si>
    <t>WHR2</t>
  </si>
  <si>
    <t>WOK1</t>
  </si>
  <si>
    <t>WOK2</t>
  </si>
  <si>
    <t>WOK3</t>
  </si>
  <si>
    <t>WOK4</t>
  </si>
  <si>
    <t>POR1</t>
  </si>
  <si>
    <t>POR2</t>
  </si>
  <si>
    <t>POR3</t>
  </si>
  <si>
    <t>MER1</t>
  </si>
  <si>
    <t>MER3</t>
  </si>
  <si>
    <t>MER4</t>
  </si>
  <si>
    <t>NFL1</t>
  </si>
  <si>
    <t>AMH1</t>
  </si>
  <si>
    <t>WHR3</t>
  </si>
  <si>
    <t>RED1</t>
  </si>
  <si>
    <t>BEA1</t>
  </si>
  <si>
    <t>BEA2</t>
  </si>
  <si>
    <t>BEA3</t>
  </si>
  <si>
    <t>BLC1</t>
  </si>
  <si>
    <t>BLC2</t>
  </si>
  <si>
    <t>EAN1</t>
  </si>
  <si>
    <t>EAN2</t>
  </si>
  <si>
    <t>LOD1</t>
  </si>
  <si>
    <t>POT1</t>
  </si>
  <si>
    <t>COR1</t>
  </si>
  <si>
    <t>WHR5</t>
  </si>
  <si>
    <t>PAS1</t>
  </si>
  <si>
    <t>PAS2</t>
  </si>
  <si>
    <t>PAS3</t>
  </si>
  <si>
    <t>CRA1</t>
  </si>
  <si>
    <t>BUZ1</t>
  </si>
  <si>
    <t>BLP1</t>
  </si>
  <si>
    <t>LON1</t>
  </si>
  <si>
    <t>WHR4</t>
  </si>
  <si>
    <t>No Data</t>
  </si>
  <si>
    <t>Total Chem</t>
  </si>
  <si>
    <t>CHR1 2011</t>
  </si>
  <si>
    <t>CHR2 2011</t>
  </si>
  <si>
    <t>% Difference from Average</t>
  </si>
  <si>
    <t>Trend</t>
  </si>
  <si>
    <t>Cheyenne River Minimum Score</t>
  </si>
  <si>
    <t>White Clay Creek Minimum Score</t>
  </si>
  <si>
    <t>WHR1 2011</t>
  </si>
  <si>
    <t>WOL1 2011</t>
  </si>
  <si>
    <t>WCC1 2011</t>
  </si>
  <si>
    <t>WCC2 2011</t>
  </si>
  <si>
    <t>WCC3 2011</t>
  </si>
  <si>
    <t>WHR2 2011</t>
  </si>
  <si>
    <t>% Difference from Best Water Quality</t>
  </si>
  <si>
    <t>WOK1 2011</t>
  </si>
  <si>
    <t>WOK2 2011</t>
  </si>
  <si>
    <t>WOK3 2011</t>
  </si>
  <si>
    <t>WOK4 2011</t>
  </si>
  <si>
    <t>POR1 2011</t>
  </si>
  <si>
    <t>POR2 2011</t>
  </si>
  <si>
    <t>POR3 2011</t>
  </si>
  <si>
    <t>Medicine Root Subwatershed Average Score</t>
  </si>
  <si>
    <t>Wounded Knee Subwatershed Average Score</t>
  </si>
  <si>
    <t>White Clay Subwatershed Average Score</t>
  </si>
  <si>
    <t xml:space="preserve">Cheyenne River Subwatershed Score </t>
  </si>
  <si>
    <t>AMH1 2010</t>
  </si>
  <si>
    <t>MER1 2010</t>
  </si>
  <si>
    <t>NFL1 2010</t>
  </si>
  <si>
    <t>MER3 2010</t>
  </si>
  <si>
    <t>MER4 2010</t>
  </si>
  <si>
    <t>WHR3 2010</t>
  </si>
  <si>
    <t>RED1 2010</t>
  </si>
  <si>
    <t>Medicine Root Creek Subwatershed Average Score</t>
  </si>
  <si>
    <t>Line</t>
  </si>
  <si>
    <t>PAS1 2009</t>
  </si>
  <si>
    <t>PAS2 2009</t>
  </si>
  <si>
    <t>PAS3 2009</t>
  </si>
  <si>
    <t>BUZ1 2009</t>
  </si>
  <si>
    <t>BLP1 2009</t>
  </si>
  <si>
    <t>LWR1 2009</t>
  </si>
  <si>
    <t>LWR2 2009</t>
  </si>
  <si>
    <t>LWR3 2009</t>
  </si>
  <si>
    <t>LWR4 2009</t>
  </si>
  <si>
    <t>Pass Creek Subwatershed Average Score</t>
  </si>
  <si>
    <t>Little White River Average Score</t>
  </si>
  <si>
    <t>Current Ranking</t>
  </si>
  <si>
    <t>Longitudinal Change</t>
  </si>
  <si>
    <t>Regional Comparision</t>
  </si>
  <si>
    <t>Regional Average</t>
  </si>
  <si>
    <t>2012-2013</t>
  </si>
  <si>
    <t>`</t>
  </si>
  <si>
    <t>Bio Score</t>
  </si>
  <si>
    <t>1990s</t>
  </si>
  <si>
    <t>Bacteria</t>
  </si>
  <si>
    <t>2008-2010</t>
  </si>
  <si>
    <t>Prior</t>
  </si>
  <si>
    <t>2012-2012</t>
  </si>
  <si>
    <t>% Bacteria</t>
  </si>
  <si>
    <t>Coliform</t>
  </si>
  <si>
    <t>E Coli</t>
  </si>
  <si>
    <t>%Bacteria</t>
  </si>
  <si>
    <t>Differences</t>
  </si>
  <si>
    <t>Buzzard Creek</t>
  </si>
  <si>
    <t>Pass Creek 1</t>
  </si>
  <si>
    <t>Pass Creek 2</t>
  </si>
  <si>
    <t>Pass Creek 3</t>
  </si>
  <si>
    <t>BlackPipe Creek</t>
  </si>
  <si>
    <t>Nitrate</t>
  </si>
  <si>
    <t>Bear Creek 2</t>
  </si>
  <si>
    <t>Bear Creek 3</t>
  </si>
  <si>
    <t>Eagle Nest 1</t>
  </si>
  <si>
    <t>Eagle Nest 2</t>
  </si>
  <si>
    <t>Long Creek</t>
  </si>
  <si>
    <t>Craven Creek</t>
  </si>
  <si>
    <t>Corn Creek</t>
  </si>
  <si>
    <t>Potato Creek</t>
  </si>
  <si>
    <t>Lost Dog Creek</t>
  </si>
  <si>
    <t>Bear Creek 1</t>
  </si>
  <si>
    <t>Health</t>
  </si>
  <si>
    <t>Nitrate-0809</t>
  </si>
  <si>
    <t>Health-0809</t>
  </si>
  <si>
    <t>Nitrate-12</t>
  </si>
  <si>
    <t>Health12</t>
  </si>
  <si>
    <t>Nitrate13</t>
  </si>
  <si>
    <t>Health13</t>
  </si>
  <si>
    <t>Ave1213</t>
  </si>
  <si>
    <t>AveNitrate</t>
  </si>
  <si>
    <t>Median</t>
  </si>
  <si>
    <t>Average</t>
  </si>
  <si>
    <t>MINIMUM</t>
  </si>
  <si>
    <t>MAXIMUM</t>
  </si>
  <si>
    <t>TO DO</t>
  </si>
  <si>
    <t>Temperature Records</t>
  </si>
  <si>
    <t>Stream Flow Records</t>
  </si>
  <si>
    <t>Min</t>
  </si>
  <si>
    <t>Max</t>
  </si>
  <si>
    <t>Month</t>
  </si>
  <si>
    <t>Time</t>
  </si>
  <si>
    <t>Temp</t>
  </si>
  <si>
    <t>RF-Inches</t>
  </si>
  <si>
    <t>RF-Cumulat</t>
  </si>
  <si>
    <t>Annual-WHR-Kad</t>
  </si>
  <si>
    <t>Streamflow-Kadoka</t>
  </si>
  <si>
    <t>Flow</t>
  </si>
  <si>
    <t>Lag1</t>
  </si>
  <si>
    <t>Nitrate07-09</t>
  </si>
  <si>
    <t>Annual</t>
  </si>
  <si>
    <t>May</t>
  </si>
  <si>
    <t>Kadoka- May flows</t>
  </si>
  <si>
    <t>Subtract</t>
  </si>
  <si>
    <t>State Line</t>
  </si>
  <si>
    <t>WQ Standard</t>
  </si>
  <si>
    <t>Bear Creek I</t>
  </si>
  <si>
    <t>93H</t>
  </si>
  <si>
    <t>93L</t>
  </si>
  <si>
    <t>94H</t>
  </si>
  <si>
    <t>95H</t>
  </si>
  <si>
    <t>95L</t>
  </si>
  <si>
    <t>96H</t>
  </si>
  <si>
    <t>96L</t>
  </si>
  <si>
    <t>97H</t>
  </si>
  <si>
    <t>97L</t>
  </si>
  <si>
    <t>00L</t>
  </si>
  <si>
    <t>94L</t>
  </si>
  <si>
    <t>BUGS</t>
  </si>
  <si>
    <t>Sample Sites</t>
  </si>
  <si>
    <t>SEASON</t>
  </si>
  <si>
    <t>DATE</t>
  </si>
  <si>
    <t>Nate</t>
  </si>
  <si>
    <t>Nite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</si>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</sst>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sz val="8"/>
      <color rgb="FFFF0000"/>
      <name val="Calibri"/>
      <scheme val="minor"/>
    </font>
    <font>
      <b/>
      <sz val="8"/>
      <color rgb="FFFF6600"/>
      <name val="Calibri"/>
      <scheme val="minor"/>
    </font>
    <font>
      <sz val="8"/>
      <color rgb="FF000000"/>
      <name val="Calibri"/>
      <scheme val="minor"/>
    </font>
    <font>
      <sz val="8"/>
      <color rgb="FF008000"/>
      <name val="Calibri"/>
      <scheme val="minor"/>
    </font>
    <font>
      <b/>
      <sz val="8"/>
      <color rgb="FF008000"/>
      <name val="Calibri"/>
      <scheme val="minor"/>
    </font>
    <font>
      <i/>
      <sz val="8"/>
      <color theme="1"/>
      <name val="Calibri"/>
      <scheme val="minor"/>
    </font>
    <font>
      <b/>
      <i/>
      <sz val="8"/>
      <color rgb="FFFF0000"/>
      <name val="Calibri"/>
      <scheme val="minor"/>
    </font>
    <font>
      <b/>
      <i/>
      <sz val="8"/>
      <name val="Calibri"/>
      <scheme val="minor"/>
    </font>
    <font>
      <b/>
      <i/>
      <sz val="8"/>
      <color rgb="FF008000"/>
      <name val="Calibri"/>
      <scheme val="minor"/>
    </font>
    <font>
      <b/>
      <sz val="8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i/>
      <sz val="8"/>
      <color theme="1"/>
      <name val="Calibri"/>
      <scheme val="minor"/>
    </font>
    <font>
      <b/>
      <i/>
      <sz val="8"/>
      <color rgb="FF000000"/>
      <name val="Calibri"/>
      <scheme val="minor"/>
    </font>
    <font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sz val="13"/>
      <color theme="1"/>
      <name val="Courier New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8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4" fillId="0" borderId="0" xfId="0" applyFont="1" applyBorder="1"/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13" fillId="0" borderId="8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9" fontId="4" fillId="0" borderId="0" xfId="307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307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9" fontId="8" fillId="0" borderId="0" xfId="307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9" fontId="4" fillId="0" borderId="7" xfId="307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4" fillId="0" borderId="2" xfId="307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/>
    <xf numFmtId="9" fontId="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/>
    <xf numFmtId="9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8" fillId="0" borderId="2" xfId="307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4" fillId="0" borderId="0" xfId="0" applyNumberFormat="1" applyFont="1"/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0" xfId="0" applyNumberFormat="1"/>
    <xf numFmtId="0" fontId="15" fillId="0" borderId="1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9" fontId="8" fillId="0" borderId="7" xfId="307" applyFont="1" applyBorder="1" applyAlignment="1">
      <alignment horizontal="center" vertical="center"/>
    </xf>
    <xf numFmtId="9" fontId="0" fillId="0" borderId="0" xfId="307" applyFont="1"/>
    <xf numFmtId="0" fontId="0" fillId="0" borderId="0" xfId="0" applyNumberFormat="1" applyFill="1" applyBorder="1"/>
    <xf numFmtId="0" fontId="16" fillId="0" borderId="0" xfId="0" applyFont="1"/>
    <xf numFmtId="0" fontId="0" fillId="2" borderId="0" xfId="0" applyFill="1"/>
    <xf numFmtId="0" fontId="0" fillId="0" borderId="0" xfId="0" applyFill="1"/>
    <xf numFmtId="0" fontId="19" fillId="0" borderId="0" xfId="0" applyFont="1"/>
    <xf numFmtId="0" fontId="0" fillId="3" borderId="0" xfId="0" applyFill="1"/>
    <xf numFmtId="9" fontId="0" fillId="0" borderId="0" xfId="0" applyNumberFormat="1"/>
    <xf numFmtId="0" fontId="20" fillId="0" borderId="0" xfId="0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7" fontId="0" fillId="0" borderId="0" xfId="0" applyNumberFormat="1"/>
    <xf numFmtId="0" fontId="21" fillId="4" borderId="0" xfId="0" applyFont="1" applyFill="1" applyAlignment="1">
      <alignment vertical="center" wrapText="1"/>
    </xf>
    <xf numFmtId="0" fontId="21" fillId="5" borderId="0" xfId="0" applyFont="1" applyFill="1" applyAlignment="1">
      <alignment vertical="center" wrapText="1"/>
    </xf>
    <xf numFmtId="14" fontId="0" fillId="0" borderId="0" xfId="0" applyNumberFormat="1"/>
    <xf numFmtId="0" fontId="22" fillId="0" borderId="0" xfId="0" applyFont="1"/>
    <xf numFmtId="0" fontId="23" fillId="0" borderId="0" xfId="0" applyFont="1"/>
    <xf numFmtId="0" fontId="24" fillId="0" borderId="0" xfId="0" applyFont="1" applyFill="1" applyBorder="1"/>
    <xf numFmtId="14" fontId="24" fillId="0" borderId="0" xfId="0" applyNumberFormat="1" applyFont="1" applyBorder="1"/>
    <xf numFmtId="2" fontId="24" fillId="0" borderId="0" xfId="0" applyNumberFormat="1" applyFont="1" applyFill="1" applyBorder="1"/>
    <xf numFmtId="0" fontId="24" fillId="0" borderId="0" xfId="0" applyFont="1" applyBorder="1" applyAlignment="1"/>
    <xf numFmtId="0" fontId="24" fillId="0" borderId="0" xfId="0" applyFont="1" applyBorder="1"/>
    <xf numFmtId="0" fontId="25" fillId="6" borderId="0" xfId="0" applyFont="1" applyFill="1" applyBorder="1" applyAlignment="1">
      <alignment horizontal="center"/>
    </xf>
    <xf numFmtId="14" fontId="25" fillId="6" borderId="0" xfId="0" applyNumberFormat="1" applyFont="1" applyFill="1" applyBorder="1" applyAlignment="1">
      <alignment horizontal="center"/>
    </xf>
    <xf numFmtId="0" fontId="25" fillId="6" borderId="0" xfId="0" applyFont="1" applyFill="1" applyBorder="1"/>
    <xf numFmtId="0" fontId="25" fillId="6" borderId="0" xfId="0" applyNumberFormat="1" applyFont="1" applyFill="1" applyBorder="1"/>
    <xf numFmtId="165" fontId="24" fillId="0" borderId="0" xfId="0" applyNumberFormat="1" applyFont="1" applyFill="1" applyBorder="1"/>
    <xf numFmtId="0" fontId="24" fillId="0" borderId="0" xfId="0" applyNumberFormat="1" applyFont="1" applyFill="1" applyBorder="1"/>
  </cellXfs>
  <cellStyles count="6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Normal" xfId="0" builtinId="0"/>
    <cellStyle name="Percent" xfId="30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chartsheet" Target="chartsheets/sheet2.xml"/><Relationship Id="rId10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</a:t>
            </a:r>
            <a:r>
              <a:rPr lang="en-US" baseline="0"/>
              <a:t> Stream Health and Water Quality Trends for Pine Ridge Reservation Streams Sampled between 2009 - 2011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42356935525775"/>
          <c:y val="0.0980582577578409"/>
          <c:w val="0.926512108011946"/>
          <c:h val="0.720898059218609"/>
        </c:manualLayout>
      </c:layout>
      <c:barChart>
        <c:barDir val="col"/>
        <c:grouping val="clustered"/>
        <c:varyColors val="0"/>
        <c:ser>
          <c:idx val="1"/>
          <c:order val="0"/>
          <c:tx>
            <c:v>% Difference from Subregion Average</c:v>
          </c:tx>
          <c:spPr>
            <a:ln w="47625">
              <a:noFill/>
            </a:ln>
          </c:spPr>
          <c:invertIfNegative val="0"/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Ranking'!$T$48:$T$79</c:f>
              <c:numCache>
                <c:formatCode>0%</c:formatCode>
                <c:ptCount val="32"/>
                <c:pt idx="0">
                  <c:v>0.0344827586206897</c:v>
                </c:pt>
                <c:pt idx="1">
                  <c:v>-0.0344827586206897</c:v>
                </c:pt>
                <c:pt idx="2">
                  <c:v>0.172413793103448</c:v>
                </c:pt>
                <c:pt idx="3">
                  <c:v>0.120689655172414</c:v>
                </c:pt>
                <c:pt idx="4">
                  <c:v>-0.137931034482759</c:v>
                </c:pt>
                <c:pt idx="5">
                  <c:v>-0.0862068965517242</c:v>
                </c:pt>
                <c:pt idx="6">
                  <c:v>0.0172413793103449</c:v>
                </c:pt>
                <c:pt idx="7">
                  <c:v>-0.0862068965517242</c:v>
                </c:pt>
                <c:pt idx="8">
                  <c:v>-0.0862068965517244</c:v>
                </c:pt>
                <c:pt idx="9">
                  <c:v>0.275862068965517</c:v>
                </c:pt>
                <c:pt idx="10">
                  <c:v>-0.0258620689655174</c:v>
                </c:pt>
                <c:pt idx="11">
                  <c:v>-0.146551724137931</c:v>
                </c:pt>
                <c:pt idx="12">
                  <c:v>-0.0258620689655174</c:v>
                </c:pt>
                <c:pt idx="13">
                  <c:v>-0.0258620689655174</c:v>
                </c:pt>
                <c:pt idx="14">
                  <c:v>0.0344827586206894</c:v>
                </c:pt>
                <c:pt idx="15">
                  <c:v>-0.146551724137931</c:v>
                </c:pt>
                <c:pt idx="16">
                  <c:v>0.0948275862068965</c:v>
                </c:pt>
                <c:pt idx="17">
                  <c:v>0.396551724137931</c:v>
                </c:pt>
                <c:pt idx="18">
                  <c:v>-0.0258620689655173</c:v>
                </c:pt>
                <c:pt idx="19">
                  <c:v>0.155172413793103</c:v>
                </c:pt>
                <c:pt idx="21">
                  <c:v>-0.267241379310345</c:v>
                </c:pt>
                <c:pt idx="22">
                  <c:v>-0.206896551724138</c:v>
                </c:pt>
                <c:pt idx="23">
                  <c:v>0.090909090909091</c:v>
                </c:pt>
                <c:pt idx="24">
                  <c:v>0.147727272727273</c:v>
                </c:pt>
                <c:pt idx="25">
                  <c:v>0.261363636363636</c:v>
                </c:pt>
                <c:pt idx="26">
                  <c:v>-0.477272727272727</c:v>
                </c:pt>
                <c:pt idx="27">
                  <c:v>-0.0227272727272726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577784"/>
        <c:axId val="2107571992"/>
      </c:barChart>
      <c:lineChart>
        <c:grouping val="standard"/>
        <c:varyColors val="0"/>
        <c:ser>
          <c:idx val="0"/>
          <c:order val="1"/>
          <c:tx>
            <c:v>Water Quality Trend</c:v>
          </c:tx>
          <c:spPr>
            <a:ln w="47625">
              <a:noFill/>
            </a:ln>
          </c:spPr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Ranking'!$U$48:$U$79</c:f>
              <c:numCache>
                <c:formatCode>General</c:formatCode>
                <c:ptCount val="32"/>
                <c:pt idx="0" formatCode="0%">
                  <c:v>-0.0856610800744877</c:v>
                </c:pt>
                <c:pt idx="2" formatCode="0%">
                  <c:v>0.0398162327718223</c:v>
                </c:pt>
                <c:pt idx="3" formatCode="0%">
                  <c:v>0.0654338549075391</c:v>
                </c:pt>
                <c:pt idx="4" formatCode="0%">
                  <c:v>-0.427586206896552</c:v>
                </c:pt>
                <c:pt idx="5" formatCode="0%">
                  <c:v>-0.431259044862518</c:v>
                </c:pt>
                <c:pt idx="6" formatCode="0%">
                  <c:v>-0.171428571428571</c:v>
                </c:pt>
                <c:pt idx="7" formatCode="0%">
                  <c:v>-0.1</c:v>
                </c:pt>
                <c:pt idx="8" formatCode="0%">
                  <c:v>0.222222222222222</c:v>
                </c:pt>
                <c:pt idx="9" formatCode="0%">
                  <c:v>0.162162162162162</c:v>
                </c:pt>
                <c:pt idx="10" formatCode="0%">
                  <c:v>0.162162162162162</c:v>
                </c:pt>
                <c:pt idx="12" formatCode="0%">
                  <c:v>0.0872011251758087</c:v>
                </c:pt>
                <c:pt idx="13" formatCode="0%">
                  <c:v>-0.0606060606060605</c:v>
                </c:pt>
                <c:pt idx="14" formatCode="0%">
                  <c:v>-0.0645161290322581</c:v>
                </c:pt>
                <c:pt idx="15" formatCode="0%">
                  <c:v>-0.303030303030303</c:v>
                </c:pt>
                <c:pt idx="16" formatCode="0%">
                  <c:v>-0.181818181818182</c:v>
                </c:pt>
                <c:pt idx="17" formatCode="0%">
                  <c:v>0.666666666666667</c:v>
                </c:pt>
                <c:pt idx="18" formatCode="0%">
                  <c:v>0.256410256410256</c:v>
                </c:pt>
                <c:pt idx="21" formatCode="0%">
                  <c:v>-0.333333333333333</c:v>
                </c:pt>
                <c:pt idx="22" formatCode="0%">
                  <c:v>0.0606060606060606</c:v>
                </c:pt>
                <c:pt idx="23" formatCode="0%">
                  <c:v>0.0</c:v>
                </c:pt>
                <c:pt idx="25" formatCode="0%">
                  <c:v>0.0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Zero Line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Ranking'!$V$48:$V$79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77784"/>
        <c:axId val="2107571992"/>
      </c:lineChart>
      <c:catAx>
        <c:axId val="2107577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2107571992"/>
        <c:crossesAt val="-0.6"/>
        <c:auto val="1"/>
        <c:lblAlgn val="ctr"/>
        <c:lblOffset val="100"/>
        <c:noMultiLvlLbl val="0"/>
      </c:catAx>
      <c:valAx>
        <c:axId val="21075719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107577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Nitrate!$T$1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Nitrate!$P$2:$P$18</c:f>
              <c:strCache>
                <c:ptCount val="17"/>
                <c:pt idx="0">
                  <c:v>Bear Creek 1</c:v>
                </c:pt>
                <c:pt idx="1">
                  <c:v>Bear Creek 2</c:v>
                </c:pt>
                <c:pt idx="2">
                  <c:v>Bear Creek 3</c:v>
                </c:pt>
                <c:pt idx="3">
                  <c:v>BlackPipe Creek</c:v>
                </c:pt>
                <c:pt idx="4">
                  <c:v>BLC1</c:v>
                </c:pt>
                <c:pt idx="5">
                  <c:v>BLC2</c:v>
                </c:pt>
                <c:pt idx="6">
                  <c:v>Buzzard Creek</c:v>
                </c:pt>
                <c:pt idx="7">
                  <c:v>Corn Creek</c:v>
                </c:pt>
                <c:pt idx="8">
                  <c:v>Craven Creek</c:v>
                </c:pt>
                <c:pt idx="9">
                  <c:v>Eagle Nest 1</c:v>
                </c:pt>
                <c:pt idx="10">
                  <c:v>Eagle Nest 2</c:v>
                </c:pt>
                <c:pt idx="12">
                  <c:v>Lost Dog Creek</c:v>
                </c:pt>
                <c:pt idx="13">
                  <c:v>Pass Creek 1</c:v>
                </c:pt>
                <c:pt idx="14">
                  <c:v>Pass Creek 2</c:v>
                </c:pt>
                <c:pt idx="15">
                  <c:v>Pass Creek 3</c:v>
                </c:pt>
                <c:pt idx="16">
                  <c:v>Potato Creek</c:v>
                </c:pt>
              </c:strCache>
            </c:strRef>
          </c:cat>
          <c:val>
            <c:numRef>
              <c:f>Nitrate!$T$2:$T$18</c:f>
              <c:numCache>
                <c:formatCode>General</c:formatCode>
                <c:ptCount val="17"/>
                <c:pt idx="0">
                  <c:v>0.33</c:v>
                </c:pt>
                <c:pt idx="1">
                  <c:v>0.2804</c:v>
                </c:pt>
                <c:pt idx="2">
                  <c:v>0.216666666666667</c:v>
                </c:pt>
                <c:pt idx="4">
                  <c:v>0.401666666666667</c:v>
                </c:pt>
                <c:pt idx="5">
                  <c:v>0.2005</c:v>
                </c:pt>
                <c:pt idx="6">
                  <c:v>0.3</c:v>
                </c:pt>
                <c:pt idx="7">
                  <c:v>0.35</c:v>
                </c:pt>
                <c:pt idx="8">
                  <c:v>1.4</c:v>
                </c:pt>
                <c:pt idx="9">
                  <c:v>0.07</c:v>
                </c:pt>
                <c:pt idx="10">
                  <c:v>0.45</c:v>
                </c:pt>
                <c:pt idx="12">
                  <c:v>0.4</c:v>
                </c:pt>
                <c:pt idx="13">
                  <c:v>0.433</c:v>
                </c:pt>
                <c:pt idx="14">
                  <c:v>0.173333333333333</c:v>
                </c:pt>
                <c:pt idx="16">
                  <c:v>0.100833333333333</c:v>
                </c:pt>
              </c:numCache>
            </c:numRef>
          </c:val>
        </c:ser>
        <c:ser>
          <c:idx val="1"/>
          <c:order val="1"/>
          <c:tx>
            <c:strRef>
              <c:f>Nitrate!$U$1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Nitrate!$P$2:$P$18</c:f>
              <c:strCache>
                <c:ptCount val="17"/>
                <c:pt idx="0">
                  <c:v>Bear Creek 1</c:v>
                </c:pt>
                <c:pt idx="1">
                  <c:v>Bear Creek 2</c:v>
                </c:pt>
                <c:pt idx="2">
                  <c:v>Bear Creek 3</c:v>
                </c:pt>
                <c:pt idx="3">
                  <c:v>BlackPipe Creek</c:v>
                </c:pt>
                <c:pt idx="4">
                  <c:v>BLC1</c:v>
                </c:pt>
                <c:pt idx="5">
                  <c:v>BLC2</c:v>
                </c:pt>
                <c:pt idx="6">
                  <c:v>Buzzard Creek</c:v>
                </c:pt>
                <c:pt idx="7">
                  <c:v>Corn Creek</c:v>
                </c:pt>
                <c:pt idx="8">
                  <c:v>Craven Creek</c:v>
                </c:pt>
                <c:pt idx="9">
                  <c:v>Eagle Nest 1</c:v>
                </c:pt>
                <c:pt idx="10">
                  <c:v>Eagle Nest 2</c:v>
                </c:pt>
                <c:pt idx="12">
                  <c:v>Lost Dog Creek</c:v>
                </c:pt>
                <c:pt idx="13">
                  <c:v>Pass Creek 1</c:v>
                </c:pt>
                <c:pt idx="14">
                  <c:v>Pass Creek 2</c:v>
                </c:pt>
                <c:pt idx="15">
                  <c:v>Pass Creek 3</c:v>
                </c:pt>
                <c:pt idx="16">
                  <c:v>Potato Creek</c:v>
                </c:pt>
              </c:strCache>
            </c:strRef>
          </c:cat>
          <c:val>
            <c:numRef>
              <c:f>Nitrate!$U$2:$U$18</c:f>
              <c:numCache>
                <c:formatCode>General</c:formatCode>
                <c:ptCount val="17"/>
                <c:pt idx="0">
                  <c:v>0.36</c:v>
                </c:pt>
                <c:pt idx="1">
                  <c:v>0.43</c:v>
                </c:pt>
                <c:pt idx="2">
                  <c:v>0.4</c:v>
                </c:pt>
                <c:pt idx="3">
                  <c:v>0.73</c:v>
                </c:pt>
                <c:pt idx="4">
                  <c:v>0.243333333333333</c:v>
                </c:pt>
                <c:pt idx="5">
                  <c:v>0.223333333333333</c:v>
                </c:pt>
                <c:pt idx="7">
                  <c:v>0.21</c:v>
                </c:pt>
                <c:pt idx="8">
                  <c:v>1.9</c:v>
                </c:pt>
                <c:pt idx="9">
                  <c:v>0.243333333333333</c:v>
                </c:pt>
                <c:pt idx="10">
                  <c:v>1.133333333333333</c:v>
                </c:pt>
                <c:pt idx="15">
                  <c:v>0.0366666666666667</c:v>
                </c:pt>
                <c:pt idx="16">
                  <c:v>0.116666666666667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469064"/>
        <c:axId val="1683472040"/>
      </c:barChart>
      <c:catAx>
        <c:axId val="168346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472040"/>
        <c:crosses val="autoZero"/>
        <c:auto val="1"/>
        <c:lblAlgn val="ctr"/>
        <c:lblOffset val="100"/>
        <c:noMultiLvlLbl val="0"/>
      </c:catAx>
      <c:valAx>
        <c:axId val="168347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46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Nitrate!$S$2:$V$2</c:f>
              <c:numCache>
                <c:formatCode>General</c:formatCode>
                <c:ptCount val="4"/>
                <c:pt idx="1">
                  <c:v>0.33</c:v>
                </c:pt>
                <c:pt idx="2">
                  <c:v>0.36</c:v>
                </c:pt>
                <c:pt idx="3">
                  <c:v>0.345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Nitrate!$S$3:$V$3</c:f>
              <c:numCache>
                <c:formatCode>General</c:formatCode>
                <c:ptCount val="4"/>
                <c:pt idx="1">
                  <c:v>0.2804</c:v>
                </c:pt>
                <c:pt idx="2">
                  <c:v>0.43</c:v>
                </c:pt>
                <c:pt idx="3">
                  <c:v>0.3552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Nitrate!$S$4:$V$4</c:f>
              <c:numCache>
                <c:formatCode>General</c:formatCode>
                <c:ptCount val="4"/>
                <c:pt idx="1">
                  <c:v>0.216666666666667</c:v>
                </c:pt>
                <c:pt idx="2">
                  <c:v>0.4</c:v>
                </c:pt>
                <c:pt idx="3">
                  <c:v>0.308333333333333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Nitrate!$S$5:$V$5</c:f>
              <c:numCache>
                <c:formatCode>General</c:formatCode>
                <c:ptCount val="4"/>
                <c:pt idx="0">
                  <c:v>1.8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Nitrate!$S$6:$V$6</c:f>
              <c:numCache>
                <c:formatCode>General</c:formatCode>
                <c:ptCount val="4"/>
                <c:pt idx="0">
                  <c:v>0.19</c:v>
                </c:pt>
                <c:pt idx="1">
                  <c:v>0.401666666666667</c:v>
                </c:pt>
                <c:pt idx="2">
                  <c:v>0.243333333333333</c:v>
                </c:pt>
                <c:pt idx="3">
                  <c:v>0.3225</c:v>
                </c:pt>
              </c:numCache>
            </c:numRef>
          </c:val>
          <c:smooth val="0"/>
        </c:ser>
        <c:ser>
          <c:idx val="5"/>
          <c:order val="5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Nitrate!$S$7:$V$7</c:f>
              <c:numCache>
                <c:formatCode>General</c:formatCode>
                <c:ptCount val="4"/>
                <c:pt idx="0">
                  <c:v>0.36</c:v>
                </c:pt>
                <c:pt idx="1">
                  <c:v>0.2005</c:v>
                </c:pt>
                <c:pt idx="2">
                  <c:v>0.223333333333333</c:v>
                </c:pt>
                <c:pt idx="3">
                  <c:v>0.211916666666667</c:v>
                </c:pt>
              </c:numCache>
            </c:numRef>
          </c:val>
          <c:smooth val="0"/>
        </c:ser>
        <c:ser>
          <c:idx val="6"/>
          <c:order val="6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Nitrate!$S$8:$V$8</c:f>
              <c:numCache>
                <c:formatCode>General</c:formatCode>
                <c:ptCount val="4"/>
                <c:pt idx="0">
                  <c:v>0.16</c:v>
                </c:pt>
                <c:pt idx="1">
                  <c:v>0.3</c:v>
                </c:pt>
                <c:pt idx="3">
                  <c:v>0.3</c:v>
                </c:pt>
              </c:numCache>
            </c:numRef>
          </c:val>
          <c:smooth val="0"/>
        </c:ser>
        <c:ser>
          <c:idx val="7"/>
          <c:order val="7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Nitrate!$S$9:$V$9</c:f>
              <c:numCache>
                <c:formatCode>General</c:formatCode>
                <c:ptCount val="4"/>
                <c:pt idx="1">
                  <c:v>0.35</c:v>
                </c:pt>
                <c:pt idx="2">
                  <c:v>0.21</c:v>
                </c:pt>
                <c:pt idx="3">
                  <c:v>0.28</c:v>
                </c:pt>
              </c:numCache>
            </c:numRef>
          </c:val>
          <c:smooth val="0"/>
        </c:ser>
        <c:ser>
          <c:idx val="8"/>
          <c:order val="8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Nitrate!$S$10:$V$10</c:f>
              <c:numCache>
                <c:formatCode>General</c:formatCode>
                <c:ptCount val="4"/>
                <c:pt idx="1">
                  <c:v>1.4</c:v>
                </c:pt>
                <c:pt idx="2">
                  <c:v>1.9</c:v>
                </c:pt>
                <c:pt idx="3">
                  <c:v>1.65</c:v>
                </c:pt>
              </c:numCache>
            </c:numRef>
          </c:val>
          <c:smooth val="0"/>
        </c:ser>
        <c:ser>
          <c:idx val="9"/>
          <c:order val="9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Nitrate!$S$11:$V$11</c:f>
              <c:numCache>
                <c:formatCode>General</c:formatCode>
                <c:ptCount val="4"/>
                <c:pt idx="1">
                  <c:v>0.07</c:v>
                </c:pt>
                <c:pt idx="2">
                  <c:v>0.243333333333333</c:v>
                </c:pt>
                <c:pt idx="3">
                  <c:v>0.156666666666667</c:v>
                </c:pt>
              </c:numCache>
            </c:numRef>
          </c:val>
          <c:smooth val="0"/>
        </c:ser>
        <c:ser>
          <c:idx val="10"/>
          <c:order val="10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Nitrate!$S$12:$V$12</c:f>
              <c:numCache>
                <c:formatCode>General</c:formatCode>
                <c:ptCount val="4"/>
                <c:pt idx="1">
                  <c:v>0.45</c:v>
                </c:pt>
                <c:pt idx="2">
                  <c:v>1.133333333333333</c:v>
                </c:pt>
                <c:pt idx="3">
                  <c:v>0.791666666666667</c:v>
                </c:pt>
              </c:numCache>
            </c:numRef>
          </c:val>
          <c:smooth val="0"/>
        </c:ser>
        <c:ser>
          <c:idx val="11"/>
          <c:order val="11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Nitrate!$S$19:$V$19</c:f>
              <c:numCache>
                <c:formatCode>General</c:formatCode>
                <c:ptCount val="4"/>
                <c:pt idx="1">
                  <c:v>2.6</c:v>
                </c:pt>
                <c:pt idx="2">
                  <c:v>2.2</c:v>
                </c:pt>
                <c:pt idx="3">
                  <c:v>2.4</c:v>
                </c:pt>
              </c:numCache>
            </c:numRef>
          </c:val>
          <c:smooth val="0"/>
        </c:ser>
        <c:ser>
          <c:idx val="12"/>
          <c:order val="12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Nitrate!$S$14:$V$14</c:f>
              <c:numCache>
                <c:formatCode>General</c:formatCode>
                <c:ptCount val="4"/>
                <c:pt idx="1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13"/>
          <c:order val="13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Nitrate!$S$15:$V$15</c:f>
              <c:numCache>
                <c:formatCode>General</c:formatCode>
                <c:ptCount val="4"/>
                <c:pt idx="0">
                  <c:v>0.337</c:v>
                </c:pt>
                <c:pt idx="1">
                  <c:v>0.433</c:v>
                </c:pt>
                <c:pt idx="3">
                  <c:v>0.433</c:v>
                </c:pt>
              </c:numCache>
            </c:numRef>
          </c:val>
          <c:smooth val="0"/>
        </c:ser>
        <c:ser>
          <c:idx val="14"/>
          <c:order val="14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Nitrate!$S$16:$V$16</c:f>
              <c:numCache>
                <c:formatCode>General</c:formatCode>
                <c:ptCount val="4"/>
                <c:pt idx="0">
                  <c:v>0.15</c:v>
                </c:pt>
                <c:pt idx="1">
                  <c:v>0.173333333333333</c:v>
                </c:pt>
                <c:pt idx="3">
                  <c:v>0.173333333333333</c:v>
                </c:pt>
              </c:numCache>
            </c:numRef>
          </c:val>
          <c:smooth val="0"/>
        </c:ser>
        <c:ser>
          <c:idx val="15"/>
          <c:order val="15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Nitrate!$S$17:$V$17</c:f>
              <c:numCache>
                <c:formatCode>General</c:formatCode>
                <c:ptCount val="4"/>
                <c:pt idx="0">
                  <c:v>0.06</c:v>
                </c:pt>
                <c:pt idx="2">
                  <c:v>0.0366666666666667</c:v>
                </c:pt>
                <c:pt idx="3">
                  <c:v>0.0366666666666667</c:v>
                </c:pt>
              </c:numCache>
            </c:numRef>
          </c:val>
          <c:smooth val="0"/>
        </c:ser>
        <c:ser>
          <c:idx val="16"/>
          <c:order val="16"/>
          <c:cat>
            <c:strRef>
              <c:f>Nitrate!$S$1:$V$1</c:f>
              <c:strCache>
                <c:ptCount val="4"/>
                <c:pt idx="0">
                  <c:v>2009</c:v>
                </c:pt>
                <c:pt idx="1">
                  <c:v>2012</c:v>
                </c:pt>
                <c:pt idx="2">
                  <c:v>2013</c:v>
                </c:pt>
                <c:pt idx="3">
                  <c:v>AveNitrate</c:v>
                </c:pt>
              </c:strCache>
            </c:strRef>
          </c:cat>
          <c:val>
            <c:numRef>
              <c:f>Nitrate!$S$18:$V$18</c:f>
              <c:numCache>
                <c:formatCode>General</c:formatCode>
                <c:ptCount val="4"/>
                <c:pt idx="1">
                  <c:v>0.100833333333333</c:v>
                </c:pt>
                <c:pt idx="2">
                  <c:v>0.116666666666667</c:v>
                </c:pt>
                <c:pt idx="3">
                  <c:v>0.10875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57624"/>
        <c:axId val="1683560440"/>
      </c:lineChart>
      <c:catAx>
        <c:axId val="16835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560440"/>
        <c:crosses val="autoZero"/>
        <c:auto val="1"/>
        <c:lblAlgn val="ctr"/>
        <c:lblOffset val="100"/>
        <c:noMultiLvlLbl val="0"/>
      </c:catAx>
      <c:valAx>
        <c:axId val="168356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55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Nitrate Concentrations for</a:t>
            </a:r>
            <a:r>
              <a:rPr lang="en-US" baseline="0"/>
              <a:t> Bear in the Lodge and Pass Creek Watersheds</a:t>
            </a:r>
            <a:endParaRPr lang="en-US"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v>25%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Nitrate!$Q$1:$U$1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Nitrate!$Q$21:$U$21</c:f>
              <c:numCache>
                <c:formatCode>General</c:formatCode>
                <c:ptCount val="5"/>
                <c:pt idx="0">
                  <c:v>0.31</c:v>
                </c:pt>
                <c:pt idx="1">
                  <c:v>0.25</c:v>
                </c:pt>
                <c:pt idx="2">
                  <c:v>0.19</c:v>
                </c:pt>
                <c:pt idx="3">
                  <c:v>0.315</c:v>
                </c:pt>
                <c:pt idx="4">
                  <c:v>0.301666666666667</c:v>
                </c:pt>
              </c:numCache>
            </c:numRef>
          </c:val>
          <c:smooth val="0"/>
        </c:ser>
        <c:ser>
          <c:idx val="1"/>
          <c:order val="1"/>
          <c:tx>
            <c:v>Minimum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Nitrate!$Q$1:$U$1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Nitrate!$Q$22:$U$22</c:f>
              <c:numCache>
                <c:formatCode>General</c:formatCode>
                <c:ptCount val="5"/>
                <c:pt idx="0">
                  <c:v>2.4</c:v>
                </c:pt>
                <c:pt idx="1">
                  <c:v>1.6</c:v>
                </c:pt>
                <c:pt idx="2">
                  <c:v>1.8</c:v>
                </c:pt>
                <c:pt idx="3">
                  <c:v>1.4</c:v>
                </c:pt>
                <c:pt idx="4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v>75%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Nitrate!$Q$1:$U$1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Nitrate!$Q$23:$U$23</c:f>
              <c:numCache>
                <c:formatCode>General</c:formatCode>
                <c:ptCount val="5"/>
                <c:pt idx="0">
                  <c:v>0.21</c:v>
                </c:pt>
                <c:pt idx="1">
                  <c:v>0.095</c:v>
                </c:pt>
                <c:pt idx="2">
                  <c:v>0.155</c:v>
                </c:pt>
                <c:pt idx="3">
                  <c:v>0.204541666666667</c:v>
                </c:pt>
                <c:pt idx="4">
                  <c:v>0.22</c:v>
                </c:pt>
              </c:numCache>
            </c:numRef>
          </c:val>
          <c:smooth val="0"/>
        </c:ser>
        <c:ser>
          <c:idx val="3"/>
          <c:order val="3"/>
          <c:tx>
            <c:v>Maximum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Nitrate!$Q$1:$U$1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Nitrate!$Q$24:$U$24</c:f>
              <c:numCache>
                <c:formatCode>General</c:formatCode>
                <c:ptCount val="5"/>
                <c:pt idx="0">
                  <c:v>0.76</c:v>
                </c:pt>
                <c:pt idx="1">
                  <c:v>0.27</c:v>
                </c:pt>
                <c:pt idx="2">
                  <c:v>0.3485</c:v>
                </c:pt>
                <c:pt idx="3">
                  <c:v>0.40125</c:v>
                </c:pt>
                <c:pt idx="4">
                  <c:v>0.505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83600072"/>
        <c:axId val="1683604632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Nitrate!$Q$1:$U$1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Nitrate!$Q$26:$U$26</c:f>
              <c:numCache>
                <c:formatCode>0.00</c:formatCode>
                <c:ptCount val="5"/>
                <c:pt idx="0">
                  <c:v>0.76</c:v>
                </c:pt>
                <c:pt idx="1">
                  <c:v>0.423333333333333</c:v>
                </c:pt>
                <c:pt idx="2">
                  <c:v>0.436714285714286</c:v>
                </c:pt>
                <c:pt idx="3">
                  <c:v>0.364742857142857</c:v>
                </c:pt>
                <c:pt idx="4">
                  <c:v>0.502222222222222</c:v>
                </c:pt>
              </c:numCache>
            </c:numRef>
          </c:val>
          <c:smooth val="0"/>
        </c:ser>
        <c:ser>
          <c:idx val="5"/>
          <c:order val="5"/>
          <c:tx>
            <c:v>Medan</c:v>
          </c:tx>
          <c:spPr>
            <a:ln w="47625">
              <a:noFill/>
            </a:ln>
          </c:spPr>
          <c:marker>
            <c:symbol val="dash"/>
            <c:size val="10"/>
            <c:spPr>
              <a:ln w="28575">
                <a:solidFill>
                  <a:schemeClr val="tx1"/>
                </a:solidFill>
              </a:ln>
            </c:spPr>
          </c:marker>
          <c:val>
            <c:numRef>
              <c:f>Nitrate!$Q$27:$U$27</c:f>
              <c:numCache>
                <c:formatCode>General</c:formatCode>
                <c:ptCount val="5"/>
                <c:pt idx="0">
                  <c:v>0.36</c:v>
                </c:pt>
                <c:pt idx="1">
                  <c:v>0.255</c:v>
                </c:pt>
                <c:pt idx="2">
                  <c:v>0.19</c:v>
                </c:pt>
                <c:pt idx="3">
                  <c:v>0.33</c:v>
                </c:pt>
                <c:pt idx="4">
                  <c:v>0.36</c:v>
                </c:pt>
              </c:numCache>
            </c:numRef>
          </c:val>
          <c:smooth val="0"/>
        </c:ser>
        <c:ser>
          <c:idx val="6"/>
          <c:order val="6"/>
          <c:tx>
            <c:v>WQ Standard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Nitrate!$Q$28:$V$28</c:f>
              <c:numCache>
                <c:formatCode>General</c:formatCode>
                <c:ptCount val="6"/>
                <c:pt idx="0">
                  <c:v>0.56</c:v>
                </c:pt>
                <c:pt idx="1">
                  <c:v>0.56</c:v>
                </c:pt>
                <c:pt idx="2">
                  <c:v>0.56</c:v>
                </c:pt>
                <c:pt idx="3">
                  <c:v>0.56</c:v>
                </c:pt>
                <c:pt idx="4">
                  <c:v>0.56</c:v>
                </c:pt>
                <c:pt idx="5">
                  <c:v>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10760"/>
        <c:axId val="1683607672"/>
      </c:stockChart>
      <c:catAx>
        <c:axId val="168360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3604632"/>
        <c:crosses val="autoZero"/>
        <c:auto val="1"/>
        <c:lblAlgn val="ctr"/>
        <c:lblOffset val="100"/>
        <c:noMultiLvlLbl val="0"/>
      </c:catAx>
      <c:valAx>
        <c:axId val="168360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3600072"/>
        <c:crosses val="autoZero"/>
        <c:crossBetween val="between"/>
      </c:valAx>
      <c:valAx>
        <c:axId val="1683607672"/>
        <c:scaling>
          <c:orientation val="minMax"/>
          <c:max val="3.0"/>
        </c:scaling>
        <c:delete val="0"/>
        <c:axPos val="r"/>
        <c:numFmt formatCode="0.00" sourceLinked="1"/>
        <c:majorTickMark val="out"/>
        <c:minorTickMark val="none"/>
        <c:tickLblPos val="nextTo"/>
        <c:crossAx val="1683610760"/>
        <c:crosses val="max"/>
        <c:crossBetween val="between"/>
      </c:valAx>
      <c:catAx>
        <c:axId val="168361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6076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Nitrate!$R$2</c:f>
              <c:strCache>
                <c:ptCount val="1"/>
                <c:pt idx="0">
                  <c:v>0.26</c:v>
                </c:pt>
              </c:strCache>
            </c:strRef>
          </c:tx>
          <c:spPr>
            <a:ln w="47625">
              <a:noFill/>
            </a:ln>
          </c:spPr>
          <c:xVal>
            <c:numRef>
              <c:f>Nitrate!$Q$3:$Q$18</c:f>
              <c:numCache>
                <c:formatCode>General</c:formatCode>
                <c:ptCount val="16"/>
                <c:pt idx="0">
                  <c:v>0.21</c:v>
                </c:pt>
                <c:pt idx="1">
                  <c:v>0.31</c:v>
                </c:pt>
                <c:pt idx="6">
                  <c:v>0.12</c:v>
                </c:pt>
                <c:pt idx="7">
                  <c:v>0.76</c:v>
                </c:pt>
                <c:pt idx="9">
                  <c:v>2.4</c:v>
                </c:pt>
              </c:numCache>
            </c:numRef>
          </c:xVal>
          <c:yVal>
            <c:numRef>
              <c:f>Nitrate!$R$3:$R$18</c:f>
              <c:numCache>
                <c:formatCode>General</c:formatCode>
                <c:ptCount val="16"/>
                <c:pt idx="0">
                  <c:v>0.25</c:v>
                </c:pt>
                <c:pt idx="1">
                  <c:v>0.27</c:v>
                </c:pt>
                <c:pt idx="6">
                  <c:v>0.13</c:v>
                </c:pt>
                <c:pt idx="7">
                  <c:v>1.1</c:v>
                </c:pt>
                <c:pt idx="8">
                  <c:v>0.025</c:v>
                </c:pt>
                <c:pt idx="9">
                  <c:v>1.6</c:v>
                </c:pt>
                <c:pt idx="11">
                  <c:v>0.08</c:v>
                </c:pt>
                <c:pt idx="15">
                  <c:v>0.095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Nitrate!$S$2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Nitrate!$Q$3:$Q$18</c:f>
              <c:numCache>
                <c:formatCode>General</c:formatCode>
                <c:ptCount val="16"/>
                <c:pt idx="0">
                  <c:v>0.21</c:v>
                </c:pt>
                <c:pt idx="1">
                  <c:v>0.31</c:v>
                </c:pt>
                <c:pt idx="6">
                  <c:v>0.12</c:v>
                </c:pt>
                <c:pt idx="7">
                  <c:v>0.76</c:v>
                </c:pt>
                <c:pt idx="9">
                  <c:v>2.4</c:v>
                </c:pt>
              </c:numCache>
            </c:numRef>
          </c:xVal>
          <c:yVal>
            <c:numRef>
              <c:f>Nitrate!$S$3:$S$18</c:f>
              <c:numCache>
                <c:formatCode>General</c:formatCode>
                <c:ptCount val="16"/>
                <c:pt idx="2">
                  <c:v>1.8</c:v>
                </c:pt>
                <c:pt idx="3">
                  <c:v>0.19</c:v>
                </c:pt>
                <c:pt idx="4">
                  <c:v>0.36</c:v>
                </c:pt>
                <c:pt idx="5">
                  <c:v>0.16</c:v>
                </c:pt>
                <c:pt idx="12">
                  <c:v>0.337</c:v>
                </c:pt>
                <c:pt idx="13">
                  <c:v>0.15</c:v>
                </c:pt>
                <c:pt idx="14">
                  <c:v>0.06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Nitrate!$T$2</c:f>
              <c:strCache>
                <c:ptCount val="1"/>
                <c:pt idx="0">
                  <c:v>0.33</c:v>
                </c:pt>
              </c:strCache>
            </c:strRef>
          </c:tx>
          <c:spPr>
            <a:ln w="47625">
              <a:noFill/>
            </a:ln>
          </c:spPr>
          <c:xVal>
            <c:numRef>
              <c:f>Nitrate!$Q$3:$Q$18</c:f>
              <c:numCache>
                <c:formatCode>General</c:formatCode>
                <c:ptCount val="16"/>
                <c:pt idx="0">
                  <c:v>0.21</c:v>
                </c:pt>
                <c:pt idx="1">
                  <c:v>0.31</c:v>
                </c:pt>
                <c:pt idx="6">
                  <c:v>0.12</c:v>
                </c:pt>
                <c:pt idx="7">
                  <c:v>0.76</c:v>
                </c:pt>
                <c:pt idx="9">
                  <c:v>2.4</c:v>
                </c:pt>
              </c:numCache>
            </c:numRef>
          </c:xVal>
          <c:yVal>
            <c:numRef>
              <c:f>Nitrate!$T$3:$T$18</c:f>
              <c:numCache>
                <c:formatCode>General</c:formatCode>
                <c:ptCount val="16"/>
                <c:pt idx="0">
                  <c:v>0.2804</c:v>
                </c:pt>
                <c:pt idx="1">
                  <c:v>0.216666666666667</c:v>
                </c:pt>
                <c:pt idx="3">
                  <c:v>0.401666666666667</c:v>
                </c:pt>
                <c:pt idx="4">
                  <c:v>0.2005</c:v>
                </c:pt>
                <c:pt idx="5">
                  <c:v>0.3</c:v>
                </c:pt>
                <c:pt idx="6">
                  <c:v>0.35</c:v>
                </c:pt>
                <c:pt idx="7">
                  <c:v>1.4</c:v>
                </c:pt>
                <c:pt idx="8">
                  <c:v>0.07</c:v>
                </c:pt>
                <c:pt idx="9">
                  <c:v>0.45</c:v>
                </c:pt>
                <c:pt idx="11">
                  <c:v>0.4</c:v>
                </c:pt>
                <c:pt idx="12">
                  <c:v>0.433</c:v>
                </c:pt>
                <c:pt idx="13">
                  <c:v>0.173333333333333</c:v>
                </c:pt>
                <c:pt idx="15">
                  <c:v>0.100833333333333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Nitrate!$U$2</c:f>
              <c:strCache>
                <c:ptCount val="1"/>
                <c:pt idx="0">
                  <c:v>0.36</c:v>
                </c:pt>
              </c:strCache>
            </c:strRef>
          </c:tx>
          <c:spPr>
            <a:ln w="47625">
              <a:noFill/>
            </a:ln>
          </c:spPr>
          <c:xVal>
            <c:numRef>
              <c:f>Nitrate!$Q$3:$Q$18</c:f>
              <c:numCache>
                <c:formatCode>General</c:formatCode>
                <c:ptCount val="16"/>
                <c:pt idx="0">
                  <c:v>0.21</c:v>
                </c:pt>
                <c:pt idx="1">
                  <c:v>0.31</c:v>
                </c:pt>
                <c:pt idx="6">
                  <c:v>0.12</c:v>
                </c:pt>
                <c:pt idx="7">
                  <c:v>0.76</c:v>
                </c:pt>
                <c:pt idx="9">
                  <c:v>2.4</c:v>
                </c:pt>
              </c:numCache>
            </c:numRef>
          </c:xVal>
          <c:yVal>
            <c:numRef>
              <c:f>Nitrate!$U$3:$U$18</c:f>
              <c:numCache>
                <c:formatCode>General</c:formatCode>
                <c:ptCount val="16"/>
                <c:pt idx="0">
                  <c:v>0.43</c:v>
                </c:pt>
                <c:pt idx="1">
                  <c:v>0.4</c:v>
                </c:pt>
                <c:pt idx="2">
                  <c:v>0.73</c:v>
                </c:pt>
                <c:pt idx="3">
                  <c:v>0.243333333333333</c:v>
                </c:pt>
                <c:pt idx="4">
                  <c:v>0.223333333333333</c:v>
                </c:pt>
                <c:pt idx="6">
                  <c:v>0.21</c:v>
                </c:pt>
                <c:pt idx="7">
                  <c:v>1.9</c:v>
                </c:pt>
                <c:pt idx="8">
                  <c:v>0.243333333333333</c:v>
                </c:pt>
                <c:pt idx="9">
                  <c:v>1.133333333333333</c:v>
                </c:pt>
                <c:pt idx="14">
                  <c:v>0.0366666666666667</c:v>
                </c:pt>
                <c:pt idx="15">
                  <c:v>0.116666666666667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45464"/>
        <c:axId val="1683648600"/>
      </c:scatterChart>
      <c:valAx>
        <c:axId val="168364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3648600"/>
        <c:crosses val="autoZero"/>
        <c:crossBetween val="midCat"/>
      </c:valAx>
      <c:valAx>
        <c:axId val="168364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645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2010</c:v>
          </c:tx>
          <c:spPr>
            <a:ln w="47625">
              <a:noFill/>
            </a:ln>
          </c:spPr>
          <c:xVal>
            <c:numRef>
              <c:f>Nitrate!$K$2:$K$17</c:f>
              <c:numCache>
                <c:formatCode>General</c:formatCode>
                <c:ptCount val="16"/>
                <c:pt idx="0">
                  <c:v>0.26</c:v>
                </c:pt>
                <c:pt idx="1">
                  <c:v>0.23</c:v>
                </c:pt>
                <c:pt idx="2">
                  <c:v>0.29</c:v>
                </c:pt>
                <c:pt idx="3">
                  <c:v>1.8</c:v>
                </c:pt>
                <c:pt idx="4">
                  <c:v>0.19</c:v>
                </c:pt>
                <c:pt idx="5">
                  <c:v>0.36</c:v>
                </c:pt>
                <c:pt idx="6">
                  <c:v>0.16</c:v>
                </c:pt>
                <c:pt idx="7">
                  <c:v>0.125</c:v>
                </c:pt>
                <c:pt idx="8">
                  <c:v>0.93</c:v>
                </c:pt>
                <c:pt idx="9">
                  <c:v>0.025</c:v>
                </c:pt>
                <c:pt idx="10">
                  <c:v>2.0</c:v>
                </c:pt>
                <c:pt idx="11">
                  <c:v>1.305</c:v>
                </c:pt>
                <c:pt idx="12">
                  <c:v>0.337</c:v>
                </c:pt>
                <c:pt idx="13">
                  <c:v>0.15</c:v>
                </c:pt>
                <c:pt idx="14">
                  <c:v>0.06</c:v>
                </c:pt>
                <c:pt idx="15">
                  <c:v>0.095</c:v>
                </c:pt>
              </c:numCache>
            </c:numRef>
          </c:xVal>
          <c:yVal>
            <c:numRef>
              <c:f>Nitrate!$E$2:$E$17</c:f>
              <c:numCache>
                <c:formatCode>General</c:formatCode>
                <c:ptCount val="16"/>
                <c:pt idx="3">
                  <c:v>27.0</c:v>
                </c:pt>
                <c:pt idx="12">
                  <c:v>21.0</c:v>
                </c:pt>
                <c:pt idx="13">
                  <c:v>24.0</c:v>
                </c:pt>
                <c:pt idx="14">
                  <c:v>18.0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Nitrate!$F$1</c:f>
              <c:strCache>
                <c:ptCount val="1"/>
                <c:pt idx="0">
                  <c:v>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Nitrate!$M$2:$M$17</c:f>
              <c:numCache>
                <c:formatCode>General</c:formatCode>
                <c:ptCount val="16"/>
                <c:pt idx="0">
                  <c:v>0.33</c:v>
                </c:pt>
                <c:pt idx="1">
                  <c:v>0.2804</c:v>
                </c:pt>
                <c:pt idx="2">
                  <c:v>0.216666666666667</c:v>
                </c:pt>
                <c:pt idx="4">
                  <c:v>0.401666666666667</c:v>
                </c:pt>
                <c:pt idx="5">
                  <c:v>0.2005</c:v>
                </c:pt>
                <c:pt idx="6">
                  <c:v>0.3</c:v>
                </c:pt>
                <c:pt idx="7">
                  <c:v>0.35</c:v>
                </c:pt>
                <c:pt idx="8">
                  <c:v>1.4</c:v>
                </c:pt>
                <c:pt idx="9">
                  <c:v>0.07</c:v>
                </c:pt>
                <c:pt idx="10">
                  <c:v>0.45</c:v>
                </c:pt>
                <c:pt idx="11">
                  <c:v>0.4</c:v>
                </c:pt>
                <c:pt idx="12">
                  <c:v>0.433</c:v>
                </c:pt>
                <c:pt idx="13">
                  <c:v>0.173333333333333</c:v>
                </c:pt>
                <c:pt idx="15">
                  <c:v>0.100833333333333</c:v>
                </c:pt>
              </c:numCache>
            </c:numRef>
          </c:xVal>
          <c:yVal>
            <c:numRef>
              <c:f>Nitrate!$F$2:$F$17</c:f>
              <c:numCache>
                <c:formatCode>General</c:formatCode>
                <c:ptCount val="16"/>
                <c:pt idx="0">
                  <c:v>6.0</c:v>
                </c:pt>
                <c:pt idx="1">
                  <c:v>0.0</c:v>
                </c:pt>
                <c:pt idx="2">
                  <c:v>9.0</c:v>
                </c:pt>
                <c:pt idx="3">
                  <c:v>18.0</c:v>
                </c:pt>
                <c:pt idx="4">
                  <c:v>3.0</c:v>
                </c:pt>
                <c:pt idx="5">
                  <c:v>6.0</c:v>
                </c:pt>
                <c:pt idx="6">
                  <c:v>6.0</c:v>
                </c:pt>
                <c:pt idx="8">
                  <c:v>18.0</c:v>
                </c:pt>
                <c:pt idx="9">
                  <c:v>9.0</c:v>
                </c:pt>
                <c:pt idx="12">
                  <c:v>21.0</c:v>
                </c:pt>
                <c:pt idx="13">
                  <c:v>18.0</c:v>
                </c:pt>
                <c:pt idx="14">
                  <c:v>21.0</c:v>
                </c:pt>
              </c:numCache>
            </c:numRef>
          </c:yVal>
          <c:smooth val="0"/>
        </c:ser>
        <c:ser>
          <c:idx val="2"/>
          <c:order val="2"/>
          <c:tx>
            <c:v>2013</c:v>
          </c:tx>
          <c:spPr>
            <a:ln w="47625">
              <a:noFill/>
            </a:ln>
          </c:spPr>
          <c:xVal>
            <c:numRef>
              <c:f>Nitrate!$N$2:$N$17</c:f>
              <c:numCache>
                <c:formatCode>General</c:formatCode>
                <c:ptCount val="16"/>
                <c:pt idx="0">
                  <c:v>0.36</c:v>
                </c:pt>
                <c:pt idx="1">
                  <c:v>0.43</c:v>
                </c:pt>
                <c:pt idx="2">
                  <c:v>0.4</c:v>
                </c:pt>
                <c:pt idx="3">
                  <c:v>0.73</c:v>
                </c:pt>
                <c:pt idx="4">
                  <c:v>0.243333333333333</c:v>
                </c:pt>
                <c:pt idx="5">
                  <c:v>0.223333333333333</c:v>
                </c:pt>
                <c:pt idx="7">
                  <c:v>0.21</c:v>
                </c:pt>
                <c:pt idx="8">
                  <c:v>1.9</c:v>
                </c:pt>
                <c:pt idx="9">
                  <c:v>0.243333333333333</c:v>
                </c:pt>
                <c:pt idx="10">
                  <c:v>1.133333333333333</c:v>
                </c:pt>
                <c:pt idx="14">
                  <c:v>0.0366666666666667</c:v>
                </c:pt>
                <c:pt idx="15">
                  <c:v>0.116666666666667</c:v>
                </c:pt>
              </c:numCache>
            </c:numRef>
          </c:xVal>
          <c:yVal>
            <c:numRef>
              <c:f>Nitrate!$G$2:$G$17</c:f>
              <c:numCache>
                <c:formatCode>General</c:formatCode>
                <c:ptCount val="16"/>
                <c:pt idx="0">
                  <c:v>15.0</c:v>
                </c:pt>
                <c:pt idx="1">
                  <c:v>3.0</c:v>
                </c:pt>
                <c:pt idx="2">
                  <c:v>12.0</c:v>
                </c:pt>
                <c:pt idx="3">
                  <c:v>9.0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6.0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3.0</c:v>
                </c:pt>
                <c:pt idx="15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89112"/>
        <c:axId val="1683692152"/>
      </c:scatterChart>
      <c:valAx>
        <c:axId val="1683689112"/>
        <c:scaling>
          <c:orientation val="minMax"/>
          <c:max val="2.0"/>
        </c:scaling>
        <c:delete val="0"/>
        <c:axPos val="b"/>
        <c:numFmt formatCode="General" sourceLinked="1"/>
        <c:majorTickMark val="out"/>
        <c:minorTickMark val="none"/>
        <c:tickLblPos val="nextTo"/>
        <c:crossAx val="1683692152"/>
        <c:crosses val="autoZero"/>
        <c:crossBetween val="midCat"/>
      </c:valAx>
      <c:valAx>
        <c:axId val="1683692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368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Nitrate!$J$2:$J$17</c:f>
              <c:numCache>
                <c:formatCode>General</c:formatCode>
                <c:ptCount val="16"/>
                <c:pt idx="0">
                  <c:v>0.66</c:v>
                </c:pt>
                <c:pt idx="1">
                  <c:v>1.0</c:v>
                </c:pt>
                <c:pt idx="2">
                  <c:v>0.33</c:v>
                </c:pt>
                <c:pt idx="3">
                  <c:v>1.0</c:v>
                </c:pt>
                <c:pt idx="4">
                  <c:v>0.33</c:v>
                </c:pt>
                <c:pt idx="5">
                  <c:v>0.33</c:v>
                </c:pt>
                <c:pt idx="7">
                  <c:v>0.0</c:v>
                </c:pt>
                <c:pt idx="8">
                  <c:v>1.0</c:v>
                </c:pt>
                <c:pt idx="9">
                  <c:v>0.33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0.33</c:v>
                </c:pt>
                <c:pt idx="14">
                  <c:v>0.0</c:v>
                </c:pt>
                <c:pt idx="15">
                  <c:v>0.33</c:v>
                </c:pt>
              </c:numCache>
            </c:numRef>
          </c:xVal>
          <c:yVal>
            <c:numRef>
              <c:f>Nitrate!$G$2:$G$17</c:f>
              <c:numCache>
                <c:formatCode>General</c:formatCode>
                <c:ptCount val="16"/>
                <c:pt idx="0">
                  <c:v>15.0</c:v>
                </c:pt>
                <c:pt idx="1">
                  <c:v>3.0</c:v>
                </c:pt>
                <c:pt idx="2">
                  <c:v>12.0</c:v>
                </c:pt>
                <c:pt idx="3">
                  <c:v>9.0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6.0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3.0</c:v>
                </c:pt>
                <c:pt idx="15">
                  <c:v>12.0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Nitrate!$I$2:$I$17</c:f>
              <c:numCache>
                <c:formatCode>General</c:formatCode>
                <c:ptCount val="16"/>
                <c:pt idx="0">
                  <c:v>0.33</c:v>
                </c:pt>
                <c:pt idx="1">
                  <c:v>0.16</c:v>
                </c:pt>
                <c:pt idx="2">
                  <c:v>0.16</c:v>
                </c:pt>
                <c:pt idx="3">
                  <c:v>1.0</c:v>
                </c:pt>
                <c:pt idx="4">
                  <c:v>0.66</c:v>
                </c:pt>
                <c:pt idx="5">
                  <c:v>0.5</c:v>
                </c:pt>
                <c:pt idx="6">
                  <c:v>0.0</c:v>
                </c:pt>
                <c:pt idx="7">
                  <c:v>0.33</c:v>
                </c:pt>
                <c:pt idx="8">
                  <c:v>1.0</c:v>
                </c:pt>
                <c:pt idx="9">
                  <c:v>0.0</c:v>
                </c:pt>
                <c:pt idx="10">
                  <c:v>0.5</c:v>
                </c:pt>
                <c:pt idx="11">
                  <c:v>1.0</c:v>
                </c:pt>
                <c:pt idx="12">
                  <c:v>0.5</c:v>
                </c:pt>
                <c:pt idx="13">
                  <c:v>0.0</c:v>
                </c:pt>
                <c:pt idx="14">
                  <c:v>0.33</c:v>
                </c:pt>
                <c:pt idx="15">
                  <c:v>0.33</c:v>
                </c:pt>
              </c:numCache>
            </c:numRef>
          </c:xVal>
          <c:yVal>
            <c:numRef>
              <c:f>Nitrate!$F$2:$F$17</c:f>
              <c:numCache>
                <c:formatCode>General</c:formatCode>
                <c:ptCount val="16"/>
                <c:pt idx="0">
                  <c:v>6.0</c:v>
                </c:pt>
                <c:pt idx="1">
                  <c:v>0.0</c:v>
                </c:pt>
                <c:pt idx="2">
                  <c:v>9.0</c:v>
                </c:pt>
                <c:pt idx="3">
                  <c:v>18.0</c:v>
                </c:pt>
                <c:pt idx="4">
                  <c:v>3.0</c:v>
                </c:pt>
                <c:pt idx="5">
                  <c:v>6.0</c:v>
                </c:pt>
                <c:pt idx="6">
                  <c:v>6.0</c:v>
                </c:pt>
                <c:pt idx="8">
                  <c:v>18.0</c:v>
                </c:pt>
                <c:pt idx="9">
                  <c:v>9.0</c:v>
                </c:pt>
                <c:pt idx="12">
                  <c:v>21.0</c:v>
                </c:pt>
                <c:pt idx="13">
                  <c:v>18.0</c:v>
                </c:pt>
                <c:pt idx="14">
                  <c:v>21.0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39912"/>
        <c:axId val="2115795208"/>
      </c:scatterChart>
      <c:valAx>
        <c:axId val="165223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795208"/>
        <c:crosses val="autoZero"/>
        <c:crossBetween val="midCat"/>
      </c:valAx>
      <c:valAx>
        <c:axId val="2115795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52239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'Bug Data'!$F$2:$F$17</c:f>
              <c:numCache>
                <c:formatCode>General</c:formatCode>
                <c:ptCount val="16"/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</c:numCache>
            </c:numRef>
          </c:xVal>
          <c:yVal>
            <c:numRef>
              <c:f>'Bug Data'!$D$2:$D$17</c:f>
              <c:numCache>
                <c:formatCode>General</c:formatCode>
                <c:ptCount val="16"/>
                <c:pt idx="0">
                  <c:v>21.0</c:v>
                </c:pt>
                <c:pt idx="1">
                  <c:v>18.0</c:v>
                </c:pt>
                <c:pt idx="2">
                  <c:v>15.0</c:v>
                </c:pt>
                <c:pt idx="3">
                  <c:v>6.0</c:v>
                </c:pt>
                <c:pt idx="4">
                  <c:v>0.0</c:v>
                </c:pt>
                <c:pt idx="5">
                  <c:v>9.0</c:v>
                </c:pt>
                <c:pt idx="6">
                  <c:v>9.0</c:v>
                </c:pt>
                <c:pt idx="8">
                  <c:v>12.0</c:v>
                </c:pt>
                <c:pt idx="9">
                  <c:v>6.0</c:v>
                </c:pt>
                <c:pt idx="10">
                  <c:v>18.0</c:v>
                </c:pt>
                <c:pt idx="11">
                  <c:v>6.0</c:v>
                </c:pt>
                <c:pt idx="13">
                  <c:v>18.0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strRef>
              <c:f>'Bug Data'!$G$2:$G$17</c:f>
              <c:strCache>
                <c:ptCount val="16"/>
                <c:pt idx="8">
                  <c:v>Streamflow-Kadoka</c:v>
                </c:pt>
                <c:pt idx="9">
                  <c:v>Annual</c:v>
                </c:pt>
                <c:pt idx="10">
                  <c:v>390.7</c:v>
                </c:pt>
                <c:pt idx="11">
                  <c:v>270.3</c:v>
                </c:pt>
                <c:pt idx="12">
                  <c:v>306.1</c:v>
                </c:pt>
                <c:pt idx="13">
                  <c:v>280.6</c:v>
                </c:pt>
                <c:pt idx="14">
                  <c:v>612.1</c:v>
                </c:pt>
                <c:pt idx="15">
                  <c:v>308.5</c:v>
                </c:pt>
              </c:strCache>
            </c:strRef>
          </c:xVal>
          <c:yVal>
            <c:numRef>
              <c:f>'Bug Data'!$E$2:$E$17</c:f>
              <c:numCache>
                <c:formatCode>General</c:formatCode>
                <c:ptCount val="16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15.0</c:v>
                </c:pt>
                <c:pt idx="4">
                  <c:v>3.0</c:v>
                </c:pt>
                <c:pt idx="5">
                  <c:v>12.0</c:v>
                </c:pt>
                <c:pt idx="6">
                  <c:v>0.0</c:v>
                </c:pt>
                <c:pt idx="7">
                  <c:v>0.0</c:v>
                </c:pt>
                <c:pt idx="8">
                  <c:v>9.0</c:v>
                </c:pt>
                <c:pt idx="9">
                  <c:v>0.0</c:v>
                </c:pt>
                <c:pt idx="10">
                  <c:v>9.0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3.0</c:v>
                </c:pt>
                <c:pt idx="15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32792"/>
        <c:axId val="1683735784"/>
      </c:scatterChart>
      <c:valAx>
        <c:axId val="168373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3735784"/>
        <c:crosses val="autoZero"/>
        <c:crossBetween val="midCat"/>
      </c:valAx>
      <c:valAx>
        <c:axId val="1683735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3732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'Bug Data'!$A$2</c:f>
              <c:strCache>
                <c:ptCount val="1"/>
                <c:pt idx="0">
                  <c:v>Pass Creek 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Data'!$B$2:$E$2</c:f>
              <c:numCache>
                <c:formatCode>General</c:formatCode>
                <c:ptCount val="4"/>
                <c:pt idx="0">
                  <c:v>22.0</c:v>
                </c:pt>
                <c:pt idx="1">
                  <c:v>24.0</c:v>
                </c:pt>
                <c:pt idx="2">
                  <c:v>21.0</c:v>
                </c:pt>
                <c:pt idx="3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'Bug Data'!$A$3</c:f>
              <c:strCache>
                <c:ptCount val="1"/>
                <c:pt idx="0">
                  <c:v>Pass Creek 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Data'!$B$3:$E$3</c:f>
              <c:numCache>
                <c:formatCode>General</c:formatCode>
                <c:ptCount val="4"/>
                <c:pt idx="0">
                  <c:v>20.0</c:v>
                </c:pt>
                <c:pt idx="1">
                  <c:v>18.0</c:v>
                </c:pt>
                <c:pt idx="2">
                  <c:v>18.0</c:v>
                </c:pt>
                <c:pt idx="3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'Bug Data'!$A$4</c:f>
              <c:strCache>
                <c:ptCount val="1"/>
                <c:pt idx="0">
                  <c:v>Pass Creek 3</c:v>
                </c:pt>
              </c:strCache>
            </c:strRef>
          </c:tx>
          <c:spPr>
            <a:ln>
              <a:noFill/>
            </a:ln>
          </c:spPr>
          <c:val>
            <c:numRef>
              <c:f>'Bug Data'!$B$4:$E$4</c:f>
              <c:numCache>
                <c:formatCode>General</c:formatCode>
                <c:ptCount val="4"/>
                <c:pt idx="0">
                  <c:v>10.0</c:v>
                </c:pt>
                <c:pt idx="1">
                  <c:v>21.0</c:v>
                </c:pt>
                <c:pt idx="2">
                  <c:v>15.0</c:v>
                </c:pt>
                <c:pt idx="3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'Bug Data'!$A$5</c:f>
              <c:strCache>
                <c:ptCount val="1"/>
                <c:pt idx="0">
                  <c:v>Bear Creek 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Data'!$B$5:$E$5</c:f>
              <c:numCache>
                <c:formatCode>General</c:formatCode>
                <c:ptCount val="4"/>
                <c:pt idx="0">
                  <c:v>13.0</c:v>
                </c:pt>
                <c:pt idx="1">
                  <c:v>9.5</c:v>
                </c:pt>
                <c:pt idx="2">
                  <c:v>6.0</c:v>
                </c:pt>
                <c:pt idx="3">
                  <c:v>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'Bug Data'!$A$6</c:f>
              <c:strCache>
                <c:ptCount val="1"/>
                <c:pt idx="0">
                  <c:v>Bear Creek 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Data'!$B$6:$E$6</c:f>
              <c:numCache>
                <c:formatCode>General</c:formatCode>
                <c:ptCount val="4"/>
                <c:pt idx="0">
                  <c:v>17.0</c:v>
                </c:pt>
                <c:pt idx="1">
                  <c:v>8.5</c:v>
                </c:pt>
                <c:pt idx="2">
                  <c:v>0.0</c:v>
                </c:pt>
                <c:pt idx="3">
                  <c:v>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'Bug Data'!$A$7</c:f>
              <c:strCache>
                <c:ptCount val="1"/>
                <c:pt idx="0">
                  <c:v>Bear Creek 3</c:v>
                </c:pt>
              </c:strCache>
            </c:strRef>
          </c:tx>
          <c:spPr>
            <a:ln>
              <a:noFill/>
            </a:ln>
          </c:spPr>
          <c:val>
            <c:numRef>
              <c:f>'Bug Data'!$B$7:$E$7</c:f>
              <c:numCache>
                <c:formatCode>General</c:formatCode>
                <c:ptCount val="4"/>
                <c:pt idx="0">
                  <c:v>26.0</c:v>
                </c:pt>
                <c:pt idx="1">
                  <c:v>17.5</c:v>
                </c:pt>
                <c:pt idx="2">
                  <c:v>9.0</c:v>
                </c:pt>
                <c:pt idx="3">
                  <c:v>12.0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'Bug Data'!$A$8</c:f>
              <c:strCache>
                <c:ptCount val="1"/>
                <c:pt idx="0">
                  <c:v>Eagle Nest 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Data'!$B$8:$E$8</c:f>
              <c:numCache>
                <c:formatCode>General</c:formatCode>
                <c:ptCount val="4"/>
                <c:pt idx="0">
                  <c:v>15.0</c:v>
                </c:pt>
                <c:pt idx="2">
                  <c:v>9.0</c:v>
                </c:pt>
                <c:pt idx="3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'Bug Data'!$A$9</c:f>
              <c:strCache>
                <c:ptCount val="1"/>
                <c:pt idx="0">
                  <c:v>Eagle Nest 2</c:v>
                </c:pt>
              </c:strCache>
            </c:strRef>
          </c:tx>
          <c:val>
            <c:numRef>
              <c:f>'Bug Data'!$B$9:$E$9</c:f>
              <c:numCache>
                <c:formatCode>General</c:formatCode>
                <c:ptCount val="4"/>
                <c:pt idx="3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'Bug Data'!$A$10</c:f>
              <c:strCache>
                <c:ptCount val="1"/>
                <c:pt idx="0">
                  <c:v>BLC1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Data'!$B$10:$E$10</c:f>
              <c:numCache>
                <c:formatCode>General</c:formatCode>
                <c:ptCount val="4"/>
                <c:pt idx="0">
                  <c:v>27.0</c:v>
                </c:pt>
                <c:pt idx="1">
                  <c:v>19.5</c:v>
                </c:pt>
                <c:pt idx="2">
                  <c:v>12.0</c:v>
                </c:pt>
                <c:pt idx="3">
                  <c:v>9.0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'Bug Data'!$A$11</c:f>
              <c:strCache>
                <c:ptCount val="1"/>
                <c:pt idx="0">
                  <c:v>BLC2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Data'!$B$11:$E$11</c:f>
              <c:numCache>
                <c:formatCode>General</c:formatCode>
                <c:ptCount val="4"/>
                <c:pt idx="0">
                  <c:v>20.0</c:v>
                </c:pt>
                <c:pt idx="1">
                  <c:v>13.0</c:v>
                </c:pt>
                <c:pt idx="2">
                  <c:v>6.0</c:v>
                </c:pt>
                <c:pt idx="3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'Bug Data'!$A$12</c:f>
              <c:strCache>
                <c:ptCount val="1"/>
                <c:pt idx="0">
                  <c:v>BlackPipe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Data'!$B$12:$E$12</c:f>
              <c:numCache>
                <c:formatCode>General</c:formatCode>
                <c:ptCount val="4"/>
                <c:pt idx="0">
                  <c:v>25.0</c:v>
                </c:pt>
                <c:pt idx="1">
                  <c:v>21.5</c:v>
                </c:pt>
                <c:pt idx="2">
                  <c:v>18.0</c:v>
                </c:pt>
                <c:pt idx="3">
                  <c:v>9.0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'Bug Data'!$A$13</c:f>
              <c:strCache>
                <c:ptCount val="1"/>
                <c:pt idx="0">
                  <c:v>Buzzard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Data'!$B$13:$E$13</c:f>
              <c:numCache>
                <c:formatCode>General</c:formatCode>
                <c:ptCount val="4"/>
                <c:pt idx="0">
                  <c:v>15.0</c:v>
                </c:pt>
                <c:pt idx="1">
                  <c:v>10.5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'Bug Data'!$A$14</c:f>
              <c:strCache>
                <c:ptCount val="1"/>
                <c:pt idx="0">
                  <c:v>Long Creek</c:v>
                </c:pt>
              </c:strCache>
            </c:strRef>
          </c:tx>
          <c:val>
            <c:numRef>
              <c:f>'Bug Data'!$B$14:$E$14</c:f>
              <c:numCache>
                <c:formatCode>General</c:formatCode>
                <c:ptCount val="4"/>
                <c:pt idx="3">
                  <c:v>6.0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'Bug Data'!$A$15</c:f>
              <c:strCache>
                <c:ptCount val="1"/>
                <c:pt idx="0">
                  <c:v>Craven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Data'!$B$15:$E$15</c:f>
              <c:numCache>
                <c:formatCode>General</c:formatCode>
                <c:ptCount val="4"/>
                <c:pt idx="0">
                  <c:v>8.0</c:v>
                </c:pt>
                <c:pt idx="1">
                  <c:v>13.0</c:v>
                </c:pt>
                <c:pt idx="2">
                  <c:v>18.0</c:v>
                </c:pt>
                <c:pt idx="3">
                  <c:v>6.0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'Bug Data'!$A$16</c:f>
              <c:strCache>
                <c:ptCount val="1"/>
                <c:pt idx="0">
                  <c:v>Corn Creek</c:v>
                </c:pt>
              </c:strCache>
            </c:strRef>
          </c:tx>
          <c:spPr>
            <a:ln>
              <a:noFill/>
            </a:ln>
          </c:spPr>
          <c:marker>
            <c:spPr>
              <a:ln>
                <a:noFill/>
              </a:ln>
            </c:spPr>
          </c:marker>
          <c:val>
            <c:numRef>
              <c:f>'Bug Data'!$B$16:$E$16</c:f>
              <c:numCache>
                <c:formatCode>General</c:formatCode>
                <c:ptCount val="4"/>
                <c:pt idx="0">
                  <c:v>20.0</c:v>
                </c:pt>
                <c:pt idx="1">
                  <c:v>20.0</c:v>
                </c:pt>
                <c:pt idx="3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818936"/>
        <c:axId val="1683823464"/>
      </c:lineChart>
      <c:catAx>
        <c:axId val="168381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823464"/>
        <c:crosses val="autoZero"/>
        <c:auto val="1"/>
        <c:lblAlgn val="ctr"/>
        <c:lblOffset val="100"/>
        <c:noMultiLvlLbl val="0"/>
      </c:catAx>
      <c:valAx>
        <c:axId val="1683823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381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'Bug Data'!$B$1:$E$1</c:f>
              <c:strCache>
                <c:ptCount val="4"/>
                <c:pt idx="0">
                  <c:v>1990s</c:v>
                </c:pt>
                <c:pt idx="1">
                  <c:v>2010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'Bug Data'!$B$20:$E$20</c:f>
              <c:numCache>
                <c:formatCode>General</c:formatCode>
                <c:ptCount val="4"/>
                <c:pt idx="0">
                  <c:v>13.5</c:v>
                </c:pt>
                <c:pt idx="1">
                  <c:v>11.0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'Bug Data'!$B$1:$E$1</c:f>
              <c:strCache>
                <c:ptCount val="4"/>
                <c:pt idx="0">
                  <c:v>1990s</c:v>
                </c:pt>
                <c:pt idx="1">
                  <c:v>2010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'Bug Data'!$B$21:$E$21</c:f>
              <c:numCache>
                <c:formatCode>General</c:formatCode>
                <c:ptCount val="4"/>
                <c:pt idx="0">
                  <c:v>8.0</c:v>
                </c:pt>
                <c:pt idx="1">
                  <c:v>8.5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'Bug Data'!$B$1:$E$1</c:f>
              <c:strCache>
                <c:ptCount val="4"/>
                <c:pt idx="0">
                  <c:v>1990s</c:v>
                </c:pt>
                <c:pt idx="1">
                  <c:v>2010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'Bug Data'!$B$22:$E$22</c:f>
              <c:numCache>
                <c:formatCode>General</c:formatCode>
                <c:ptCount val="4"/>
                <c:pt idx="0">
                  <c:v>27.0</c:v>
                </c:pt>
                <c:pt idx="1">
                  <c:v>24.0</c:v>
                </c:pt>
                <c:pt idx="2">
                  <c:v>21.0</c:v>
                </c:pt>
                <c:pt idx="3">
                  <c:v>18.0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cat>
            <c:strRef>
              <c:f>'Bug Data'!$B$1:$E$1</c:f>
              <c:strCache>
                <c:ptCount val="4"/>
                <c:pt idx="0">
                  <c:v>1990s</c:v>
                </c:pt>
                <c:pt idx="1">
                  <c:v>2010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'Bug Data'!$B$23:$E$23</c:f>
              <c:numCache>
                <c:formatCode>General</c:formatCode>
                <c:ptCount val="4"/>
                <c:pt idx="0">
                  <c:v>21.5</c:v>
                </c:pt>
                <c:pt idx="1">
                  <c:v>20.0</c:v>
                </c:pt>
                <c:pt idx="2">
                  <c:v>18.0</c:v>
                </c:pt>
                <c:pt idx="3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83861592"/>
        <c:axId val="1683866152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tx1"/>
              </a:solidFill>
            </c:spPr>
          </c:marker>
          <c:val>
            <c:numRef>
              <c:f>'Bug Data'!$B$28:$E$28</c:f>
              <c:numCache>
                <c:formatCode>General</c:formatCode>
                <c:ptCount val="4"/>
                <c:pt idx="0">
                  <c:v>17.3125</c:v>
                </c:pt>
                <c:pt idx="1">
                  <c:v>15.23333333333333</c:v>
                </c:pt>
                <c:pt idx="2">
                  <c:v>10.28571428571429</c:v>
                </c:pt>
                <c:pt idx="3">
                  <c:v>6.666666666666667</c:v>
                </c:pt>
              </c:numCache>
            </c:numRef>
          </c:val>
          <c:smooth val="0"/>
        </c:ser>
        <c:ser>
          <c:idx val="5"/>
          <c:order val="5"/>
          <c:tx>
            <c:v>Median</c:v>
          </c:tx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'Bug Data'!$B$29:$E$29</c:f>
              <c:numCache>
                <c:formatCode>General</c:formatCode>
                <c:ptCount val="4"/>
                <c:pt idx="0">
                  <c:v>18.5</c:v>
                </c:pt>
                <c:pt idx="1">
                  <c:v>17.5</c:v>
                </c:pt>
                <c:pt idx="2">
                  <c:v>10.5</c:v>
                </c:pt>
                <c:pt idx="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872184"/>
        <c:axId val="1683869192"/>
      </c:stockChart>
      <c:catAx>
        <c:axId val="168386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866152"/>
        <c:crosses val="autoZero"/>
        <c:auto val="1"/>
        <c:lblAlgn val="ctr"/>
        <c:lblOffset val="100"/>
        <c:noMultiLvlLbl val="0"/>
      </c:catAx>
      <c:valAx>
        <c:axId val="1683866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3861592"/>
        <c:crosses val="autoZero"/>
        <c:crossBetween val="between"/>
      </c:valAx>
      <c:valAx>
        <c:axId val="1683869192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crossAx val="1683872184"/>
        <c:crosses val="max"/>
        <c:crossBetween val="between"/>
      </c:valAx>
      <c:catAx>
        <c:axId val="1683872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838691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96679790026247"/>
                  <c:y val="0.273148148148148"/>
                </c:manualLayout>
              </c:layout>
              <c:numFmt formatCode="General" sourceLinked="0"/>
            </c:trendlineLbl>
          </c:trendline>
          <c:xVal>
            <c:numRef>
              <c:f>'Bug Data'!$B$29:$E$29</c:f>
              <c:numCache>
                <c:formatCode>General</c:formatCode>
                <c:ptCount val="4"/>
                <c:pt idx="0">
                  <c:v>18.5</c:v>
                </c:pt>
                <c:pt idx="1">
                  <c:v>17.5</c:v>
                </c:pt>
                <c:pt idx="2">
                  <c:v>10.5</c:v>
                </c:pt>
                <c:pt idx="3">
                  <c:v>6.0</c:v>
                </c:pt>
              </c:numCache>
            </c:numRef>
          </c:xVal>
          <c:yVal>
            <c:numRef>
              <c:f>'Bug Data'!$B$35:$E$35</c:f>
              <c:numCache>
                <c:formatCode>General</c:formatCode>
                <c:ptCount val="4"/>
                <c:pt idx="0">
                  <c:v>664.0</c:v>
                </c:pt>
                <c:pt idx="1">
                  <c:v>555.0</c:v>
                </c:pt>
                <c:pt idx="2">
                  <c:v>351.0</c:v>
                </c:pt>
                <c:pt idx="3">
                  <c:v>420.0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892872"/>
        <c:axId val="1683895768"/>
      </c:scatterChart>
      <c:valAx>
        <c:axId val="16838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3895768"/>
        <c:crosses val="autoZero"/>
        <c:crossBetween val="midCat"/>
      </c:valAx>
      <c:valAx>
        <c:axId val="1683895768"/>
        <c:scaling>
          <c:logBase val="10.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3892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73621285313"/>
          <c:y val="0.050925944490356"/>
          <c:w val="0.828393438107097"/>
          <c:h val="0.5859742585208"/>
        </c:manualLayout>
      </c:layout>
      <c:scatterChart>
        <c:scatterStyle val="lineMarker"/>
        <c:varyColors val="0"/>
        <c:ser>
          <c:idx val="0"/>
          <c:order val="0"/>
          <c:tx>
            <c:v>Prior Year Scores</c:v>
          </c:tx>
          <c:spPr>
            <a:ln w="47625">
              <a:noFill/>
            </a:ln>
          </c:spPr>
          <c:xVal>
            <c:numRef>
              <c:f>Sheet2!$G$44:$G$56</c:f>
              <c:numCache>
                <c:formatCode>0%</c:formatCode>
                <c:ptCount val="13"/>
                <c:pt idx="0">
                  <c:v>0.375</c:v>
                </c:pt>
                <c:pt idx="1">
                  <c:v>1.0</c:v>
                </c:pt>
                <c:pt idx="2">
                  <c:v>0.875</c:v>
                </c:pt>
                <c:pt idx="3">
                  <c:v>0.5</c:v>
                </c:pt>
                <c:pt idx="4">
                  <c:v>1.0</c:v>
                </c:pt>
                <c:pt idx="5">
                  <c:v>0.54</c:v>
                </c:pt>
                <c:pt idx="6">
                  <c:v>0.745</c:v>
                </c:pt>
                <c:pt idx="7" formatCode="General">
                  <c:v>0.95</c:v>
                </c:pt>
                <c:pt idx="8">
                  <c:v>0.9</c:v>
                </c:pt>
                <c:pt idx="9">
                  <c:v>0.5</c:v>
                </c:pt>
                <c:pt idx="10">
                  <c:v>0.0</c:v>
                </c:pt>
                <c:pt idx="11">
                  <c:v>0.93</c:v>
                </c:pt>
                <c:pt idx="12">
                  <c:v>1.0</c:v>
                </c:pt>
              </c:numCache>
            </c:numRef>
          </c:xVal>
          <c:yVal>
            <c:numRef>
              <c:f>Sheet2!$J$44:$J$56</c:f>
              <c:numCache>
                <c:formatCode>General</c:formatCode>
                <c:ptCount val="13"/>
                <c:pt idx="7">
                  <c:v>31.0</c:v>
                </c:pt>
                <c:pt idx="8">
                  <c:v>30.0</c:v>
                </c:pt>
                <c:pt idx="9">
                  <c:v>30.0</c:v>
                </c:pt>
                <c:pt idx="11">
                  <c:v>6.0</c:v>
                </c:pt>
                <c:pt idx="12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2012-2013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Sheet2!$H$44:$H$56</c:f>
              <c:numCache>
                <c:formatCode>0%</c:formatCode>
                <c:ptCount val="13"/>
                <c:pt idx="0">
                  <c:v>0.58</c:v>
                </c:pt>
                <c:pt idx="1">
                  <c:v>0.665</c:v>
                </c:pt>
                <c:pt idx="2">
                  <c:v>0.6</c:v>
                </c:pt>
                <c:pt idx="3">
                  <c:v>1.0</c:v>
                </c:pt>
                <c:pt idx="4">
                  <c:v>0.805</c:v>
                </c:pt>
                <c:pt idx="5">
                  <c:v>0.4825</c:v>
                </c:pt>
                <c:pt idx="6">
                  <c:v>0.75</c:v>
                </c:pt>
                <c:pt idx="7">
                  <c:v>0.97</c:v>
                </c:pt>
                <c:pt idx="8">
                  <c:v>0.61</c:v>
                </c:pt>
                <c:pt idx="9">
                  <c:v>0.61</c:v>
                </c:pt>
                <c:pt idx="10">
                  <c:v>0.41</c:v>
                </c:pt>
                <c:pt idx="11">
                  <c:v>1.0</c:v>
                </c:pt>
                <c:pt idx="12">
                  <c:v>0.96</c:v>
                </c:pt>
              </c:numCache>
            </c:numRef>
          </c:xVal>
          <c:yVal>
            <c:numRef>
              <c:f>Sheet2!$Q$44:$Q$56</c:f>
              <c:numCache>
                <c:formatCode>General</c:formatCode>
                <c:ptCount val="13"/>
                <c:pt idx="0">
                  <c:v>13.0</c:v>
                </c:pt>
                <c:pt idx="1">
                  <c:v>5.0</c:v>
                </c:pt>
                <c:pt idx="2">
                  <c:v>17.0</c:v>
                </c:pt>
                <c:pt idx="3">
                  <c:v>11.0</c:v>
                </c:pt>
                <c:pt idx="4">
                  <c:v>4.5</c:v>
                </c:pt>
                <c:pt idx="5">
                  <c:v>11.0</c:v>
                </c:pt>
                <c:pt idx="6">
                  <c:v>29.0</c:v>
                </c:pt>
                <c:pt idx="7">
                  <c:v>23.0</c:v>
                </c:pt>
                <c:pt idx="8">
                  <c:v>20.0</c:v>
                </c:pt>
                <c:pt idx="9">
                  <c:v>12.0</c:v>
                </c:pt>
                <c:pt idx="11">
                  <c:v>6.0</c:v>
                </c:pt>
                <c:pt idx="12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55480"/>
        <c:axId val="1484760888"/>
      </c:scatterChart>
      <c:valAx>
        <c:axId val="148475548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Bacterial Exceedances</a:t>
                </a:r>
              </a:p>
            </c:rich>
          </c:tx>
          <c:layout>
            <c:manualLayout>
              <c:xMode val="edge"/>
              <c:yMode val="edge"/>
              <c:x val="0.360923009623797"/>
              <c:y val="0.7777777777777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484760888"/>
        <c:crosses val="autoZero"/>
        <c:crossBetween val="midCat"/>
      </c:valAx>
      <c:valAx>
        <c:axId val="1484760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 Health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4755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701290463692"/>
          <c:y val="0.860727252843395"/>
          <c:w val="0.564953044106803"/>
          <c:h val="0.09297648475374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Streamflow,</a:t>
            </a:r>
            <a:r>
              <a:rPr lang="en-US" baseline="0"/>
              <a:t> Temperature, and Cumulative Rainfall for the Bear in the Lodge and Pass Creek Watersheds 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09338536338558"/>
          <c:y val="0.120779817340856"/>
          <c:w val="0.884535433070866"/>
          <c:h val="0.704773869994209"/>
        </c:manualLayout>
      </c:layout>
      <c:lineChart>
        <c:grouping val="standard"/>
        <c:varyColors val="0"/>
        <c:ser>
          <c:idx val="0"/>
          <c:order val="0"/>
          <c:tx>
            <c:v>June Temp</c:v>
          </c:tx>
          <c:spPr>
            <a:ln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spPr>
              <a:ln w="34925">
                <a:solidFill>
                  <a:srgbClr val="FF0000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128490946063784"/>
                  <c:y val="0.0843264647977175"/>
                </c:manualLayout>
              </c:layout>
              <c:numFmt formatCode="General" sourceLinked="0"/>
            </c:trendlineLbl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'Temp-Precip'!$E$8:$E$235</c:f>
              <c:numCache>
                <c:formatCode>General</c:formatCode>
                <c:ptCount val="21"/>
                <c:pt idx="0">
                  <c:v>62.0</c:v>
                </c:pt>
                <c:pt idx="1">
                  <c:v>68.0</c:v>
                </c:pt>
                <c:pt idx="2">
                  <c:v>64.0</c:v>
                </c:pt>
                <c:pt idx="3">
                  <c:v>68.0</c:v>
                </c:pt>
                <c:pt idx="4">
                  <c:v>68.0</c:v>
                </c:pt>
                <c:pt idx="5">
                  <c:v>61.0</c:v>
                </c:pt>
                <c:pt idx="6">
                  <c:v>66.0</c:v>
                </c:pt>
                <c:pt idx="7">
                  <c:v>65.0</c:v>
                </c:pt>
                <c:pt idx="8">
                  <c:v>66.0</c:v>
                </c:pt>
                <c:pt idx="9">
                  <c:v>71.0</c:v>
                </c:pt>
                <c:pt idx="10">
                  <c:v>64.0</c:v>
                </c:pt>
                <c:pt idx="11">
                  <c:v>62.0</c:v>
                </c:pt>
                <c:pt idx="12">
                  <c:v>69.0</c:v>
                </c:pt>
                <c:pt idx="13">
                  <c:v>71.0</c:v>
                </c:pt>
                <c:pt idx="14">
                  <c:v>70.0</c:v>
                </c:pt>
                <c:pt idx="15">
                  <c:v>65.0</c:v>
                </c:pt>
                <c:pt idx="16">
                  <c:v>64.0</c:v>
                </c:pt>
                <c:pt idx="17">
                  <c:v>67.0</c:v>
                </c:pt>
                <c:pt idx="18">
                  <c:v>65.0</c:v>
                </c:pt>
                <c:pt idx="19">
                  <c:v>72.3</c:v>
                </c:pt>
                <c:pt idx="20">
                  <c:v>66.2</c:v>
                </c:pt>
              </c:numCache>
            </c:numRef>
          </c:val>
          <c:smooth val="0"/>
        </c:ser>
        <c:ser>
          <c:idx val="2"/>
          <c:order val="1"/>
          <c:tx>
            <c:v>Cumulative Rainfall</c:v>
          </c:tx>
          <c:spPr>
            <a:ln>
              <a:noFill/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trendline>
            <c:spPr>
              <a:ln w="38100">
                <a:solidFill>
                  <a:srgbClr val="3366FF"/>
                </a:solidFill>
                <a:prstDash val="dash"/>
              </a:ln>
            </c:spPr>
            <c:trendlineType val="exp"/>
            <c:dispRSqr val="1"/>
            <c:dispEq val="1"/>
            <c:trendlineLbl>
              <c:layout>
                <c:manualLayout>
                  <c:x val="-0.68767837829039"/>
                  <c:y val="-0.0959134803203962"/>
                </c:manualLayout>
              </c:layout>
              <c:numFmt formatCode="General" sourceLinked="0"/>
            </c:trendlineLbl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'Temp-Precip'!$G$8:$G$235</c:f>
              <c:numCache>
                <c:formatCode>General</c:formatCode>
                <c:ptCount val="21"/>
                <c:pt idx="0">
                  <c:v>10.99</c:v>
                </c:pt>
                <c:pt idx="1">
                  <c:v>5.71</c:v>
                </c:pt>
                <c:pt idx="2">
                  <c:v>12.2</c:v>
                </c:pt>
                <c:pt idx="3">
                  <c:v>9.37</c:v>
                </c:pt>
                <c:pt idx="4">
                  <c:v>14.85</c:v>
                </c:pt>
                <c:pt idx="5">
                  <c:v>10.3</c:v>
                </c:pt>
                <c:pt idx="6">
                  <c:v>10.48</c:v>
                </c:pt>
                <c:pt idx="7">
                  <c:v>9.27</c:v>
                </c:pt>
                <c:pt idx="8">
                  <c:v>9.02</c:v>
                </c:pt>
                <c:pt idx="9">
                  <c:v>5.06</c:v>
                </c:pt>
                <c:pt idx="10">
                  <c:v>8.05</c:v>
                </c:pt>
                <c:pt idx="11">
                  <c:v>5.44</c:v>
                </c:pt>
                <c:pt idx="12">
                  <c:v>11.41</c:v>
                </c:pt>
                <c:pt idx="13">
                  <c:v>5.97</c:v>
                </c:pt>
                <c:pt idx="14">
                  <c:v>7.31</c:v>
                </c:pt>
                <c:pt idx="15">
                  <c:v>12.09</c:v>
                </c:pt>
                <c:pt idx="16">
                  <c:v>7.7</c:v>
                </c:pt>
                <c:pt idx="17">
                  <c:v>8.59</c:v>
                </c:pt>
                <c:pt idx="18">
                  <c:v>11.86</c:v>
                </c:pt>
                <c:pt idx="19">
                  <c:v>7.91</c:v>
                </c:pt>
                <c:pt idx="20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965048"/>
        <c:axId val="1683967848"/>
      </c:lineChart>
      <c:lineChart>
        <c:grouping val="standard"/>
        <c:varyColors val="0"/>
        <c:ser>
          <c:idx val="3"/>
          <c:order val="2"/>
          <c:tx>
            <c:v>Streamflow</c:v>
          </c:tx>
          <c:spPr>
            <a:ln w="47625">
              <a:noFill/>
            </a:ln>
          </c:spPr>
          <c:trendline>
            <c:spPr>
              <a:ln w="41275">
                <a:solidFill>
                  <a:schemeClr val="tx2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34238923378389"/>
                  <c:y val="-0.163248884031105"/>
                </c:manualLayout>
              </c:layout>
              <c:numFmt formatCode="General" sourceLinked="0"/>
            </c:trendlineLbl>
          </c:trendline>
          <c:val>
            <c:numRef>
              <c:f>'Temp-Precip'!$O$249:$O$269</c:f>
              <c:numCache>
                <c:formatCode>General</c:formatCode>
                <c:ptCount val="21"/>
                <c:pt idx="0">
                  <c:v>390.7</c:v>
                </c:pt>
                <c:pt idx="1">
                  <c:v>270.3</c:v>
                </c:pt>
                <c:pt idx="2">
                  <c:v>306.1</c:v>
                </c:pt>
                <c:pt idx="3">
                  <c:v>280.6</c:v>
                </c:pt>
                <c:pt idx="4">
                  <c:v>612.1</c:v>
                </c:pt>
                <c:pt idx="5">
                  <c:v>308.5</c:v>
                </c:pt>
                <c:pt idx="6">
                  <c:v>454.4</c:v>
                </c:pt>
                <c:pt idx="7">
                  <c:v>306.2</c:v>
                </c:pt>
                <c:pt idx="8">
                  <c:v>228.6</c:v>
                </c:pt>
                <c:pt idx="9">
                  <c:v>112.2</c:v>
                </c:pt>
                <c:pt idx="10">
                  <c:v>140.5</c:v>
                </c:pt>
                <c:pt idx="11">
                  <c:v>114.8</c:v>
                </c:pt>
                <c:pt idx="12">
                  <c:v>213.6</c:v>
                </c:pt>
                <c:pt idx="13">
                  <c:v>122.4</c:v>
                </c:pt>
                <c:pt idx="14">
                  <c:v>113.7</c:v>
                </c:pt>
                <c:pt idx="15">
                  <c:v>246.5</c:v>
                </c:pt>
                <c:pt idx="16">
                  <c:v>290.1</c:v>
                </c:pt>
                <c:pt idx="17">
                  <c:v>389.9</c:v>
                </c:pt>
                <c:pt idx="18">
                  <c:v>485.6</c:v>
                </c:pt>
                <c:pt idx="19">
                  <c:v>112.0</c:v>
                </c:pt>
                <c:pt idx="20">
                  <c:v>220.0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976648"/>
        <c:axId val="1683973672"/>
      </c:lineChart>
      <c:catAx>
        <c:axId val="168396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3967848"/>
        <c:crosses val="autoZero"/>
        <c:auto val="1"/>
        <c:lblAlgn val="ctr"/>
        <c:lblOffset val="100"/>
        <c:noMultiLvlLbl val="0"/>
      </c:catAx>
      <c:valAx>
        <c:axId val="1683967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in Farenheit and Rainfall</a:t>
                </a:r>
                <a:r>
                  <a:rPr lang="en-US" baseline="0"/>
                  <a:t> in Inches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965048"/>
        <c:crosses val="autoZero"/>
        <c:crossBetween val="between"/>
      </c:valAx>
      <c:valAx>
        <c:axId val="1683973672"/>
        <c:scaling>
          <c:orientation val="minMax"/>
          <c:min val="4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</a:t>
                </a:r>
                <a:r>
                  <a:rPr lang="en-US" baseline="0"/>
                  <a:t> Flow in Cubic Feet per Second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77675868348347"/>
              <c:y val="0.3009742565144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3976648"/>
        <c:crosses val="max"/>
        <c:crossBetween val="between"/>
      </c:valAx>
      <c:catAx>
        <c:axId val="16839766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839736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863213764946"/>
          <c:y val="0.890547280775793"/>
          <c:w val="0.647920909886264"/>
          <c:h val="0.0832708995430723"/>
        </c:manualLayout>
      </c:layout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'Temp-Precip'!$F$8:$F$230</c:f>
              <c:numCache>
                <c:formatCode>General</c:formatCode>
                <c:ptCount val="20"/>
                <c:pt idx="0">
                  <c:v>4.72</c:v>
                </c:pt>
                <c:pt idx="1">
                  <c:v>1.92</c:v>
                </c:pt>
                <c:pt idx="2">
                  <c:v>2.69</c:v>
                </c:pt>
                <c:pt idx="3">
                  <c:v>1.15</c:v>
                </c:pt>
                <c:pt idx="4">
                  <c:v>6.32</c:v>
                </c:pt>
                <c:pt idx="5">
                  <c:v>3.42</c:v>
                </c:pt>
                <c:pt idx="6">
                  <c:v>4.05</c:v>
                </c:pt>
                <c:pt idx="7">
                  <c:v>2.1</c:v>
                </c:pt>
                <c:pt idx="8">
                  <c:v>2.21</c:v>
                </c:pt>
                <c:pt idx="9">
                  <c:v>0.35</c:v>
                </c:pt>
                <c:pt idx="10">
                  <c:v>2.01</c:v>
                </c:pt>
                <c:pt idx="11">
                  <c:v>1.88</c:v>
                </c:pt>
                <c:pt idx="12">
                  <c:v>2.52</c:v>
                </c:pt>
                <c:pt idx="13">
                  <c:v>0.93</c:v>
                </c:pt>
                <c:pt idx="14">
                  <c:v>1.59</c:v>
                </c:pt>
                <c:pt idx="15">
                  <c:v>3.84</c:v>
                </c:pt>
                <c:pt idx="16">
                  <c:v>2.13</c:v>
                </c:pt>
                <c:pt idx="17">
                  <c:v>3.99</c:v>
                </c:pt>
                <c:pt idx="18">
                  <c:v>4.12</c:v>
                </c:pt>
                <c:pt idx="19">
                  <c:v>3.9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trendline>
            <c:trendlineType val="poly"/>
            <c:order val="2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'Temp-Precip'!$G$8:$G$235</c:f>
              <c:numCache>
                <c:formatCode>General</c:formatCode>
                <c:ptCount val="21"/>
                <c:pt idx="0">
                  <c:v>10.99</c:v>
                </c:pt>
                <c:pt idx="1">
                  <c:v>5.71</c:v>
                </c:pt>
                <c:pt idx="2">
                  <c:v>12.2</c:v>
                </c:pt>
                <c:pt idx="3">
                  <c:v>9.37</c:v>
                </c:pt>
                <c:pt idx="4">
                  <c:v>14.85</c:v>
                </c:pt>
                <c:pt idx="5">
                  <c:v>10.3</c:v>
                </c:pt>
                <c:pt idx="6">
                  <c:v>10.48</c:v>
                </c:pt>
                <c:pt idx="7">
                  <c:v>9.27</c:v>
                </c:pt>
                <c:pt idx="8">
                  <c:v>9.02</c:v>
                </c:pt>
                <c:pt idx="9">
                  <c:v>5.06</c:v>
                </c:pt>
                <c:pt idx="10">
                  <c:v>8.05</c:v>
                </c:pt>
                <c:pt idx="11">
                  <c:v>5.44</c:v>
                </c:pt>
                <c:pt idx="12">
                  <c:v>11.41</c:v>
                </c:pt>
                <c:pt idx="13">
                  <c:v>5.97</c:v>
                </c:pt>
                <c:pt idx="14">
                  <c:v>7.31</c:v>
                </c:pt>
                <c:pt idx="15">
                  <c:v>12.09</c:v>
                </c:pt>
                <c:pt idx="16">
                  <c:v>7.7</c:v>
                </c:pt>
                <c:pt idx="17">
                  <c:v>8.59</c:v>
                </c:pt>
                <c:pt idx="18">
                  <c:v>11.86</c:v>
                </c:pt>
                <c:pt idx="19">
                  <c:v>7.91</c:v>
                </c:pt>
                <c:pt idx="20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164808"/>
        <c:axId val="1683161816"/>
      </c:line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'Temp-Precip'!$E$8:$E$235</c:f>
              <c:numCache>
                <c:formatCode>General</c:formatCode>
                <c:ptCount val="21"/>
                <c:pt idx="0">
                  <c:v>62.0</c:v>
                </c:pt>
                <c:pt idx="1">
                  <c:v>68.0</c:v>
                </c:pt>
                <c:pt idx="2">
                  <c:v>64.0</c:v>
                </c:pt>
                <c:pt idx="3">
                  <c:v>68.0</c:v>
                </c:pt>
                <c:pt idx="4">
                  <c:v>68.0</c:v>
                </c:pt>
                <c:pt idx="5">
                  <c:v>61.0</c:v>
                </c:pt>
                <c:pt idx="6">
                  <c:v>66.0</c:v>
                </c:pt>
                <c:pt idx="7">
                  <c:v>65.0</c:v>
                </c:pt>
                <c:pt idx="8">
                  <c:v>66.0</c:v>
                </c:pt>
                <c:pt idx="9">
                  <c:v>71.0</c:v>
                </c:pt>
                <c:pt idx="10">
                  <c:v>64.0</c:v>
                </c:pt>
                <c:pt idx="11">
                  <c:v>62.0</c:v>
                </c:pt>
                <c:pt idx="12">
                  <c:v>69.0</c:v>
                </c:pt>
                <c:pt idx="13">
                  <c:v>71.0</c:v>
                </c:pt>
                <c:pt idx="14">
                  <c:v>70.0</c:v>
                </c:pt>
                <c:pt idx="15">
                  <c:v>65.0</c:v>
                </c:pt>
                <c:pt idx="16">
                  <c:v>64.0</c:v>
                </c:pt>
                <c:pt idx="17">
                  <c:v>67.0</c:v>
                </c:pt>
                <c:pt idx="18">
                  <c:v>65.0</c:v>
                </c:pt>
                <c:pt idx="19">
                  <c:v>72.3</c:v>
                </c:pt>
                <c:pt idx="20">
                  <c:v>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155880"/>
        <c:axId val="1683158808"/>
      </c:lineChart>
      <c:catAx>
        <c:axId val="16831648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3161816"/>
        <c:crosses val="autoZero"/>
        <c:auto val="1"/>
        <c:lblAlgn val="ctr"/>
        <c:lblOffset val="100"/>
        <c:noMultiLvlLbl val="0"/>
      </c:catAx>
      <c:valAx>
        <c:axId val="1683161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3164808"/>
        <c:crosses val="autoZero"/>
        <c:crossBetween val="between"/>
      </c:valAx>
      <c:valAx>
        <c:axId val="1683158808"/>
        <c:scaling>
          <c:orientation val="minMax"/>
          <c:min val="40.0"/>
        </c:scaling>
        <c:delete val="0"/>
        <c:axPos val="r"/>
        <c:numFmt formatCode="General" sourceLinked="1"/>
        <c:majorTickMark val="out"/>
        <c:minorTickMark val="none"/>
        <c:tickLblPos val="nextTo"/>
        <c:crossAx val="1683155880"/>
        <c:crosses val="max"/>
        <c:crossBetween val="between"/>
      </c:valAx>
      <c:catAx>
        <c:axId val="16831558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831588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Bacterial</a:t>
            </a:r>
            <a:r>
              <a:rPr lang="en-US" baseline="0"/>
              <a:t> Exceedance Trends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021746719160105"/>
                  <c:y val="0.313854622338874"/>
                </c:manualLayout>
              </c:layout>
              <c:numFmt formatCode="General" sourceLinked="0"/>
            </c:trendlineLbl>
          </c:trendline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0224658792650919"/>
                  <c:y val="0.27962962962963"/>
                </c:manualLayout>
              </c:layout>
              <c:numFmt formatCode="General" sourceLinked="0"/>
            </c:trendlineLbl>
          </c:trendline>
          <c:xVal>
            <c:numRef>
              <c:f>Sheet2!$G$44:$G$56</c:f>
              <c:numCache>
                <c:formatCode>0%</c:formatCode>
                <c:ptCount val="13"/>
                <c:pt idx="0">
                  <c:v>0.375</c:v>
                </c:pt>
                <c:pt idx="1">
                  <c:v>1.0</c:v>
                </c:pt>
                <c:pt idx="2">
                  <c:v>0.875</c:v>
                </c:pt>
                <c:pt idx="3">
                  <c:v>0.5</c:v>
                </c:pt>
                <c:pt idx="4">
                  <c:v>1.0</c:v>
                </c:pt>
                <c:pt idx="5">
                  <c:v>0.54</c:v>
                </c:pt>
                <c:pt idx="6">
                  <c:v>0.745</c:v>
                </c:pt>
                <c:pt idx="7" formatCode="General">
                  <c:v>0.95</c:v>
                </c:pt>
                <c:pt idx="8">
                  <c:v>0.9</c:v>
                </c:pt>
                <c:pt idx="9">
                  <c:v>0.5</c:v>
                </c:pt>
                <c:pt idx="10">
                  <c:v>0.0</c:v>
                </c:pt>
                <c:pt idx="11">
                  <c:v>0.93</c:v>
                </c:pt>
                <c:pt idx="12">
                  <c:v>1.0</c:v>
                </c:pt>
              </c:numCache>
            </c:numRef>
          </c:xVal>
          <c:yVal>
            <c:numRef>
              <c:f>Sheet2!$H$44:$H$56</c:f>
              <c:numCache>
                <c:formatCode>0%</c:formatCode>
                <c:ptCount val="13"/>
                <c:pt idx="0">
                  <c:v>0.58</c:v>
                </c:pt>
                <c:pt idx="1">
                  <c:v>0.665</c:v>
                </c:pt>
                <c:pt idx="2">
                  <c:v>0.6</c:v>
                </c:pt>
                <c:pt idx="3">
                  <c:v>1.0</c:v>
                </c:pt>
                <c:pt idx="4">
                  <c:v>0.805</c:v>
                </c:pt>
                <c:pt idx="5">
                  <c:v>0.4825</c:v>
                </c:pt>
                <c:pt idx="6">
                  <c:v>0.75</c:v>
                </c:pt>
                <c:pt idx="7">
                  <c:v>0.97</c:v>
                </c:pt>
                <c:pt idx="8">
                  <c:v>0.61</c:v>
                </c:pt>
                <c:pt idx="9">
                  <c:v>0.61</c:v>
                </c:pt>
                <c:pt idx="10">
                  <c:v>0.41</c:v>
                </c:pt>
                <c:pt idx="11">
                  <c:v>1.0</c:v>
                </c:pt>
                <c:pt idx="12">
                  <c:v>0.96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45752"/>
        <c:axId val="1483951560"/>
      </c:scatterChart>
      <c:valAx>
        <c:axId val="148394575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Prior</a:t>
                </a:r>
                <a:r>
                  <a:rPr lang="en-US" baseline="0"/>
                  <a:t> Year % Bacterial Exceedances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83951560"/>
        <c:crosses val="autoZero"/>
        <c:crossBetween val="midCat"/>
      </c:valAx>
      <c:valAx>
        <c:axId val="1483951560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</a:t>
                </a:r>
                <a:r>
                  <a:rPr lang="en-US"/>
                  <a:t>% Bacterial Exceedances</a:t>
                </a:r>
              </a:p>
            </c:rich>
          </c:tx>
          <c:layout>
            <c:manualLayout>
              <c:xMode val="edge"/>
              <c:yMode val="edge"/>
              <c:x val="0.0472222222222222"/>
              <c:y val="0.17870370370370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483945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</a:t>
            </a:r>
            <a:r>
              <a:rPr lang="en-US" baseline="0"/>
              <a:t> Health Trends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28693081854143"/>
          <c:y val="0.231487952343937"/>
          <c:w val="0.908590560225723"/>
          <c:h val="0.631764878011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Sheet2!$K$43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Sheet2!$K$44:$K$50</c:f>
            </c:numRef>
          </c:yVal>
          <c:smooth val="0"/>
        </c:ser>
        <c:ser>
          <c:idx val="1"/>
          <c:order val="1"/>
          <c:tx>
            <c:strRef>
              <c:f>Sheet2!$L$43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Sheet2!$L$44:$L$50</c:f>
            </c:numRef>
          </c:yVal>
          <c:smooth val="0"/>
        </c:ser>
        <c:ser>
          <c:idx val="2"/>
          <c:order val="2"/>
          <c:tx>
            <c:strRef>
              <c:f>Sheet2!$M$43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Sheet2!$M$44:$M$50</c:f>
            </c:numRef>
          </c:yVal>
          <c:smooth val="0"/>
        </c:ser>
        <c:ser>
          <c:idx val="3"/>
          <c:order val="3"/>
          <c:tx>
            <c:strRef>
              <c:f>Sheet2!$N$43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Sheet2!$N$44:$N$50</c:f>
            </c:numRef>
          </c:yVal>
          <c:smooth val="0"/>
        </c:ser>
        <c:ser>
          <c:idx val="4"/>
          <c:order val="4"/>
          <c:tx>
            <c:strRef>
              <c:f>Sheet2!$O$43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Sheet2!$O$44:$O$50</c:f>
            </c:numRef>
          </c:yVal>
          <c:smooth val="0"/>
        </c:ser>
        <c:ser>
          <c:idx val="5"/>
          <c:order val="5"/>
          <c:tx>
            <c:strRef>
              <c:f>Sheet2!$P$43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Sheet2!$P$44:$P$50</c:f>
            </c:numRef>
          </c:yVal>
          <c:smooth val="0"/>
        </c:ser>
        <c:ser>
          <c:idx val="6"/>
          <c:order val="6"/>
          <c:tx>
            <c:strRef>
              <c:f>Sheet2!$Q$43</c:f>
              <c:strCache>
                <c:ptCount val="1"/>
                <c:pt idx="0">
                  <c:v>2012-2013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9016379478113"/>
                  <c:y val="0.273625936197569"/>
                </c:manualLayout>
              </c:layout>
              <c:numFmt formatCode="General" sourceLinked="0"/>
            </c:trendlineLbl>
          </c:trendline>
          <c:xVal>
            <c:numRef>
              <c:f>Sheet2!$J$51:$J$56</c:f>
              <c:numCache>
                <c:formatCode>General</c:formatCode>
                <c:ptCount val="6"/>
                <c:pt idx="0">
                  <c:v>31.0</c:v>
                </c:pt>
                <c:pt idx="1">
                  <c:v>30.0</c:v>
                </c:pt>
                <c:pt idx="2">
                  <c:v>30.0</c:v>
                </c:pt>
                <c:pt idx="4">
                  <c:v>6.0</c:v>
                </c:pt>
                <c:pt idx="5">
                  <c:v>30.0</c:v>
                </c:pt>
              </c:numCache>
            </c:numRef>
          </c:xVal>
          <c:yVal>
            <c:numRef>
              <c:f>Sheet2!$Q$51:$Q$56</c:f>
              <c:numCache>
                <c:formatCode>General</c:formatCode>
                <c:ptCount val="6"/>
                <c:pt idx="0">
                  <c:v>23.0</c:v>
                </c:pt>
                <c:pt idx="1">
                  <c:v>20.0</c:v>
                </c:pt>
                <c:pt idx="2">
                  <c:v>12.0</c:v>
                </c:pt>
                <c:pt idx="4">
                  <c:v>6.0</c:v>
                </c:pt>
                <c:pt idx="5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74776"/>
        <c:axId val="1483777672"/>
      </c:scatterChart>
      <c:valAx>
        <c:axId val="148377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777672"/>
        <c:crosses val="autoZero"/>
        <c:crossBetween val="midCat"/>
      </c:valAx>
      <c:valAx>
        <c:axId val="1483777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3774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Sheet2!$I$51:$I$56</c:f>
              <c:numCache>
                <c:formatCode>0%</c:formatCode>
                <c:ptCount val="6"/>
                <c:pt idx="0">
                  <c:v>0.02</c:v>
                </c:pt>
                <c:pt idx="1">
                  <c:v>-0.29</c:v>
                </c:pt>
                <c:pt idx="2">
                  <c:v>0.11</c:v>
                </c:pt>
                <c:pt idx="3">
                  <c:v>0.41</c:v>
                </c:pt>
                <c:pt idx="4">
                  <c:v>0.0699999999999999</c:v>
                </c:pt>
                <c:pt idx="5">
                  <c:v>-0.04</c:v>
                </c:pt>
              </c:numCache>
            </c:numRef>
          </c:xVal>
          <c:yVal>
            <c:numRef>
              <c:f>Sheet2!$R$51:$R$56</c:f>
              <c:numCache>
                <c:formatCode>General</c:formatCode>
                <c:ptCount val="6"/>
                <c:pt idx="0">
                  <c:v>-8.0</c:v>
                </c:pt>
                <c:pt idx="1">
                  <c:v>-10.0</c:v>
                </c:pt>
                <c:pt idx="2">
                  <c:v>-18.0</c:v>
                </c:pt>
                <c:pt idx="4">
                  <c:v>0.0</c:v>
                </c:pt>
                <c:pt idx="5">
                  <c:v>-15.0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97560"/>
        <c:axId val="1483800648"/>
      </c:scatterChart>
      <c:valAx>
        <c:axId val="1483797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483800648"/>
        <c:crosses val="autoZero"/>
        <c:crossBetween val="midCat"/>
      </c:valAx>
      <c:valAx>
        <c:axId val="1483800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3797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Sheet3!$K$2:$K$12</c:f>
              <c:numCache>
                <c:formatCode>General</c:formatCode>
                <c:ptCount val="11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</c:numCache>
            </c:numRef>
          </c:xVal>
          <c:yVal>
            <c:numRef>
              <c:f>Sheet3!$L$2:$L$12</c:f>
              <c:numCache>
                <c:formatCode>General</c:formatCode>
                <c:ptCount val="1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33.0</c:v>
                </c:pt>
                <c:pt idx="5">
                  <c:v>33.0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xVal>
          <c:yVal>
            <c:numRef>
              <c:f>Sheet3!$T$2:$T$18</c:f>
              <c:numCache>
                <c:formatCode>General</c:formatCode>
                <c:ptCount val="17"/>
                <c:pt idx="0">
                  <c:v>15.0</c:v>
                </c:pt>
                <c:pt idx="1">
                  <c:v>15.0</c:v>
                </c:pt>
                <c:pt idx="2">
                  <c:v>19.5</c:v>
                </c:pt>
                <c:pt idx="3">
                  <c:v>12.0</c:v>
                </c:pt>
                <c:pt idx="4">
                  <c:v>22.5</c:v>
                </c:pt>
                <c:pt idx="5">
                  <c:v>22.5</c:v>
                </c:pt>
                <c:pt idx="6">
                  <c:v>16.5</c:v>
                </c:pt>
                <c:pt idx="7">
                  <c:v>4.5</c:v>
                </c:pt>
                <c:pt idx="8">
                  <c:v>16.5</c:v>
                </c:pt>
                <c:pt idx="9">
                  <c:v>6.0</c:v>
                </c:pt>
                <c:pt idx="10">
                  <c:v>12.0</c:v>
                </c:pt>
                <c:pt idx="12">
                  <c:v>10.5</c:v>
                </c:pt>
                <c:pt idx="13">
                  <c:v>3.0</c:v>
                </c:pt>
                <c:pt idx="16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38824"/>
        <c:axId val="1671541816"/>
      </c:scatterChart>
      <c:valAx>
        <c:axId val="167153882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671541816"/>
        <c:crosses val="autoZero"/>
        <c:crossBetween val="midCat"/>
      </c:valAx>
      <c:valAx>
        <c:axId val="1671541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71538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Sheet3!$K$2:$K$18</c:f>
              <c:numCache>
                <c:formatCode>General</c:formatCode>
                <c:ptCount val="17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  <c:pt idx="11">
                  <c:v>1.1</c:v>
                </c:pt>
                <c:pt idx="12">
                  <c:v>0.025</c:v>
                </c:pt>
                <c:pt idx="13">
                  <c:v>1.6</c:v>
                </c:pt>
                <c:pt idx="14">
                  <c:v>2.2</c:v>
                </c:pt>
                <c:pt idx="15">
                  <c:v>0.1</c:v>
                </c:pt>
                <c:pt idx="16">
                  <c:v>0.09</c:v>
                </c:pt>
              </c:numCache>
            </c:numRef>
          </c:cat>
          <c: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362408"/>
        <c:axId val="1683353832"/>
      </c:barChart>
      <c:catAx>
        <c:axId val="168336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3353832"/>
        <c:crosses val="autoZero"/>
        <c:auto val="1"/>
        <c:lblAlgn val="ctr"/>
        <c:lblOffset val="100"/>
        <c:noMultiLvlLbl val="0"/>
      </c:catAx>
      <c:valAx>
        <c:axId val="168335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33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Sheet3!$J$2:$J$18</c:f>
              <c:strCache>
                <c:ptCount val="17"/>
                <c:pt idx="0">
                  <c:v>BlackPipe Creek</c:v>
                </c:pt>
                <c:pt idx="1">
                  <c:v>BLC1</c:v>
                </c:pt>
                <c:pt idx="2">
                  <c:v>Pass Creek 2</c:v>
                </c:pt>
                <c:pt idx="3">
                  <c:v>Pass Creek 3</c:v>
                </c:pt>
                <c:pt idx="4">
                  <c:v>BLC2</c:v>
                </c:pt>
                <c:pt idx="5">
                  <c:v>Pass Creek 1</c:v>
                </c:pt>
                <c:pt idx="6">
                  <c:v>Bear Creek 1</c:v>
                </c:pt>
                <c:pt idx="7">
                  <c:v>Bear Creek 2</c:v>
                </c:pt>
                <c:pt idx="8">
                  <c:v>Bear Creek 3</c:v>
                </c:pt>
                <c:pt idx="9">
                  <c:v>Buzzard Creek</c:v>
                </c:pt>
                <c:pt idx="10">
                  <c:v>Corn Creek</c:v>
                </c:pt>
                <c:pt idx="11">
                  <c:v>Craven Creek</c:v>
                </c:pt>
                <c:pt idx="12">
                  <c:v>Eagle Nest 1</c:v>
                </c:pt>
                <c:pt idx="13">
                  <c:v>Eagle Nest 2</c:v>
                </c:pt>
                <c:pt idx="14">
                  <c:v>Long Creek</c:v>
                </c:pt>
                <c:pt idx="15">
                  <c:v>Lost Dog Creek</c:v>
                </c:pt>
                <c:pt idx="16">
                  <c:v>Potato Creek</c:v>
                </c:pt>
              </c:strCache>
            </c:strRef>
          </c:cat>
          <c:val>
            <c:numRef>
              <c:f>Sheet3!$K$2:$K$18</c:f>
              <c:numCache>
                <c:formatCode>General</c:formatCode>
                <c:ptCount val="17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  <c:pt idx="11">
                  <c:v>1.1</c:v>
                </c:pt>
                <c:pt idx="12">
                  <c:v>0.025</c:v>
                </c:pt>
                <c:pt idx="13">
                  <c:v>1.6</c:v>
                </c:pt>
                <c:pt idx="14">
                  <c:v>2.2</c:v>
                </c:pt>
                <c:pt idx="15">
                  <c:v>0.1</c:v>
                </c:pt>
                <c:pt idx="16">
                  <c:v>0.09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385960"/>
        <c:axId val="1683388936"/>
      </c:barChart>
      <c:catAx>
        <c:axId val="168338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388936"/>
        <c:crosses val="autoZero"/>
        <c:auto val="1"/>
        <c:lblAlgn val="ctr"/>
        <c:lblOffset val="100"/>
        <c:noMultiLvlLbl val="0"/>
      </c:catAx>
      <c:valAx>
        <c:axId val="168338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3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2009</c:v>
          </c:tx>
          <c:val>
            <c:numRef>
              <c:f>Nitrate!$S$2:$S$18</c:f>
              <c:numCache>
                <c:formatCode>General</c:formatCode>
                <c:ptCount val="17"/>
                <c:pt idx="3">
                  <c:v>1.8</c:v>
                </c:pt>
                <c:pt idx="4">
                  <c:v>0.19</c:v>
                </c:pt>
                <c:pt idx="5">
                  <c:v>0.36</c:v>
                </c:pt>
                <c:pt idx="6">
                  <c:v>0.16</c:v>
                </c:pt>
                <c:pt idx="13">
                  <c:v>0.337</c:v>
                </c:pt>
                <c:pt idx="14">
                  <c:v>0.15</c:v>
                </c:pt>
                <c:pt idx="15">
                  <c:v>0.06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Nitrate!$D$2:$D$18</c:f>
              <c:numCache>
                <c:formatCode>General</c:formatCode>
                <c:ptCount val="17"/>
                <c:pt idx="0">
                  <c:v>8.0</c:v>
                </c:pt>
                <c:pt idx="1">
                  <c:v>17.0</c:v>
                </c:pt>
                <c:pt idx="2">
                  <c:v>26.0</c:v>
                </c:pt>
                <c:pt idx="3">
                  <c:v>25.0</c:v>
                </c:pt>
                <c:pt idx="4">
                  <c:v>19.0</c:v>
                </c:pt>
                <c:pt idx="5">
                  <c:v>20.0</c:v>
                </c:pt>
                <c:pt idx="6">
                  <c:v>9.0</c:v>
                </c:pt>
                <c:pt idx="7">
                  <c:v>20.0</c:v>
                </c:pt>
                <c:pt idx="8">
                  <c:v>8.0</c:v>
                </c:pt>
                <c:pt idx="9">
                  <c:v>18.0</c:v>
                </c:pt>
                <c:pt idx="10">
                  <c:v>12.0</c:v>
                </c:pt>
                <c:pt idx="11">
                  <c:v>18.0</c:v>
                </c:pt>
                <c:pt idx="12">
                  <c:v>23.0</c:v>
                </c:pt>
                <c:pt idx="13">
                  <c:v>20.0</c:v>
                </c:pt>
                <c:pt idx="14">
                  <c:v>10.0</c:v>
                </c:pt>
                <c:pt idx="15">
                  <c:v>4.0</c:v>
                </c:pt>
              </c:numCache>
            </c:numRef>
          </c:cat>
          <c:val>
            <c:numRef>
              <c:f>Nitrate!$M$2:$M$17</c:f>
              <c:numCache>
                <c:formatCode>General</c:formatCode>
                <c:ptCount val="16"/>
                <c:pt idx="0">
                  <c:v>0.33</c:v>
                </c:pt>
                <c:pt idx="1">
                  <c:v>0.2804</c:v>
                </c:pt>
                <c:pt idx="2">
                  <c:v>0.216666666666667</c:v>
                </c:pt>
                <c:pt idx="4">
                  <c:v>0.401666666666667</c:v>
                </c:pt>
                <c:pt idx="5">
                  <c:v>0.2005</c:v>
                </c:pt>
                <c:pt idx="6">
                  <c:v>0.3</c:v>
                </c:pt>
                <c:pt idx="7">
                  <c:v>0.35</c:v>
                </c:pt>
                <c:pt idx="8">
                  <c:v>1.4</c:v>
                </c:pt>
                <c:pt idx="9">
                  <c:v>0.07</c:v>
                </c:pt>
                <c:pt idx="10">
                  <c:v>0.45</c:v>
                </c:pt>
                <c:pt idx="11">
                  <c:v>0.4</c:v>
                </c:pt>
                <c:pt idx="12">
                  <c:v>0.433</c:v>
                </c:pt>
                <c:pt idx="13">
                  <c:v>0.173333333333333</c:v>
                </c:pt>
                <c:pt idx="15">
                  <c:v>0.100833333333333</c:v>
                </c:pt>
              </c:numCache>
            </c:numRef>
          </c:val>
          <c:smooth val="0"/>
        </c:ser>
        <c:ser>
          <c:idx val="1"/>
          <c:order val="2"/>
          <c:val>
            <c:numRef>
              <c:f>Nitrate!$V$2:$V$18</c:f>
              <c:numCache>
                <c:formatCode>General</c:formatCode>
                <c:ptCount val="17"/>
                <c:pt idx="0">
                  <c:v>0.345</c:v>
                </c:pt>
                <c:pt idx="1">
                  <c:v>0.3552</c:v>
                </c:pt>
                <c:pt idx="2">
                  <c:v>0.308333333333333</c:v>
                </c:pt>
                <c:pt idx="3">
                  <c:v>0.73</c:v>
                </c:pt>
                <c:pt idx="4">
                  <c:v>0.3225</c:v>
                </c:pt>
                <c:pt idx="5">
                  <c:v>0.211916666666667</c:v>
                </c:pt>
                <c:pt idx="6">
                  <c:v>0.3</c:v>
                </c:pt>
                <c:pt idx="7">
                  <c:v>0.28</c:v>
                </c:pt>
                <c:pt idx="8">
                  <c:v>1.65</c:v>
                </c:pt>
                <c:pt idx="9">
                  <c:v>0.156666666666667</c:v>
                </c:pt>
                <c:pt idx="10">
                  <c:v>0.791666666666667</c:v>
                </c:pt>
                <c:pt idx="12">
                  <c:v>0.4</c:v>
                </c:pt>
                <c:pt idx="13">
                  <c:v>0.433</c:v>
                </c:pt>
                <c:pt idx="14">
                  <c:v>0.173333333333333</c:v>
                </c:pt>
                <c:pt idx="15">
                  <c:v>0.0366666666666667</c:v>
                </c:pt>
                <c:pt idx="16">
                  <c:v>0.10875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435176"/>
        <c:axId val="1683438152"/>
      </c:lineChart>
      <c:catAx>
        <c:axId val="16834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438152"/>
        <c:crosses val="autoZero"/>
        <c:auto val="1"/>
        <c:lblAlgn val="ctr"/>
        <c:lblOffset val="100"/>
        <c:noMultiLvlLbl val="0"/>
      </c:catAx>
      <c:valAx>
        <c:axId val="1683438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3435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33867</xdr:colOff>
      <xdr:row>59</xdr:row>
      <xdr:rowOff>143936</xdr:rowOff>
    </xdr:from>
    <xdr:to>
      <xdr:col>20</xdr:col>
      <xdr:colOff>457201</xdr:colOff>
      <xdr:row>73</xdr:row>
      <xdr:rowOff>160868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245533</xdr:colOff>
      <xdr:row>59</xdr:row>
      <xdr:rowOff>143934</xdr:rowOff>
    </xdr:from>
    <xdr:to>
      <xdr:col>5</xdr:col>
      <xdr:colOff>668866</xdr:colOff>
      <xdr:row>73</xdr:row>
      <xdr:rowOff>160867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135466</xdr:colOff>
      <xdr:row>74</xdr:row>
      <xdr:rowOff>127000</xdr:rowOff>
    </xdr:from>
    <xdr:to>
      <xdr:col>20</xdr:col>
      <xdr:colOff>431801</xdr:colOff>
      <xdr:row>87</xdr:row>
      <xdr:rowOff>42332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821266</xdr:colOff>
      <xdr:row>44</xdr:row>
      <xdr:rowOff>97369</xdr:rowOff>
    </xdr:from>
    <xdr:to>
      <xdr:col>25</xdr:col>
      <xdr:colOff>414866</xdr:colOff>
      <xdr:row>58</xdr:row>
      <xdr:rowOff>114302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23</xdr:row>
      <xdr:rowOff>114300</xdr:rowOff>
    </xdr:from>
    <xdr:to>
      <xdr:col>23</xdr:col>
      <xdr:colOff>444500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29</xdr:row>
      <xdr:rowOff>177800</xdr:rowOff>
    </xdr:from>
    <xdr:to>
      <xdr:col>13</xdr:col>
      <xdr:colOff>304800</xdr:colOff>
      <xdr:row>44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546100</xdr:colOff>
      <xdr:row>2</xdr:row>
      <xdr:rowOff>101600</xdr:rowOff>
    </xdr:from>
    <xdr:to>
      <xdr:col>26</xdr:col>
      <xdr:colOff>165100</xdr:colOff>
      <xdr:row>16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546100</xdr:colOff>
      <xdr:row>2</xdr:row>
      <xdr:rowOff>101600</xdr:rowOff>
    </xdr:from>
    <xdr:to>
      <xdr:col>30</xdr:col>
      <xdr:colOff>165100</xdr:colOff>
      <xdr:row>16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520700</xdr:colOff>
      <xdr:row>25</xdr:row>
      <xdr:rowOff>25400</xdr:rowOff>
    </xdr:from>
    <xdr:to>
      <xdr:col>34</xdr:col>
      <xdr:colOff>139700</xdr:colOff>
      <xdr:row>39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4</xdr:row>
      <xdr:rowOff>63500</xdr:rowOff>
    </xdr:from>
    <xdr:to>
      <xdr:col>33</xdr:col>
      <xdr:colOff>635000</xdr:colOff>
      <xdr:row>22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158750</xdr:colOff>
      <xdr:row>28</xdr:row>
      <xdr:rowOff>152400</xdr:rowOff>
    </xdr:from>
    <xdr:to>
      <xdr:col>22</xdr:col>
      <xdr:colOff>381000</xdr:colOff>
      <xdr:row>46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577850</xdr:colOff>
      <xdr:row>27</xdr:row>
      <xdr:rowOff>177800</xdr:rowOff>
    </xdr:from>
    <xdr:to>
      <xdr:col>14</xdr:col>
      <xdr:colOff>577850</xdr:colOff>
      <xdr:row>42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673100</xdr:colOff>
      <xdr:row>21</xdr:row>
      <xdr:rowOff>50800</xdr:rowOff>
    </xdr:from>
    <xdr:to>
      <xdr:col>7</xdr:col>
      <xdr:colOff>431800</xdr:colOff>
      <xdr:row>35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476250</xdr:colOff>
      <xdr:row>20</xdr:row>
      <xdr:rowOff>76200</xdr:rowOff>
    </xdr:from>
    <xdr:to>
      <xdr:col>12</xdr:col>
      <xdr:colOff>95250</xdr:colOff>
      <xdr:row>33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12</xdr:row>
      <xdr:rowOff>177800</xdr:rowOff>
    </xdr:from>
    <xdr:to>
      <xdr:col>13</xdr:col>
      <xdr:colOff>711200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</xdr:row>
      <xdr:rowOff>0</xdr:rowOff>
    </xdr:from>
    <xdr:to>
      <xdr:col>18</xdr:col>
      <xdr:colOff>558800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13</xdr:row>
      <xdr:rowOff>88900</xdr:rowOff>
    </xdr:from>
    <xdr:to>
      <xdr:col>13</xdr:col>
      <xdr:colOff>533400</xdr:colOff>
      <xdr:row>27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260350</xdr:colOff>
      <xdr:row>28</xdr:row>
      <xdr:rowOff>114300</xdr:rowOff>
    </xdr:from>
    <xdr:to>
      <xdr:col>12</xdr:col>
      <xdr:colOff>704850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43</xdr:row>
      <xdr:rowOff>177800</xdr:rowOff>
    </xdr:from>
    <xdr:to>
      <xdr:col>14</xdr:col>
      <xdr:colOff>736600</xdr:colOff>
      <xdr:row>244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opLeftCell="A61" zoomScale="200" zoomScaleNormal="200" zoomScalePageLayoutView="200" workbookViewId="0">
      <selection activeCell="D93" sqref="D93:D108"/>
    </sheetView>
  </sheetViews>
  <sheetFormatPr baseColWidth="10" defaultRowHeight="11" x14ac:dyDescent="0"/>
  <cols>
    <col min="1" max="1" width="4.6640625" style="2" bestFit="1" customWidth="1"/>
    <col min="2" max="2" width="8.33203125" style="2" bestFit="1" customWidth="1"/>
    <col min="3" max="3" width="5.83203125" style="2" customWidth="1"/>
    <col min="4" max="4" width="4.33203125" style="2" bestFit="1" customWidth="1"/>
    <col min="5" max="5" width="4.1640625" style="2" bestFit="1" customWidth="1"/>
    <col min="6" max="6" width="4.6640625" style="2" bestFit="1" customWidth="1"/>
    <col min="7" max="7" width="5.6640625" style="2" bestFit="1" customWidth="1"/>
    <col min="8" max="8" width="5.83203125" style="2" customWidth="1"/>
    <col min="9" max="9" width="4.33203125" style="2" bestFit="1" customWidth="1"/>
    <col min="10" max="10" width="3.1640625" style="2" bestFit="1" customWidth="1"/>
    <col min="11" max="11" width="2.6640625" style="2" bestFit="1" customWidth="1"/>
    <col min="12" max="12" width="2.5" style="2" bestFit="1" customWidth="1"/>
    <col min="13" max="13" width="4.33203125" style="2" customWidth="1"/>
    <col min="14" max="15" width="6.5" style="2" customWidth="1"/>
    <col min="16" max="16" width="10.83203125" style="2"/>
    <col min="17" max="17" width="28.33203125" style="2" bestFit="1" customWidth="1"/>
    <col min="18" max="18" width="10.83203125" style="2"/>
    <col min="19" max="19" width="28.33203125" style="2" bestFit="1" customWidth="1"/>
    <col min="20" max="20" width="11" style="2" customWidth="1"/>
    <col min="21" max="21" width="10" style="2" customWidth="1"/>
    <col min="22" max="22" width="12.5" style="2" bestFit="1" customWidth="1"/>
    <col min="23" max="23" width="12.6640625" style="2" customWidth="1"/>
    <col min="24" max="16384" width="10.83203125" style="2"/>
  </cols>
  <sheetData>
    <row r="1" spans="1:18" ht="37" customHeight="1">
      <c r="A1" s="1"/>
      <c r="B1" s="41" t="s">
        <v>1</v>
      </c>
      <c r="C1" s="57" t="s">
        <v>2</v>
      </c>
      <c r="D1" s="41" t="s">
        <v>3</v>
      </c>
      <c r="E1" s="41" t="s">
        <v>4</v>
      </c>
      <c r="F1" s="41" t="s">
        <v>8</v>
      </c>
      <c r="G1" s="41" t="s">
        <v>9</v>
      </c>
      <c r="H1" s="57" t="s">
        <v>2</v>
      </c>
      <c r="I1" s="41" t="s">
        <v>3</v>
      </c>
      <c r="J1" s="41" t="s">
        <v>4</v>
      </c>
      <c r="K1" s="41" t="s">
        <v>8</v>
      </c>
      <c r="L1" s="41" t="s">
        <v>9</v>
      </c>
      <c r="M1" s="57" t="s">
        <v>51</v>
      </c>
      <c r="N1" s="57" t="s">
        <v>5</v>
      </c>
      <c r="O1" s="57" t="s">
        <v>6</v>
      </c>
    </row>
    <row r="2" spans="1:18">
      <c r="A2" s="42"/>
      <c r="B2" s="43" t="s">
        <v>10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1.57</v>
      </c>
      <c r="N2" s="3">
        <v>1</v>
      </c>
      <c r="O2" s="4">
        <f>M2+N2</f>
        <v>2.5700000000000003</v>
      </c>
    </row>
    <row r="3" spans="1:18">
      <c r="A3" s="44" t="s">
        <v>0</v>
      </c>
      <c r="B3" s="45">
        <v>2009</v>
      </c>
      <c r="C3" s="5">
        <v>0</v>
      </c>
      <c r="D3" s="6">
        <v>0.4</v>
      </c>
      <c r="E3" s="6">
        <v>0.4</v>
      </c>
      <c r="F3" s="5">
        <v>0</v>
      </c>
      <c r="G3" s="6">
        <v>0.4</v>
      </c>
      <c r="H3" s="5">
        <f t="shared" ref="H3:L4" si="0">IF(C3&lt;0.33,1,IF(C3&lt;0.66,2,3))</f>
        <v>1</v>
      </c>
      <c r="I3" s="5">
        <f t="shared" si="0"/>
        <v>2</v>
      </c>
      <c r="J3" s="5">
        <f t="shared" si="0"/>
        <v>2</v>
      </c>
      <c r="K3" s="5">
        <f t="shared" si="0"/>
        <v>1</v>
      </c>
      <c r="L3" s="5">
        <f t="shared" si="0"/>
        <v>2</v>
      </c>
      <c r="M3" s="7">
        <f>AVERAGE(H3:L3)</f>
        <v>1.6</v>
      </c>
      <c r="N3" s="5" t="s">
        <v>50</v>
      </c>
      <c r="O3" s="8"/>
    </row>
    <row r="4" spans="1:18">
      <c r="A4" s="46" t="s">
        <v>0</v>
      </c>
      <c r="B4" s="47">
        <v>2011</v>
      </c>
      <c r="C4" s="10">
        <v>0.17</v>
      </c>
      <c r="D4" s="10">
        <v>0.33</v>
      </c>
      <c r="E4" s="10">
        <v>0.33</v>
      </c>
      <c r="F4" s="10">
        <v>0.5</v>
      </c>
      <c r="G4" s="10">
        <v>0.6</v>
      </c>
      <c r="H4" s="9">
        <f t="shared" si="0"/>
        <v>1</v>
      </c>
      <c r="I4" s="9">
        <f t="shared" si="0"/>
        <v>2</v>
      </c>
      <c r="J4" s="9">
        <f t="shared" si="0"/>
        <v>2</v>
      </c>
      <c r="K4" s="9">
        <f t="shared" si="0"/>
        <v>2</v>
      </c>
      <c r="L4" s="9">
        <f t="shared" si="0"/>
        <v>2</v>
      </c>
      <c r="M4" s="11">
        <f>AVERAGE(H4:L4)</f>
        <v>1.8</v>
      </c>
      <c r="N4" s="9">
        <v>1</v>
      </c>
      <c r="O4" s="12">
        <f>M4+N4</f>
        <v>2.8</v>
      </c>
    </row>
    <row r="5" spans="1:18">
      <c r="A5" s="42" t="s">
        <v>7</v>
      </c>
      <c r="B5" s="43" t="s">
        <v>10</v>
      </c>
      <c r="C5" s="13"/>
      <c r="D5" s="13"/>
      <c r="E5" s="13"/>
      <c r="F5" s="13"/>
      <c r="G5" s="13"/>
      <c r="H5" s="3"/>
      <c r="I5" s="3"/>
      <c r="J5" s="3"/>
      <c r="K5" s="3"/>
      <c r="L5" s="3"/>
      <c r="M5" s="14" t="s">
        <v>50</v>
      </c>
      <c r="N5" s="3" t="s">
        <v>50</v>
      </c>
      <c r="O5" s="15"/>
    </row>
    <row r="6" spans="1:18">
      <c r="A6" s="44" t="s">
        <v>7</v>
      </c>
      <c r="B6" s="45">
        <v>2009</v>
      </c>
      <c r="C6" s="6">
        <v>1</v>
      </c>
      <c r="D6" s="6">
        <v>0.4</v>
      </c>
      <c r="E6" s="6">
        <v>0.2</v>
      </c>
      <c r="F6" s="6">
        <v>0</v>
      </c>
      <c r="G6" s="6">
        <v>0.4</v>
      </c>
      <c r="H6" s="5">
        <f t="shared" ref="H6:L7" si="1">IF(C6&lt;0.33,1,IF(C6&lt;0.66,2,3))</f>
        <v>3</v>
      </c>
      <c r="I6" s="5">
        <f t="shared" si="1"/>
        <v>2</v>
      </c>
      <c r="J6" s="5">
        <f t="shared" si="1"/>
        <v>1</v>
      </c>
      <c r="K6" s="5">
        <f t="shared" si="1"/>
        <v>1</v>
      </c>
      <c r="L6" s="5">
        <f t="shared" si="1"/>
        <v>2</v>
      </c>
      <c r="M6" s="7">
        <f>AVERAGE(H6:L6)</f>
        <v>1.8</v>
      </c>
      <c r="N6" s="5" t="s">
        <v>50</v>
      </c>
      <c r="O6" s="8"/>
    </row>
    <row r="7" spans="1:18">
      <c r="A7" s="46" t="s">
        <v>7</v>
      </c>
      <c r="B7" s="47">
        <v>2011</v>
      </c>
      <c r="C7" s="10">
        <v>0.33</v>
      </c>
      <c r="D7" s="10">
        <v>0.6</v>
      </c>
      <c r="E7" s="10">
        <v>0.33</v>
      </c>
      <c r="F7" s="10">
        <v>0.6</v>
      </c>
      <c r="G7" s="10">
        <v>0.6</v>
      </c>
      <c r="H7" s="9">
        <f t="shared" si="1"/>
        <v>2</v>
      </c>
      <c r="I7" s="9">
        <f t="shared" si="1"/>
        <v>2</v>
      </c>
      <c r="J7" s="9">
        <f t="shared" si="1"/>
        <v>2</v>
      </c>
      <c r="K7" s="9">
        <f t="shared" si="1"/>
        <v>2</v>
      </c>
      <c r="L7" s="9">
        <f t="shared" si="1"/>
        <v>2</v>
      </c>
      <c r="M7" s="11">
        <f>AVERAGE(H7:L7)</f>
        <v>2</v>
      </c>
      <c r="N7" s="9">
        <v>1</v>
      </c>
      <c r="O7" s="16">
        <f>M7+N7</f>
        <v>3</v>
      </c>
      <c r="Q7" s="2" t="s">
        <v>72</v>
      </c>
    </row>
    <row r="8" spans="1:18">
      <c r="A8" s="44"/>
      <c r="B8" s="45"/>
      <c r="C8" s="6"/>
      <c r="D8" s="6"/>
      <c r="E8" s="6"/>
      <c r="F8" s="6"/>
      <c r="G8" s="6"/>
      <c r="H8" s="5"/>
      <c r="I8" s="5"/>
      <c r="J8" s="5"/>
      <c r="K8" s="5"/>
      <c r="L8" s="5"/>
      <c r="M8" s="7"/>
      <c r="N8" s="5"/>
      <c r="O8" s="58"/>
    </row>
    <row r="9" spans="1:18" ht="33">
      <c r="A9" s="47"/>
      <c r="B9" s="41" t="s">
        <v>1</v>
      </c>
      <c r="C9" s="57" t="s">
        <v>2</v>
      </c>
      <c r="D9" s="41" t="s">
        <v>3</v>
      </c>
      <c r="E9" s="41" t="s">
        <v>4</v>
      </c>
      <c r="F9" s="41" t="s">
        <v>8</v>
      </c>
      <c r="G9" s="41" t="s">
        <v>9</v>
      </c>
      <c r="H9" s="57" t="s">
        <v>2</v>
      </c>
      <c r="I9" s="41" t="s">
        <v>3</v>
      </c>
      <c r="J9" s="41" t="s">
        <v>4</v>
      </c>
      <c r="K9" s="41" t="s">
        <v>8</v>
      </c>
      <c r="L9" s="41" t="s">
        <v>9</v>
      </c>
      <c r="M9" s="57" t="s">
        <v>51</v>
      </c>
      <c r="N9" s="57" t="s">
        <v>5</v>
      </c>
      <c r="O9" s="57" t="s">
        <v>6</v>
      </c>
      <c r="P9" s="17"/>
    </row>
    <row r="10" spans="1:18">
      <c r="A10" s="44" t="s">
        <v>11</v>
      </c>
      <c r="B10" s="43" t="s">
        <v>10</v>
      </c>
      <c r="C10" s="13"/>
      <c r="D10" s="13"/>
      <c r="E10" s="13"/>
      <c r="F10" s="13"/>
      <c r="G10" s="13"/>
      <c r="H10" s="3"/>
      <c r="I10" s="3"/>
      <c r="J10" s="3"/>
      <c r="K10" s="3"/>
      <c r="L10" s="3"/>
      <c r="M10" s="14">
        <v>2.33</v>
      </c>
      <c r="N10" s="3">
        <v>1</v>
      </c>
      <c r="O10" s="4">
        <f>M10+N10</f>
        <v>3.33</v>
      </c>
    </row>
    <row r="11" spans="1:18">
      <c r="A11" s="46" t="s">
        <v>11</v>
      </c>
      <c r="B11" s="47">
        <v>2011</v>
      </c>
      <c r="C11" s="10">
        <v>0.83</v>
      </c>
      <c r="D11" s="10">
        <v>1</v>
      </c>
      <c r="E11" s="10">
        <v>0</v>
      </c>
      <c r="F11" s="10">
        <v>0</v>
      </c>
      <c r="G11" s="10">
        <v>1</v>
      </c>
      <c r="H11" s="9">
        <f>IF(C11&lt;0.33,1,IF(C11&lt;0.66,2,3))</f>
        <v>3</v>
      </c>
      <c r="I11" s="9">
        <f>IF(D11&lt;0.33,1,IF(D11&lt;0.66,2,3))</f>
        <v>3</v>
      </c>
      <c r="J11" s="9">
        <f>IF(E11&lt;0.33,1,IF(E11&lt;0.66,2,3))</f>
        <v>1</v>
      </c>
      <c r="K11" s="9">
        <f>IF(F11&lt;0.33,1,IF(F11&lt;0.66,2,3))</f>
        <v>1</v>
      </c>
      <c r="L11" s="9">
        <f>IF(G11&lt;0.33,1,IF(G11&lt;0.66,2,3))</f>
        <v>3</v>
      </c>
      <c r="M11" s="11">
        <f>AVERAGE(H11:L11)</f>
        <v>2.2000000000000002</v>
      </c>
      <c r="N11" s="9">
        <v>1</v>
      </c>
      <c r="O11" s="16">
        <f>M11+N11</f>
        <v>3.2</v>
      </c>
    </row>
    <row r="12" spans="1:18">
      <c r="A12" s="42" t="s">
        <v>12</v>
      </c>
      <c r="B12" s="43" t="s">
        <v>10</v>
      </c>
      <c r="C12" s="13"/>
      <c r="D12" s="13"/>
      <c r="E12" s="13"/>
      <c r="F12" s="13"/>
      <c r="G12" s="13"/>
      <c r="H12" s="3"/>
      <c r="I12" s="3"/>
      <c r="J12" s="3"/>
      <c r="K12" s="3"/>
      <c r="L12" s="3"/>
      <c r="M12" s="14">
        <v>1.63</v>
      </c>
      <c r="N12" s="3">
        <v>2</v>
      </c>
      <c r="O12" s="12">
        <f>M12+N12</f>
        <v>3.63</v>
      </c>
    </row>
    <row r="13" spans="1:18">
      <c r="A13" s="44" t="s">
        <v>12</v>
      </c>
      <c r="B13" s="45">
        <v>2009</v>
      </c>
      <c r="C13" s="6">
        <v>0.2</v>
      </c>
      <c r="D13" s="6">
        <v>0.2</v>
      </c>
      <c r="E13" s="6">
        <v>0</v>
      </c>
      <c r="F13" s="6">
        <v>0</v>
      </c>
      <c r="G13" s="6">
        <v>1</v>
      </c>
      <c r="H13" s="5">
        <f t="shared" ref="H13:L14" si="2">IF(C13&lt;0.33,1,IF(C13&lt;0.66,2,3))</f>
        <v>1</v>
      </c>
      <c r="I13" s="5">
        <f t="shared" si="2"/>
        <v>1</v>
      </c>
      <c r="J13" s="5">
        <f t="shared" si="2"/>
        <v>1</v>
      </c>
      <c r="K13" s="5">
        <f t="shared" si="2"/>
        <v>1</v>
      </c>
      <c r="L13" s="5">
        <f t="shared" si="2"/>
        <v>3</v>
      </c>
      <c r="M13" s="7">
        <f>AVERAGE(H13:L13)</f>
        <v>1.4</v>
      </c>
      <c r="N13" s="5"/>
      <c r="O13" s="18"/>
    </row>
    <row r="14" spans="1:18">
      <c r="A14" s="46" t="s">
        <v>12</v>
      </c>
      <c r="B14" s="47">
        <v>2011</v>
      </c>
      <c r="C14" s="10">
        <v>0</v>
      </c>
      <c r="D14" s="10">
        <v>0.17</v>
      </c>
      <c r="E14" s="10">
        <v>0</v>
      </c>
      <c r="F14" s="10">
        <v>0</v>
      </c>
      <c r="G14" s="10">
        <v>1</v>
      </c>
      <c r="H14" s="9">
        <f t="shared" si="2"/>
        <v>1</v>
      </c>
      <c r="I14" s="9">
        <f t="shared" si="2"/>
        <v>1</v>
      </c>
      <c r="J14" s="9">
        <f t="shared" si="2"/>
        <v>1</v>
      </c>
      <c r="K14" s="9">
        <f t="shared" si="2"/>
        <v>1</v>
      </c>
      <c r="L14" s="9">
        <f t="shared" si="2"/>
        <v>3</v>
      </c>
      <c r="M14" s="11">
        <f>AVERAGE(H14:L14)</f>
        <v>1.4</v>
      </c>
      <c r="N14" s="9">
        <v>2</v>
      </c>
      <c r="O14" s="12">
        <f>M14+N14</f>
        <v>3.4</v>
      </c>
    </row>
    <row r="15" spans="1:18">
      <c r="A15" s="42" t="s">
        <v>13</v>
      </c>
      <c r="B15" s="43" t="s">
        <v>10</v>
      </c>
      <c r="C15" s="13"/>
      <c r="D15" s="13"/>
      <c r="E15" s="13"/>
      <c r="F15" s="13"/>
      <c r="G15" s="13"/>
      <c r="H15" s="3"/>
      <c r="I15" s="3"/>
      <c r="J15" s="3"/>
      <c r="K15" s="3"/>
      <c r="L15" s="3"/>
      <c r="M15" s="14">
        <v>1.85</v>
      </c>
      <c r="N15" s="3">
        <v>1</v>
      </c>
      <c r="O15" s="4">
        <f>M15+N15</f>
        <v>2.85</v>
      </c>
    </row>
    <row r="16" spans="1:18">
      <c r="A16" s="44" t="s">
        <v>13</v>
      </c>
      <c r="B16" s="45">
        <v>2009</v>
      </c>
      <c r="C16" s="6">
        <v>0.6</v>
      </c>
      <c r="D16" s="6">
        <v>0.8</v>
      </c>
      <c r="E16" s="6">
        <v>0</v>
      </c>
      <c r="F16" s="6">
        <v>0.6</v>
      </c>
      <c r="G16" s="6">
        <v>0.6</v>
      </c>
      <c r="H16" s="5">
        <f t="shared" ref="H16:L17" si="3">IF(C16&lt;0.33,1,IF(C16&lt;0.66,2,3))</f>
        <v>2</v>
      </c>
      <c r="I16" s="5">
        <f t="shared" si="3"/>
        <v>3</v>
      </c>
      <c r="J16" s="5">
        <f t="shared" si="3"/>
        <v>1</v>
      </c>
      <c r="K16" s="5">
        <f t="shared" si="3"/>
        <v>2</v>
      </c>
      <c r="L16" s="5">
        <f t="shared" si="3"/>
        <v>2</v>
      </c>
      <c r="M16" s="7">
        <f>AVERAGE(H16:L16)</f>
        <v>2</v>
      </c>
      <c r="N16" s="5"/>
      <c r="O16" s="18"/>
      <c r="Q16" s="28"/>
      <c r="R16" s="28"/>
    </row>
    <row r="17" spans="1:21">
      <c r="A17" s="46" t="s">
        <v>13</v>
      </c>
      <c r="B17" s="47">
        <v>2011</v>
      </c>
      <c r="C17" s="10">
        <v>0.33</v>
      </c>
      <c r="D17" s="10">
        <v>0.83</v>
      </c>
      <c r="E17" s="10">
        <v>0</v>
      </c>
      <c r="F17" s="10">
        <v>0.8</v>
      </c>
      <c r="G17" s="10">
        <v>0.67</v>
      </c>
      <c r="H17" s="9">
        <f t="shared" si="3"/>
        <v>2</v>
      </c>
      <c r="I17" s="9">
        <f t="shared" si="3"/>
        <v>3</v>
      </c>
      <c r="J17" s="9">
        <f t="shared" si="3"/>
        <v>1</v>
      </c>
      <c r="K17" s="9">
        <f t="shared" si="3"/>
        <v>3</v>
      </c>
      <c r="L17" s="9">
        <f t="shared" si="3"/>
        <v>3</v>
      </c>
      <c r="M17" s="11">
        <f>AVERAGE(H17:L17)</f>
        <v>2.4</v>
      </c>
      <c r="N17" s="9">
        <v>2</v>
      </c>
      <c r="O17" s="19">
        <f>M17+N17</f>
        <v>4.4000000000000004</v>
      </c>
      <c r="S17" s="28"/>
      <c r="T17" s="28"/>
      <c r="U17" s="28"/>
    </row>
    <row r="18" spans="1:21">
      <c r="A18" s="42" t="s">
        <v>14</v>
      </c>
      <c r="B18" s="43" t="s">
        <v>10</v>
      </c>
      <c r="C18" s="13"/>
      <c r="D18" s="13"/>
      <c r="E18" s="13"/>
      <c r="F18" s="13"/>
      <c r="G18" s="13"/>
      <c r="H18" s="3"/>
      <c r="I18" s="3"/>
      <c r="J18" s="3"/>
      <c r="K18" s="3"/>
      <c r="L18" s="3"/>
      <c r="M18" s="14">
        <v>1.71</v>
      </c>
      <c r="N18" s="3">
        <v>1</v>
      </c>
      <c r="O18" s="4">
        <f>M18+N18</f>
        <v>2.71</v>
      </c>
      <c r="S18" s="28"/>
      <c r="T18" s="28"/>
      <c r="U18" s="28"/>
    </row>
    <row r="19" spans="1:21">
      <c r="A19" s="44" t="s">
        <v>14</v>
      </c>
      <c r="B19" s="45">
        <v>2009</v>
      </c>
      <c r="C19" s="6">
        <v>0.4</v>
      </c>
      <c r="D19" s="6">
        <v>0.2</v>
      </c>
      <c r="E19" s="6">
        <v>0.2</v>
      </c>
      <c r="F19" s="6">
        <v>0</v>
      </c>
      <c r="G19" s="6">
        <v>0.6</v>
      </c>
      <c r="H19" s="5">
        <f t="shared" ref="H19:L20" si="4">IF(C19&lt;0.33,1,IF(C19&lt;0.66,2,3))</f>
        <v>2</v>
      </c>
      <c r="I19" s="5">
        <f t="shared" si="4"/>
        <v>1</v>
      </c>
      <c r="J19" s="5">
        <f t="shared" si="4"/>
        <v>1</v>
      </c>
      <c r="K19" s="5">
        <f t="shared" si="4"/>
        <v>1</v>
      </c>
      <c r="L19" s="5">
        <f t="shared" si="4"/>
        <v>2</v>
      </c>
      <c r="M19" s="7">
        <f>AVERAGE(H19:L19)</f>
        <v>1.4</v>
      </c>
      <c r="N19" s="5"/>
      <c r="O19" s="18"/>
    </row>
    <row r="20" spans="1:21">
      <c r="A20" s="46" t="s">
        <v>14</v>
      </c>
      <c r="B20" s="47">
        <v>2011</v>
      </c>
      <c r="C20" s="10">
        <v>0.66</v>
      </c>
      <c r="D20" s="10">
        <v>0.66</v>
      </c>
      <c r="E20" s="10">
        <v>0.17</v>
      </c>
      <c r="F20" s="10">
        <v>0.17</v>
      </c>
      <c r="G20" s="10">
        <v>0.67</v>
      </c>
      <c r="H20" s="9">
        <f t="shared" si="4"/>
        <v>3</v>
      </c>
      <c r="I20" s="9">
        <f t="shared" si="4"/>
        <v>3</v>
      </c>
      <c r="J20" s="9">
        <f t="shared" si="4"/>
        <v>1</v>
      </c>
      <c r="K20" s="9">
        <f t="shared" si="4"/>
        <v>1</v>
      </c>
      <c r="L20" s="9">
        <f t="shared" si="4"/>
        <v>3</v>
      </c>
      <c r="M20" s="11">
        <f>AVERAGE(H20:L20)</f>
        <v>2.2000000000000002</v>
      </c>
      <c r="N20" s="5">
        <v>2</v>
      </c>
      <c r="O20" s="19">
        <f>M20+N20</f>
        <v>4.2</v>
      </c>
    </row>
    <row r="21" spans="1:21">
      <c r="A21" s="42" t="s">
        <v>15</v>
      </c>
      <c r="B21" s="43" t="s">
        <v>10</v>
      </c>
      <c r="C21" s="13"/>
      <c r="D21" s="13"/>
      <c r="E21" s="13"/>
      <c r="F21" s="13"/>
      <c r="G21" s="13"/>
      <c r="H21" s="3"/>
      <c r="I21" s="3"/>
      <c r="J21" s="3"/>
      <c r="K21" s="3"/>
      <c r="L21" s="3"/>
      <c r="M21" s="14">
        <v>2.2000000000000002</v>
      </c>
      <c r="N21" s="3">
        <v>1</v>
      </c>
      <c r="O21" s="4">
        <f>M21+N21</f>
        <v>3.2</v>
      </c>
    </row>
    <row r="22" spans="1:21">
      <c r="A22" s="44" t="s">
        <v>15</v>
      </c>
      <c r="B22" s="45">
        <v>2009</v>
      </c>
      <c r="C22" s="6">
        <v>0.33</v>
      </c>
      <c r="D22" s="6">
        <v>1</v>
      </c>
      <c r="E22" s="6">
        <v>0</v>
      </c>
      <c r="F22" s="6">
        <v>0</v>
      </c>
      <c r="G22" s="6">
        <v>0.67</v>
      </c>
      <c r="H22" s="5">
        <f t="shared" ref="H22:L23" si="5">IF(C22&lt;0.33,1,IF(C22&lt;0.66,2,3))</f>
        <v>2</v>
      </c>
      <c r="I22" s="5">
        <f t="shared" si="5"/>
        <v>3</v>
      </c>
      <c r="J22" s="5">
        <f t="shared" si="5"/>
        <v>1</v>
      </c>
      <c r="K22" s="5">
        <f t="shared" si="5"/>
        <v>1</v>
      </c>
      <c r="L22" s="5">
        <f t="shared" si="5"/>
        <v>3</v>
      </c>
      <c r="M22" s="7">
        <f>AVERAGE(H22:L22)</f>
        <v>2</v>
      </c>
      <c r="N22" s="5"/>
      <c r="O22" s="12"/>
    </row>
    <row r="23" spans="1:21">
      <c r="A23" s="46" t="s">
        <v>15</v>
      </c>
      <c r="B23" s="47">
        <v>2011</v>
      </c>
      <c r="C23" s="10">
        <v>0.33</v>
      </c>
      <c r="D23" s="10">
        <v>0.33</v>
      </c>
      <c r="E23" s="10">
        <v>0</v>
      </c>
      <c r="F23" s="10">
        <v>0</v>
      </c>
      <c r="G23" s="10">
        <v>0.67</v>
      </c>
      <c r="H23" s="9">
        <f t="shared" si="5"/>
        <v>2</v>
      </c>
      <c r="I23" s="9">
        <f t="shared" si="5"/>
        <v>2</v>
      </c>
      <c r="J23" s="9">
        <f t="shared" si="5"/>
        <v>1</v>
      </c>
      <c r="K23" s="9">
        <f t="shared" si="5"/>
        <v>1</v>
      </c>
      <c r="L23" s="9">
        <f t="shared" si="5"/>
        <v>3</v>
      </c>
      <c r="M23" s="11">
        <f>AVERAGE(H23:L23)</f>
        <v>1.8</v>
      </c>
      <c r="N23" s="9">
        <v>2</v>
      </c>
      <c r="O23" s="20">
        <f>M23+N23</f>
        <v>3.8</v>
      </c>
    </row>
    <row r="24" spans="1:21">
      <c r="A24" s="42" t="s">
        <v>16</v>
      </c>
      <c r="B24" s="43" t="s">
        <v>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4">
        <v>2.8</v>
      </c>
      <c r="N24" s="3">
        <v>1</v>
      </c>
      <c r="O24" s="4">
        <f>M24+N24</f>
        <v>3.8</v>
      </c>
    </row>
    <row r="25" spans="1:21">
      <c r="A25" s="46" t="s">
        <v>16</v>
      </c>
      <c r="B25" s="47">
        <v>2011</v>
      </c>
      <c r="C25" s="10">
        <v>0.66</v>
      </c>
      <c r="D25" s="10">
        <v>0.84</v>
      </c>
      <c r="E25" s="10">
        <v>0</v>
      </c>
      <c r="F25" s="10">
        <v>0.17</v>
      </c>
      <c r="G25" s="10">
        <v>1</v>
      </c>
      <c r="H25" s="9">
        <f>IF(C25&lt;0.33,1,IF(C25&lt;0.66,2,3))</f>
        <v>3</v>
      </c>
      <c r="I25" s="9">
        <f>IF(D25&lt;0.33,1,IF(D25&lt;0.66,2,3))</f>
        <v>3</v>
      </c>
      <c r="J25" s="9">
        <f>IF(E25&lt;0.33,1,IF(E25&lt;0.66,2,3))</f>
        <v>1</v>
      </c>
      <c r="K25" s="9">
        <f>IF(F25&lt;0.33,1,IF(F25&lt;0.66,2,3))</f>
        <v>1</v>
      </c>
      <c r="L25" s="9">
        <f>IF(G25&lt;0.33,1,IF(G25&lt;0.66,2,3))</f>
        <v>3</v>
      </c>
      <c r="M25" s="11">
        <f>AVERAGE(H25:L25)</f>
        <v>2.2000000000000002</v>
      </c>
      <c r="N25" s="9">
        <v>2</v>
      </c>
      <c r="O25" s="16">
        <f>M25+N25</f>
        <v>4.2</v>
      </c>
    </row>
    <row r="26" spans="1:21">
      <c r="A26" s="45"/>
      <c r="B26" s="45"/>
      <c r="C26" s="6"/>
      <c r="D26" s="6"/>
      <c r="E26" s="6"/>
      <c r="F26" s="6"/>
      <c r="G26" s="6"/>
      <c r="H26" s="5"/>
      <c r="I26" s="5"/>
      <c r="J26" s="5"/>
      <c r="K26" s="5"/>
      <c r="L26" s="5"/>
      <c r="M26" s="7"/>
      <c r="N26" s="5"/>
      <c r="O26" s="58"/>
    </row>
    <row r="27" spans="1:21" ht="33">
      <c r="A27" s="41"/>
      <c r="B27" s="41" t="s">
        <v>1</v>
      </c>
      <c r="C27" s="57" t="s">
        <v>2</v>
      </c>
      <c r="D27" s="41" t="s">
        <v>3</v>
      </c>
      <c r="E27" s="41" t="s">
        <v>4</v>
      </c>
      <c r="F27" s="41" t="s">
        <v>8</v>
      </c>
      <c r="G27" s="41" t="s">
        <v>9</v>
      </c>
      <c r="H27" s="57" t="s">
        <v>2</v>
      </c>
      <c r="I27" s="41" t="s">
        <v>3</v>
      </c>
      <c r="J27" s="41" t="s">
        <v>4</v>
      </c>
      <c r="K27" s="41" t="s">
        <v>8</v>
      </c>
      <c r="L27" s="41" t="s">
        <v>9</v>
      </c>
      <c r="M27" s="57" t="s">
        <v>51</v>
      </c>
      <c r="N27" s="57" t="s">
        <v>5</v>
      </c>
      <c r="O27" s="57" t="s">
        <v>6</v>
      </c>
    </row>
    <row r="28" spans="1:21">
      <c r="A28" s="42" t="s">
        <v>17</v>
      </c>
      <c r="B28" s="43" t="s">
        <v>10</v>
      </c>
      <c r="C28" s="13"/>
      <c r="D28" s="13"/>
      <c r="E28" s="13"/>
      <c r="F28" s="13"/>
      <c r="G28" s="13"/>
      <c r="H28" s="3"/>
      <c r="I28" s="3"/>
      <c r="J28" s="3"/>
      <c r="K28" s="3"/>
      <c r="L28" s="3"/>
      <c r="M28" s="14">
        <v>1.5</v>
      </c>
      <c r="N28" s="3">
        <v>3</v>
      </c>
      <c r="O28" s="4">
        <f>M28+N28</f>
        <v>4.5</v>
      </c>
    </row>
    <row r="29" spans="1:21">
      <c r="A29" s="44" t="s">
        <v>17</v>
      </c>
      <c r="B29" s="45">
        <v>2008</v>
      </c>
      <c r="C29" s="6">
        <v>0</v>
      </c>
      <c r="D29" s="6">
        <v>0.25</v>
      </c>
      <c r="E29" s="6">
        <v>0</v>
      </c>
      <c r="F29" s="6">
        <v>0</v>
      </c>
      <c r="G29" s="6">
        <v>1</v>
      </c>
      <c r="H29" s="5">
        <f t="shared" ref="H29:L30" si="6">IF(C29&lt;0.33,1,IF(C29&lt;0.66,2,3))</f>
        <v>1</v>
      </c>
      <c r="I29" s="5">
        <f t="shared" si="6"/>
        <v>1</v>
      </c>
      <c r="J29" s="5">
        <f t="shared" si="6"/>
        <v>1</v>
      </c>
      <c r="K29" s="5">
        <f t="shared" si="6"/>
        <v>1</v>
      </c>
      <c r="L29" s="5">
        <f t="shared" si="6"/>
        <v>3</v>
      </c>
      <c r="M29" s="21">
        <v>1.6</v>
      </c>
      <c r="N29" s="5" t="s">
        <v>50</v>
      </c>
      <c r="O29" s="22"/>
    </row>
    <row r="30" spans="1:21">
      <c r="A30" s="46" t="s">
        <v>17</v>
      </c>
      <c r="B30" s="48">
        <v>2011</v>
      </c>
      <c r="C30" s="10">
        <v>0.33</v>
      </c>
      <c r="D30" s="10">
        <v>0.33</v>
      </c>
      <c r="E30" s="10">
        <v>0</v>
      </c>
      <c r="F30" s="10">
        <v>0.5</v>
      </c>
      <c r="G30" s="10">
        <v>1</v>
      </c>
      <c r="H30" s="9">
        <f t="shared" si="6"/>
        <v>2</v>
      </c>
      <c r="I30" s="23">
        <f t="shared" si="6"/>
        <v>2</v>
      </c>
      <c r="J30" s="9">
        <f t="shared" si="6"/>
        <v>1</v>
      </c>
      <c r="K30" s="9">
        <f t="shared" si="6"/>
        <v>2</v>
      </c>
      <c r="L30" s="9">
        <f t="shared" si="6"/>
        <v>3</v>
      </c>
      <c r="M30" s="24">
        <v>1.6</v>
      </c>
      <c r="N30" s="9">
        <v>2</v>
      </c>
      <c r="O30" s="25">
        <f>M30+N30</f>
        <v>3.6</v>
      </c>
    </row>
    <row r="31" spans="1:21">
      <c r="A31" s="42" t="s">
        <v>18</v>
      </c>
      <c r="B31" s="43" t="s">
        <v>10</v>
      </c>
      <c r="C31" s="13"/>
      <c r="D31" s="13"/>
      <c r="E31" s="13"/>
      <c r="F31" s="13"/>
      <c r="G31" s="13"/>
      <c r="H31" s="3"/>
      <c r="I31" s="3"/>
      <c r="J31" s="3"/>
      <c r="K31" s="3"/>
      <c r="L31" s="3"/>
      <c r="M31" s="14">
        <v>2</v>
      </c>
      <c r="N31" s="3">
        <v>2</v>
      </c>
      <c r="O31" s="26">
        <f>M31+N31</f>
        <v>4</v>
      </c>
    </row>
    <row r="32" spans="1:21">
      <c r="A32" s="44" t="s">
        <v>18</v>
      </c>
      <c r="B32" s="45">
        <v>2008</v>
      </c>
      <c r="C32" s="6">
        <v>0</v>
      </c>
      <c r="D32" s="6">
        <v>0</v>
      </c>
      <c r="E32" s="6">
        <v>0</v>
      </c>
      <c r="F32" s="6">
        <v>0</v>
      </c>
      <c r="G32" s="6">
        <v>1</v>
      </c>
      <c r="H32" s="5">
        <f t="shared" ref="H32:L33" si="7">IF(C32&lt;0.33,1,IF(C32&lt;0.66,2,3))</f>
        <v>1</v>
      </c>
      <c r="I32" s="5">
        <f t="shared" si="7"/>
        <v>1</v>
      </c>
      <c r="J32" s="5">
        <f t="shared" si="7"/>
        <v>1</v>
      </c>
      <c r="K32" s="5">
        <f t="shared" si="7"/>
        <v>1</v>
      </c>
      <c r="L32" s="5">
        <f t="shared" si="7"/>
        <v>3</v>
      </c>
      <c r="M32" s="7">
        <f>AVERAGE(H32:L32)</f>
        <v>1.4</v>
      </c>
      <c r="N32" s="5" t="s">
        <v>50</v>
      </c>
      <c r="O32" s="18"/>
    </row>
    <row r="33" spans="1:23">
      <c r="A33" s="46" t="s">
        <v>18</v>
      </c>
      <c r="B33" s="48">
        <v>2011</v>
      </c>
      <c r="C33" s="10">
        <v>0.17</v>
      </c>
      <c r="D33" s="10">
        <v>0.17</v>
      </c>
      <c r="E33" s="10">
        <v>0</v>
      </c>
      <c r="F33" s="10">
        <v>0</v>
      </c>
      <c r="G33" s="10">
        <v>1</v>
      </c>
      <c r="H33" s="9">
        <f t="shared" si="7"/>
        <v>1</v>
      </c>
      <c r="I33" s="9">
        <f t="shared" si="7"/>
        <v>1</v>
      </c>
      <c r="J33" s="9">
        <f t="shared" si="7"/>
        <v>1</v>
      </c>
      <c r="K33" s="9">
        <f t="shared" si="7"/>
        <v>1</v>
      </c>
      <c r="L33" s="9">
        <f t="shared" si="7"/>
        <v>3</v>
      </c>
      <c r="M33" s="11">
        <f>AVERAGE(H33:L33)</f>
        <v>1.4</v>
      </c>
      <c r="N33" s="9">
        <v>1</v>
      </c>
      <c r="O33" s="27">
        <f>M33+N33</f>
        <v>2.4</v>
      </c>
    </row>
    <row r="34" spans="1:23">
      <c r="A34" s="55" t="s">
        <v>19</v>
      </c>
      <c r="B34" s="49" t="s">
        <v>10</v>
      </c>
      <c r="C34" s="13"/>
      <c r="D34" s="13"/>
      <c r="E34" s="13"/>
      <c r="F34" s="13"/>
      <c r="G34" s="13"/>
      <c r="H34" s="3"/>
      <c r="I34" s="3"/>
      <c r="J34" s="3"/>
      <c r="K34" s="3"/>
      <c r="L34" s="3"/>
      <c r="M34" s="14">
        <v>2</v>
      </c>
      <c r="N34" s="3">
        <v>2</v>
      </c>
      <c r="O34" s="4">
        <f>M34+N34</f>
        <v>4</v>
      </c>
    </row>
    <row r="35" spans="1:23">
      <c r="A35" s="59" t="s">
        <v>19</v>
      </c>
      <c r="B35" s="50">
        <v>2008</v>
      </c>
      <c r="C35" s="6">
        <v>0.6</v>
      </c>
      <c r="D35" s="6">
        <v>0.6</v>
      </c>
      <c r="E35" s="6">
        <v>0</v>
      </c>
      <c r="F35" s="6">
        <v>0</v>
      </c>
      <c r="G35" s="6">
        <v>1</v>
      </c>
      <c r="H35" s="5">
        <f t="shared" ref="H35:L36" si="8">IF(C35&lt;0.33,1,IF(C35&lt;0.66,2,3))</f>
        <v>2</v>
      </c>
      <c r="I35" s="5">
        <f t="shared" si="8"/>
        <v>2</v>
      </c>
      <c r="J35" s="5">
        <f t="shared" si="8"/>
        <v>1</v>
      </c>
      <c r="K35" s="5">
        <f t="shared" si="8"/>
        <v>1</v>
      </c>
      <c r="L35" s="5">
        <f t="shared" si="8"/>
        <v>3</v>
      </c>
      <c r="M35" s="7">
        <f>AVERAGE(H35:L35)</f>
        <v>1.8</v>
      </c>
      <c r="N35" s="5" t="s">
        <v>50</v>
      </c>
      <c r="O35" s="18"/>
    </row>
    <row r="36" spans="1:23">
      <c r="A36" s="56" t="s">
        <v>19</v>
      </c>
      <c r="B36" s="51">
        <v>2011</v>
      </c>
      <c r="C36" s="10">
        <v>0.17</v>
      </c>
      <c r="D36" s="10">
        <v>0.3</v>
      </c>
      <c r="E36" s="10">
        <v>0.17</v>
      </c>
      <c r="F36" s="10">
        <v>0</v>
      </c>
      <c r="G36" s="10">
        <v>0.8</v>
      </c>
      <c r="H36" s="9">
        <f t="shared" si="8"/>
        <v>1</v>
      </c>
      <c r="I36" s="9">
        <f t="shared" si="8"/>
        <v>1</v>
      </c>
      <c r="J36" s="9">
        <f t="shared" si="8"/>
        <v>1</v>
      </c>
      <c r="K36" s="9">
        <f t="shared" si="8"/>
        <v>1</v>
      </c>
      <c r="L36" s="9">
        <f t="shared" si="8"/>
        <v>3</v>
      </c>
      <c r="M36" s="11">
        <f>AVERAGE(H36:L36)</f>
        <v>1.4</v>
      </c>
      <c r="N36" s="9">
        <v>2</v>
      </c>
      <c r="O36" s="12">
        <f>M36+N36</f>
        <v>3.4</v>
      </c>
      <c r="Q36" s="28" t="s">
        <v>56</v>
      </c>
      <c r="R36" s="65">
        <f>MIN(O4:O7)</f>
        <v>2.8</v>
      </c>
      <c r="T36" s="52" t="s">
        <v>10</v>
      </c>
      <c r="U36" s="52" t="s">
        <v>96</v>
      </c>
      <c r="V36" s="52" t="s">
        <v>97</v>
      </c>
      <c r="W36" s="52" t="s">
        <v>98</v>
      </c>
    </row>
    <row r="37" spans="1:23">
      <c r="A37" s="55" t="s">
        <v>20</v>
      </c>
      <c r="B37" s="43" t="s">
        <v>10</v>
      </c>
      <c r="C37" s="13"/>
      <c r="D37" s="13"/>
      <c r="E37" s="13"/>
      <c r="F37" s="13"/>
      <c r="G37" s="13"/>
      <c r="H37" s="3"/>
      <c r="I37" s="3"/>
      <c r="J37" s="3"/>
      <c r="K37" s="3"/>
      <c r="L37" s="3"/>
      <c r="M37" s="14" t="s">
        <v>50</v>
      </c>
      <c r="N37" s="3" t="s">
        <v>50</v>
      </c>
      <c r="O37" s="26"/>
      <c r="S37" s="69" t="s">
        <v>75</v>
      </c>
      <c r="T37" s="65">
        <f>AVERAGE(O2)</f>
        <v>2.5700000000000003</v>
      </c>
      <c r="U37" s="65">
        <f>AVERAGE(O4:O7)</f>
        <v>2.9</v>
      </c>
      <c r="V37" s="64" t="e">
        <f>-(U37-T37)/(AVERAGE($T$43:$U$43))</f>
        <v>#REF!</v>
      </c>
      <c r="W37" s="64" t="e">
        <f t="shared" ref="W37:W42" si="9">-((U37/$U$43)-1)</f>
        <v>#REF!</v>
      </c>
    </row>
    <row r="38" spans="1:23">
      <c r="A38" s="59" t="s">
        <v>20</v>
      </c>
      <c r="B38" s="45">
        <v>2008</v>
      </c>
      <c r="C38" s="6">
        <v>0.5</v>
      </c>
      <c r="D38" s="6">
        <v>1</v>
      </c>
      <c r="E38" s="6">
        <v>0.25</v>
      </c>
      <c r="F38" s="6">
        <v>0.25</v>
      </c>
      <c r="G38" s="6">
        <v>1</v>
      </c>
      <c r="H38" s="5">
        <f t="shared" ref="H38:L39" si="10">IF(C38&lt;0.33,1,IF(C38&lt;0.66,2,3))</f>
        <v>2</v>
      </c>
      <c r="I38" s="5">
        <f t="shared" si="10"/>
        <v>3</v>
      </c>
      <c r="J38" s="5">
        <f t="shared" si="10"/>
        <v>1</v>
      </c>
      <c r="K38" s="5">
        <f t="shared" si="10"/>
        <v>1</v>
      </c>
      <c r="L38" s="5">
        <f t="shared" si="10"/>
        <v>3</v>
      </c>
      <c r="M38" s="7">
        <f>AVERAGE(H38:L38)</f>
        <v>2</v>
      </c>
      <c r="N38" s="5" t="s">
        <v>50</v>
      </c>
      <c r="O38" s="18"/>
      <c r="Q38" s="28" t="s">
        <v>57</v>
      </c>
      <c r="R38" s="65">
        <f>MIN(O11,O14,O17,O20,O23,O25)</f>
        <v>3.2</v>
      </c>
      <c r="S38" s="69" t="s">
        <v>74</v>
      </c>
      <c r="T38" s="65">
        <f>AVERAGE(O10,O12,O15,O18,O21,O24)</f>
        <v>3.2533333333333334</v>
      </c>
      <c r="U38" s="65">
        <f>AVERAGE(R50:R55)</f>
        <v>3.8666666666666667</v>
      </c>
      <c r="V38" s="64" t="e">
        <f t="shared" ref="V38:V43" si="11">-(U38-T38)/(AVERAGE($T$43:$U$43))</f>
        <v>#REF!</v>
      </c>
      <c r="W38" s="64" t="e">
        <f t="shared" si="9"/>
        <v>#REF!</v>
      </c>
    </row>
    <row r="39" spans="1:23">
      <c r="A39" s="59" t="s">
        <v>20</v>
      </c>
      <c r="B39" s="47">
        <v>2011</v>
      </c>
      <c r="C39" s="10">
        <v>0.17</v>
      </c>
      <c r="D39" s="10">
        <v>0.6</v>
      </c>
      <c r="E39" s="10">
        <v>0.5</v>
      </c>
      <c r="F39" s="10">
        <v>0</v>
      </c>
      <c r="G39" s="10">
        <v>1</v>
      </c>
      <c r="H39" s="9">
        <f t="shared" si="10"/>
        <v>1</v>
      </c>
      <c r="I39" s="9">
        <f t="shared" si="10"/>
        <v>2</v>
      </c>
      <c r="J39" s="9">
        <f t="shared" si="10"/>
        <v>2</v>
      </c>
      <c r="K39" s="9">
        <f t="shared" si="10"/>
        <v>1</v>
      </c>
      <c r="L39" s="9">
        <f t="shared" si="10"/>
        <v>3</v>
      </c>
      <c r="M39" s="11">
        <f>AVERAGE(H39:L39)</f>
        <v>1.8</v>
      </c>
      <c r="N39" s="9">
        <v>2</v>
      </c>
      <c r="O39" s="16">
        <f>M39+N39</f>
        <v>3.8</v>
      </c>
      <c r="S39" s="69" t="s">
        <v>73</v>
      </c>
      <c r="T39" s="65">
        <f>AVERAGE(O28,O34,O40,O43,O46)</f>
        <v>3.6819999999999999</v>
      </c>
      <c r="U39" s="65">
        <f>AVERAGE(R56:R62)</f>
        <v>3.3142857142857136</v>
      </c>
      <c r="V39" s="64" t="e">
        <f t="shared" si="11"/>
        <v>#REF!</v>
      </c>
      <c r="W39" s="64" t="e">
        <f t="shared" si="9"/>
        <v>#REF!</v>
      </c>
    </row>
    <row r="40" spans="1:23">
      <c r="A40" s="42" t="s">
        <v>21</v>
      </c>
      <c r="B40" s="43" t="s">
        <v>10</v>
      </c>
      <c r="C40" s="13"/>
      <c r="D40" s="13"/>
      <c r="E40" s="13"/>
      <c r="F40" s="13"/>
      <c r="G40" s="13"/>
      <c r="H40" s="3"/>
      <c r="I40" s="3"/>
      <c r="J40" s="3"/>
      <c r="K40" s="3"/>
      <c r="L40" s="3"/>
      <c r="M40" s="14">
        <v>1.71</v>
      </c>
      <c r="N40" s="3">
        <v>2</v>
      </c>
      <c r="O40" s="4">
        <f>M40+N40</f>
        <v>3.71</v>
      </c>
      <c r="S40" s="69" t="s">
        <v>83</v>
      </c>
      <c r="T40" s="65">
        <f>AVERAGE(O51,O53,O55,O57,O61)</f>
        <v>3.3400000000000007</v>
      </c>
      <c r="U40" s="65">
        <f>AVERAGE(R63:R70)</f>
        <v>3.3142857142857141</v>
      </c>
      <c r="V40" s="64" t="e">
        <f t="shared" si="11"/>
        <v>#REF!</v>
      </c>
      <c r="W40" s="64" t="e">
        <f t="shared" si="9"/>
        <v>#REF!</v>
      </c>
    </row>
    <row r="41" spans="1:23">
      <c r="A41" s="44" t="s">
        <v>21</v>
      </c>
      <c r="B41" s="45">
        <v>2008</v>
      </c>
      <c r="C41" s="6">
        <v>0</v>
      </c>
      <c r="D41" s="6">
        <v>0.2</v>
      </c>
      <c r="E41" s="6">
        <v>0</v>
      </c>
      <c r="F41" s="6">
        <v>0</v>
      </c>
      <c r="G41" s="6">
        <v>1</v>
      </c>
      <c r="H41" s="5">
        <f t="shared" ref="H41:L42" si="12">IF(C41&lt;0.33,1,IF(C41&lt;0.66,2,3))</f>
        <v>1</v>
      </c>
      <c r="I41" s="5">
        <f t="shared" si="12"/>
        <v>1</v>
      </c>
      <c r="J41" s="5">
        <f t="shared" si="12"/>
        <v>1</v>
      </c>
      <c r="K41" s="5">
        <f t="shared" si="12"/>
        <v>1</v>
      </c>
      <c r="L41" s="5">
        <f t="shared" si="12"/>
        <v>3</v>
      </c>
      <c r="M41" s="7">
        <f>AVERAGE(H41:L41)</f>
        <v>1.4</v>
      </c>
      <c r="N41" s="5" t="s">
        <v>50</v>
      </c>
      <c r="O41" s="12"/>
      <c r="S41" s="69" t="s">
        <v>94</v>
      </c>
      <c r="T41" s="65" t="e">
        <f>AVERAGE(O67,O70,O72,O74,O76,O80,O82,O85,O88,#REF!,O97,#REF!,O105,O107)</f>
        <v>#REF!</v>
      </c>
      <c r="U41" s="65">
        <f>AVERAGE(R71:R75)</f>
        <v>3.5200000000000005</v>
      </c>
      <c r="V41" s="64" t="e">
        <f t="shared" si="11"/>
        <v>#REF!</v>
      </c>
      <c r="W41" s="64" t="e">
        <f t="shared" si="9"/>
        <v>#REF!</v>
      </c>
    </row>
    <row r="42" spans="1:23">
      <c r="A42" s="46" t="s">
        <v>21</v>
      </c>
      <c r="B42" s="47">
        <v>2011</v>
      </c>
      <c r="C42" s="10">
        <v>0</v>
      </c>
      <c r="D42" s="10">
        <v>0</v>
      </c>
      <c r="E42" s="10">
        <v>0</v>
      </c>
      <c r="F42" s="10">
        <v>0</v>
      </c>
      <c r="G42" s="10">
        <v>0.66</v>
      </c>
      <c r="H42" s="9">
        <f t="shared" si="12"/>
        <v>1</v>
      </c>
      <c r="I42" s="9">
        <f t="shared" si="12"/>
        <v>1</v>
      </c>
      <c r="J42" s="9">
        <f t="shared" si="12"/>
        <v>1</v>
      </c>
      <c r="K42" s="9">
        <f t="shared" si="12"/>
        <v>1</v>
      </c>
      <c r="L42" s="9">
        <f t="shared" si="12"/>
        <v>3</v>
      </c>
      <c r="M42" s="11">
        <f>AVERAGE(H42:L42)</f>
        <v>1.4</v>
      </c>
      <c r="N42" s="9">
        <v>2</v>
      </c>
      <c r="O42" s="12">
        <f>M42+N42</f>
        <v>3.4</v>
      </c>
      <c r="S42" s="69" t="s">
        <v>95</v>
      </c>
      <c r="T42" s="65" t="e">
        <f>AVERAGE(#REF!,#REF!,#REF!,#REF!)</f>
        <v>#REF!</v>
      </c>
      <c r="U42" s="65" t="e">
        <f>AVERAGE(R76:R79)</f>
        <v>#REF!</v>
      </c>
      <c r="V42" s="64" t="e">
        <f t="shared" si="11"/>
        <v>#REF!</v>
      </c>
      <c r="W42" s="64" t="e">
        <f t="shared" si="9"/>
        <v>#REF!</v>
      </c>
    </row>
    <row r="43" spans="1:23">
      <c r="A43" s="42" t="s">
        <v>22</v>
      </c>
      <c r="B43" s="43" t="s">
        <v>10</v>
      </c>
      <c r="C43" s="13"/>
      <c r="D43" s="13"/>
      <c r="E43" s="13"/>
      <c r="F43" s="13"/>
      <c r="G43" s="13"/>
      <c r="H43" s="3"/>
      <c r="I43" s="3"/>
      <c r="J43" s="3"/>
      <c r="K43" s="3"/>
      <c r="L43" s="3"/>
      <c r="M43" s="14">
        <v>2.2000000000000002</v>
      </c>
      <c r="N43" s="3">
        <v>1</v>
      </c>
      <c r="O43" s="4">
        <f>M43+N43</f>
        <v>3.2</v>
      </c>
      <c r="S43" s="68" t="s">
        <v>99</v>
      </c>
      <c r="T43" s="66" t="e">
        <f>AVERAGE(T37:T42)</f>
        <v>#REF!</v>
      </c>
      <c r="U43" s="66" t="e">
        <f>AVERAGE(U37:U42)</f>
        <v>#REF!</v>
      </c>
      <c r="V43" s="67" t="e">
        <f t="shared" si="11"/>
        <v>#REF!</v>
      </c>
    </row>
    <row r="44" spans="1:23">
      <c r="A44" s="44" t="s">
        <v>22</v>
      </c>
      <c r="B44" s="45">
        <v>2008</v>
      </c>
      <c r="C44" s="6">
        <v>0.6</v>
      </c>
      <c r="D44" s="6">
        <v>0.2</v>
      </c>
      <c r="E44" s="6">
        <v>0</v>
      </c>
      <c r="F44" s="6">
        <v>0</v>
      </c>
      <c r="G44" s="6">
        <v>1</v>
      </c>
      <c r="H44" s="5">
        <f t="shared" ref="H44:L45" si="13">IF(C44&lt;0.33,1,IF(C44&lt;0.66,2,3))</f>
        <v>2</v>
      </c>
      <c r="I44" s="5">
        <f t="shared" si="13"/>
        <v>1</v>
      </c>
      <c r="J44" s="5">
        <f t="shared" si="13"/>
        <v>1</v>
      </c>
      <c r="K44" s="5">
        <f t="shared" si="13"/>
        <v>1</v>
      </c>
      <c r="L44" s="5">
        <f t="shared" si="13"/>
        <v>3</v>
      </c>
      <c r="M44" s="7">
        <f>AVERAGE(H44:L44)</f>
        <v>1.6</v>
      </c>
      <c r="N44" s="5" t="s">
        <v>50</v>
      </c>
      <c r="O44" s="12"/>
    </row>
    <row r="45" spans="1:23">
      <c r="A45" s="46" t="s">
        <v>22</v>
      </c>
      <c r="B45" s="47">
        <v>2011</v>
      </c>
      <c r="C45" s="10">
        <v>0</v>
      </c>
      <c r="D45" s="10">
        <v>0</v>
      </c>
      <c r="E45" s="10">
        <v>0</v>
      </c>
      <c r="F45" s="10">
        <v>0</v>
      </c>
      <c r="G45" s="10">
        <v>1</v>
      </c>
      <c r="H45" s="9">
        <f t="shared" si="13"/>
        <v>1</v>
      </c>
      <c r="I45" s="9">
        <f t="shared" si="13"/>
        <v>1</v>
      </c>
      <c r="J45" s="9">
        <f t="shared" si="13"/>
        <v>1</v>
      </c>
      <c r="K45" s="9">
        <f t="shared" si="13"/>
        <v>1</v>
      </c>
      <c r="L45" s="9">
        <f t="shared" si="13"/>
        <v>3</v>
      </c>
      <c r="M45" s="11">
        <f>AVERAGE(H45:L45)</f>
        <v>1.4</v>
      </c>
      <c r="N45" s="9">
        <v>2</v>
      </c>
      <c r="O45" s="12">
        <f>M45+N45</f>
        <v>3.4</v>
      </c>
    </row>
    <row r="46" spans="1:23">
      <c r="A46" s="42" t="s">
        <v>23</v>
      </c>
      <c r="B46" s="43" t="s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14">
        <v>2</v>
      </c>
      <c r="N46" s="3">
        <v>1</v>
      </c>
      <c r="O46" s="4">
        <f>M46+N46</f>
        <v>3</v>
      </c>
    </row>
    <row r="47" spans="1:23">
      <c r="A47" s="44" t="s">
        <v>23</v>
      </c>
      <c r="B47" s="45">
        <v>2008</v>
      </c>
      <c r="C47" s="6">
        <v>0.33</v>
      </c>
      <c r="D47" s="6">
        <v>0.75</v>
      </c>
      <c r="E47" s="6">
        <v>0</v>
      </c>
      <c r="F47" s="6">
        <v>0</v>
      </c>
      <c r="G47" s="6">
        <v>0.66</v>
      </c>
      <c r="H47" s="5">
        <f t="shared" ref="H47:L48" si="14">IF(C47&lt;0.33,1,IF(C47&lt;0.66,2,3))</f>
        <v>2</v>
      </c>
      <c r="I47" s="5">
        <f t="shared" si="14"/>
        <v>3</v>
      </c>
      <c r="J47" s="5">
        <f t="shared" si="14"/>
        <v>1</v>
      </c>
      <c r="K47" s="5">
        <f t="shared" si="14"/>
        <v>1</v>
      </c>
      <c r="L47" s="5">
        <f t="shared" si="14"/>
        <v>3</v>
      </c>
      <c r="M47" s="7">
        <f>AVERAGE(H47:L47)</f>
        <v>2</v>
      </c>
      <c r="N47" s="5" t="s">
        <v>50</v>
      </c>
      <c r="O47" s="22"/>
      <c r="S47" s="28" t="s">
        <v>64</v>
      </c>
      <c r="T47" s="28" t="s">
        <v>54</v>
      </c>
      <c r="U47" s="28" t="s">
        <v>55</v>
      </c>
      <c r="V47" s="2" t="s">
        <v>84</v>
      </c>
    </row>
    <row r="48" spans="1:23">
      <c r="A48" s="46" t="s">
        <v>23</v>
      </c>
      <c r="B48" s="47">
        <v>2011</v>
      </c>
      <c r="C48" s="10">
        <v>0.66</v>
      </c>
      <c r="D48" s="10">
        <v>0.8</v>
      </c>
      <c r="E48" s="10">
        <v>0.17</v>
      </c>
      <c r="F48" s="10">
        <v>0.17</v>
      </c>
      <c r="G48" s="10">
        <v>1</v>
      </c>
      <c r="H48" s="9">
        <f t="shared" si="14"/>
        <v>3</v>
      </c>
      <c r="I48" s="9">
        <f t="shared" si="14"/>
        <v>3</v>
      </c>
      <c r="J48" s="9">
        <f t="shared" si="14"/>
        <v>1</v>
      </c>
      <c r="K48" s="9">
        <f t="shared" si="14"/>
        <v>1</v>
      </c>
      <c r="L48" s="9">
        <f t="shared" si="14"/>
        <v>3</v>
      </c>
      <c r="M48" s="11">
        <f>AVERAGE(H48:L48)</f>
        <v>2.2000000000000002</v>
      </c>
      <c r="N48" s="9">
        <v>1</v>
      </c>
      <c r="O48" s="16">
        <f>M48+N48</f>
        <v>3.2</v>
      </c>
      <c r="Q48" s="28" t="s">
        <v>52</v>
      </c>
      <c r="R48" s="65">
        <f>O4</f>
        <v>2.8</v>
      </c>
      <c r="S48" s="64">
        <f>(R48/$R$36)-1</f>
        <v>0</v>
      </c>
      <c r="T48" s="64">
        <f>-(R48-$U$37)/$U$37</f>
        <v>3.4482758620689689E-2</v>
      </c>
      <c r="U48" s="64">
        <f>-(O4-O2)/AVERAGE(O2:O4)</f>
        <v>-8.5661080074487722E-2</v>
      </c>
      <c r="V48" s="2">
        <v>0</v>
      </c>
    </row>
    <row r="49" spans="1:22">
      <c r="A49" s="45"/>
      <c r="B49" s="45"/>
      <c r="C49" s="6"/>
      <c r="D49" s="6"/>
      <c r="E49" s="6"/>
      <c r="F49" s="6"/>
      <c r="G49" s="6"/>
      <c r="H49" s="5"/>
      <c r="I49" s="5"/>
      <c r="J49" s="5"/>
      <c r="K49" s="5"/>
      <c r="L49" s="5"/>
      <c r="M49" s="7"/>
      <c r="N49" s="5"/>
      <c r="O49" s="58"/>
      <c r="Q49" s="28" t="s">
        <v>53</v>
      </c>
      <c r="R49" s="65">
        <f>O7</f>
        <v>3</v>
      </c>
      <c r="S49" s="64">
        <f>-(R49-$R$36)/R36</f>
        <v>-7.1428571428571494E-2</v>
      </c>
      <c r="T49" s="64">
        <f>-(R49-$U$37)/$U$37</f>
        <v>-3.4482758620689689E-2</v>
      </c>
      <c r="U49" s="28"/>
      <c r="V49" s="2">
        <v>0</v>
      </c>
    </row>
    <row r="50" spans="1:22" ht="33">
      <c r="A50" s="52"/>
      <c r="B50" s="41" t="s">
        <v>1</v>
      </c>
      <c r="C50" s="57" t="s">
        <v>2</v>
      </c>
      <c r="D50" s="41" t="s">
        <v>3</v>
      </c>
      <c r="E50" s="41" t="s">
        <v>4</v>
      </c>
      <c r="F50" s="41" t="s">
        <v>8</v>
      </c>
      <c r="G50" s="41" t="s">
        <v>9</v>
      </c>
      <c r="H50" s="57" t="s">
        <v>2</v>
      </c>
      <c r="I50" s="41" t="s">
        <v>3</v>
      </c>
      <c r="J50" s="41" t="s">
        <v>4</v>
      </c>
      <c r="K50" s="41" t="s">
        <v>8</v>
      </c>
      <c r="L50" s="41" t="s">
        <v>9</v>
      </c>
      <c r="M50" s="57" t="s">
        <v>51</v>
      </c>
      <c r="N50" s="57" t="s">
        <v>5</v>
      </c>
      <c r="O50" s="57" t="s">
        <v>6</v>
      </c>
      <c r="Q50" s="28" t="s">
        <v>58</v>
      </c>
      <c r="R50" s="65">
        <f>O11</f>
        <v>3.2</v>
      </c>
      <c r="S50" s="64">
        <f>(R50-$R$38)/R38</f>
        <v>0</v>
      </c>
      <c r="T50" s="64">
        <f t="shared" ref="T50:T55" si="15">-(R50-$U$38)/$U$38</f>
        <v>0.17241379310344823</v>
      </c>
      <c r="U50" s="64">
        <f>-(O11-O10)/AVERAGE(O10:O11)</f>
        <v>3.9816232771822321E-2</v>
      </c>
      <c r="V50" s="2">
        <v>0</v>
      </c>
    </row>
    <row r="51" spans="1:22">
      <c r="A51" s="42" t="s">
        <v>28</v>
      </c>
      <c r="B51" s="43" t="s">
        <v>10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>
        <v>1.8</v>
      </c>
      <c r="N51" s="29">
        <v>1</v>
      </c>
      <c r="O51" s="4">
        <f t="shared" ref="O51:O58" si="16">M51+N51</f>
        <v>2.8</v>
      </c>
      <c r="Q51" s="28" t="s">
        <v>59</v>
      </c>
      <c r="R51" s="65">
        <f>O14</f>
        <v>3.4</v>
      </c>
      <c r="S51" s="64">
        <f>-(R51-$R$38)/R38</f>
        <v>-6.2499999999999917E-2</v>
      </c>
      <c r="T51" s="64">
        <f t="shared" si="15"/>
        <v>0.12068965517241383</v>
      </c>
      <c r="U51" s="64">
        <f>-(O14-O12)/AVERAGE(O12:O14)</f>
        <v>6.5433854907539113E-2</v>
      </c>
      <c r="V51" s="2">
        <v>0</v>
      </c>
    </row>
    <row r="52" spans="1:22">
      <c r="A52" s="46" t="s">
        <v>28</v>
      </c>
      <c r="B52" s="47">
        <v>2010</v>
      </c>
      <c r="C52" s="30">
        <v>0.5</v>
      </c>
      <c r="D52" s="30">
        <v>0.5</v>
      </c>
      <c r="E52" s="30">
        <v>0</v>
      </c>
      <c r="F52" s="30">
        <v>0</v>
      </c>
      <c r="G52" s="30">
        <v>1</v>
      </c>
      <c r="H52" s="9">
        <f>IF(C52&lt;0.33,1,IF(C52&lt;0.66,2,3))</f>
        <v>2</v>
      </c>
      <c r="I52" s="9">
        <f>IF(D52&lt;0.33,1,IF(D52&lt;0.66,2,3))</f>
        <v>2</v>
      </c>
      <c r="J52" s="9">
        <f>IF(E52&lt;0.33,1,IF(E52&lt;0.66,2,3))</f>
        <v>1</v>
      </c>
      <c r="K52" s="9">
        <f>IF(F52&lt;0.33,1,IF(F52&lt;0.66,2,3))</f>
        <v>1</v>
      </c>
      <c r="L52" s="9">
        <f>IF(G52&lt;0.33,1,IF(G52&lt;0.66,2,3))</f>
        <v>3</v>
      </c>
      <c r="M52" s="11">
        <f>AVERAGE(H52:L52)</f>
        <v>1.8</v>
      </c>
      <c r="N52" s="31">
        <v>2</v>
      </c>
      <c r="O52" s="32">
        <f t="shared" si="16"/>
        <v>3.8</v>
      </c>
      <c r="Q52" s="28" t="s">
        <v>60</v>
      </c>
      <c r="R52" s="65">
        <f>O17</f>
        <v>4.4000000000000004</v>
      </c>
      <c r="S52" s="64">
        <f>-(R52-$R$38)/U38</f>
        <v>-0.31034482758620696</v>
      </c>
      <c r="T52" s="64">
        <f t="shared" si="15"/>
        <v>-0.1379310344827587</v>
      </c>
      <c r="U52" s="64">
        <f>-(O17-O15)/AVERAGE(O15:O17)</f>
        <v>-0.4275862068965518</v>
      </c>
      <c r="V52" s="2">
        <v>0</v>
      </c>
    </row>
    <row r="53" spans="1:22">
      <c r="A53" s="53" t="s">
        <v>24</v>
      </c>
      <c r="B53" s="43" t="s">
        <v>10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>
        <v>1.5</v>
      </c>
      <c r="N53" s="29">
        <v>1</v>
      </c>
      <c r="O53" s="4">
        <f t="shared" si="16"/>
        <v>2.5</v>
      </c>
      <c r="Q53" s="28" t="s">
        <v>61</v>
      </c>
      <c r="R53" s="65">
        <f>O20</f>
        <v>4.2</v>
      </c>
      <c r="S53" s="64">
        <f>-(R53-$R$38)/R50</f>
        <v>-0.3125</v>
      </c>
      <c r="T53" s="64">
        <f t="shared" si="15"/>
        <v>-8.6206896551724171E-2</v>
      </c>
      <c r="U53" s="64">
        <f>-(O20-O18)/AVERAGE(O18:O20)</f>
        <v>-0.43125904486251815</v>
      </c>
      <c r="V53" s="2">
        <v>0</v>
      </c>
    </row>
    <row r="54" spans="1:22">
      <c r="A54" s="54" t="s">
        <v>24</v>
      </c>
      <c r="B54" s="47">
        <v>2010</v>
      </c>
      <c r="C54" s="30">
        <v>0</v>
      </c>
      <c r="D54" s="30">
        <v>0.25</v>
      </c>
      <c r="E54" s="30">
        <v>0</v>
      </c>
      <c r="F54" s="30">
        <v>0</v>
      </c>
      <c r="G54" s="30">
        <v>0</v>
      </c>
      <c r="H54" s="9">
        <f>IF(C54&lt;0.33,1,IF(C54&lt;0.66,2,3))</f>
        <v>1</v>
      </c>
      <c r="I54" s="9">
        <f>IF(D54&lt;0.33,1,IF(D54&lt;0.66,2,3))</f>
        <v>1</v>
      </c>
      <c r="J54" s="9">
        <f>IF(E54&lt;0.33,1,IF(E54&lt;0.66,2,3))</f>
        <v>1</v>
      </c>
      <c r="K54" s="9">
        <f>IF(F54&lt;0.33,1,IF(F54&lt;0.66,2,3))</f>
        <v>1</v>
      </c>
      <c r="L54" s="9">
        <f>IF(G54&lt;0.33,1,IF(G54&lt;0.66,2,3))</f>
        <v>1</v>
      </c>
      <c r="M54" s="11">
        <f>AVERAGE(H54:L54)</f>
        <v>1</v>
      </c>
      <c r="N54" s="31">
        <v>2</v>
      </c>
      <c r="O54" s="33">
        <f t="shared" si="16"/>
        <v>3</v>
      </c>
      <c r="Q54" s="28" t="s">
        <v>62</v>
      </c>
      <c r="R54" s="65">
        <f>O23</f>
        <v>3.8</v>
      </c>
      <c r="S54" s="64">
        <f>-(R54-$R$38)/R51</f>
        <v>-0.17647058823529402</v>
      </c>
      <c r="T54" s="64">
        <f t="shared" si="15"/>
        <v>1.7241379310344879E-2</v>
      </c>
      <c r="U54" s="64">
        <f>-(O23-O21)/AVERAGE(O21:O23)</f>
        <v>-0.17142857142857132</v>
      </c>
      <c r="V54" s="2">
        <v>0</v>
      </c>
    </row>
    <row r="55" spans="1:22">
      <c r="A55" s="55" t="s">
        <v>27</v>
      </c>
      <c r="B55" s="49" t="s">
        <v>10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34">
        <v>2</v>
      </c>
      <c r="N55" s="29">
        <v>2</v>
      </c>
      <c r="O55" s="4">
        <f t="shared" si="16"/>
        <v>4</v>
      </c>
      <c r="Q55" s="28" t="s">
        <v>63</v>
      </c>
      <c r="R55" s="65">
        <f>O25</f>
        <v>4.2</v>
      </c>
      <c r="S55" s="64">
        <f>-(R55-$R$38)/R52</f>
        <v>-0.22727272727272727</v>
      </c>
      <c r="T55" s="64">
        <f t="shared" si="15"/>
        <v>-8.6206896551724171E-2</v>
      </c>
      <c r="U55" s="64">
        <f>-(O25-O24)/AVERAGE(O24:O25)</f>
        <v>-0.10000000000000009</v>
      </c>
      <c r="V55" s="2">
        <v>0</v>
      </c>
    </row>
    <row r="56" spans="1:22">
      <c r="A56" s="56" t="s">
        <v>27</v>
      </c>
      <c r="B56" s="51">
        <v>2010</v>
      </c>
      <c r="C56" s="30">
        <v>0</v>
      </c>
      <c r="D56" s="30">
        <v>0</v>
      </c>
      <c r="E56" s="30">
        <v>0</v>
      </c>
      <c r="F56" s="30">
        <v>0</v>
      </c>
      <c r="G56" s="30">
        <v>0.25</v>
      </c>
      <c r="H56" s="9">
        <f>IF(C56&lt;0.33,1,IF(C56&lt;0.66,2,3))</f>
        <v>1</v>
      </c>
      <c r="I56" s="9">
        <f>IF(D56&lt;0.33,1,IF(D56&lt;0.66,2,3))</f>
        <v>1</v>
      </c>
      <c r="J56" s="9">
        <f>IF(E56&lt;0.33,1,IF(E56&lt;0.66,2,3))</f>
        <v>1</v>
      </c>
      <c r="K56" s="9">
        <f>IF(F56&lt;0.33,1,IF(F56&lt;0.66,2,3))</f>
        <v>1</v>
      </c>
      <c r="L56" s="9">
        <f>IF(G56&lt;0.33,1,IF(G56&lt;0.66,2,3))</f>
        <v>1</v>
      </c>
      <c r="M56" s="11">
        <f>AVERAGE(H56:L56)</f>
        <v>1</v>
      </c>
      <c r="N56" s="31">
        <v>1</v>
      </c>
      <c r="O56" s="35">
        <f t="shared" si="16"/>
        <v>2</v>
      </c>
      <c r="Q56" s="28" t="s">
        <v>65</v>
      </c>
      <c r="R56" s="65">
        <f>O30</f>
        <v>3.6</v>
      </c>
      <c r="S56" s="64"/>
      <c r="T56" s="64">
        <f t="shared" ref="T56:T62" si="17">-(R56-$U$39)/$U$39</f>
        <v>-8.620689655172438E-2</v>
      </c>
      <c r="U56" s="64">
        <f>-(O30-O28)/AVERAGE(O28:O30)</f>
        <v>0.22222222222222221</v>
      </c>
      <c r="V56" s="2">
        <v>0</v>
      </c>
    </row>
    <row r="57" spans="1:22">
      <c r="A57" s="42" t="s">
        <v>25</v>
      </c>
      <c r="B57" s="43" t="s">
        <v>10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34">
        <v>2.4</v>
      </c>
      <c r="N57" s="29">
        <v>2</v>
      </c>
      <c r="O57" s="4">
        <f t="shared" si="16"/>
        <v>4.4000000000000004</v>
      </c>
      <c r="Q57" s="28" t="s">
        <v>66</v>
      </c>
      <c r="R57" s="65">
        <f>O33</f>
        <v>2.4</v>
      </c>
      <c r="T57" s="64">
        <f t="shared" si="17"/>
        <v>0.27586206896551713</v>
      </c>
      <c r="U57" s="64">
        <f>-(O36-O34)/AVERAGE(O34:O36)</f>
        <v>0.16216216216216217</v>
      </c>
      <c r="V57" s="2">
        <v>0</v>
      </c>
    </row>
    <row r="58" spans="1:22">
      <c r="A58" s="46" t="s">
        <v>25</v>
      </c>
      <c r="B58" s="47">
        <v>2010</v>
      </c>
      <c r="C58" s="30">
        <v>0.2</v>
      </c>
      <c r="D58" s="30">
        <v>0.2</v>
      </c>
      <c r="E58" s="30">
        <v>0</v>
      </c>
      <c r="F58" s="30">
        <v>0</v>
      </c>
      <c r="G58" s="30">
        <v>1</v>
      </c>
      <c r="H58" s="9">
        <f>IF(C58&lt;0.33,1,IF(C58&lt;0.66,2,3))</f>
        <v>1</v>
      </c>
      <c r="I58" s="9">
        <f>IF(D58&lt;0.33,1,IF(D58&lt;0.66,2,3))</f>
        <v>1</v>
      </c>
      <c r="J58" s="9">
        <f>IF(E58&lt;0.33,1,IF(E58&lt;0.66,2,3))</f>
        <v>1</v>
      </c>
      <c r="K58" s="9">
        <f>IF(F58&lt;0.33,1,IF(F58&lt;0.66,2,3))</f>
        <v>1</v>
      </c>
      <c r="L58" s="9">
        <f>IF(G58&lt;0.33,1,IF(G58&lt;0.66,2,3))</f>
        <v>3</v>
      </c>
      <c r="M58" s="11">
        <f>AVERAGE(H58:L58)</f>
        <v>1.4</v>
      </c>
      <c r="N58" s="36">
        <v>2</v>
      </c>
      <c r="O58" s="35">
        <f t="shared" si="16"/>
        <v>3.4</v>
      </c>
      <c r="Q58" s="28" t="s">
        <v>67</v>
      </c>
      <c r="R58" s="65">
        <f>O36</f>
        <v>3.4</v>
      </c>
      <c r="T58" s="64">
        <f t="shared" si="17"/>
        <v>-2.5862068965517421E-2</v>
      </c>
      <c r="U58" s="64">
        <f>-(O36-O34)/AVERAGE(O34:O36)</f>
        <v>0.16216216216216217</v>
      </c>
      <c r="V58" s="2">
        <v>0</v>
      </c>
    </row>
    <row r="59" spans="1:22">
      <c r="A59" s="42" t="s">
        <v>26</v>
      </c>
      <c r="B59" s="43" t="s">
        <v>10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 t="s">
        <v>50</v>
      </c>
      <c r="N59" s="29" t="s">
        <v>50</v>
      </c>
      <c r="O59" s="37"/>
      <c r="Q59" s="28" t="s">
        <v>68</v>
      </c>
      <c r="R59" s="65">
        <f>O39</f>
        <v>3.8</v>
      </c>
      <c r="T59" s="64">
        <f t="shared" si="17"/>
        <v>-0.14655172413793122</v>
      </c>
      <c r="U59" s="64"/>
      <c r="V59" s="2">
        <v>0</v>
      </c>
    </row>
    <row r="60" spans="1:22">
      <c r="A60" s="46" t="s">
        <v>26</v>
      </c>
      <c r="B60" s="47">
        <v>2010</v>
      </c>
      <c r="C60" s="30">
        <v>0.2</v>
      </c>
      <c r="D60" s="30">
        <v>0.6</v>
      </c>
      <c r="E60" s="30">
        <v>0.6</v>
      </c>
      <c r="F60" s="30">
        <v>0</v>
      </c>
      <c r="G60" s="30">
        <v>0.8</v>
      </c>
      <c r="H60" s="9">
        <f>IF(C60&lt;0.33,1,IF(C60&lt;0.66,2,3))</f>
        <v>1</v>
      </c>
      <c r="I60" s="9">
        <f>IF(D60&lt;0.33,1,IF(D60&lt;0.66,2,3))</f>
        <v>2</v>
      </c>
      <c r="J60" s="9">
        <f>IF(E60&lt;0.33,1,IF(E60&lt;0.66,2,3))</f>
        <v>2</v>
      </c>
      <c r="K60" s="9">
        <f>IF(F60&lt;0.33,1,IF(F60&lt;0.66,2,3))</f>
        <v>1</v>
      </c>
      <c r="L60" s="9">
        <f>IF(G60&lt;0.33,1,IF(G60&lt;0.66,2,3))</f>
        <v>3</v>
      </c>
      <c r="M60" s="11">
        <f>AVERAGE(H60:L60)</f>
        <v>1.8</v>
      </c>
      <c r="N60" s="36">
        <v>1</v>
      </c>
      <c r="O60" s="12">
        <f>M60+N60</f>
        <v>2.8</v>
      </c>
      <c r="Q60" s="28" t="s">
        <v>69</v>
      </c>
      <c r="R60" s="65">
        <f>O42</f>
        <v>3.4</v>
      </c>
      <c r="T60" s="64">
        <f t="shared" si="17"/>
        <v>-2.5862068965517421E-2</v>
      </c>
      <c r="U60" s="64">
        <f>-(O42-O40)/AVERAGE(O40:O42)</f>
        <v>8.7201125175808747E-2</v>
      </c>
      <c r="V60" s="2">
        <v>0</v>
      </c>
    </row>
    <row r="61" spans="1:22">
      <c r="A61" s="42" t="s">
        <v>29</v>
      </c>
      <c r="B61" s="43" t="s">
        <v>10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>
        <v>2</v>
      </c>
      <c r="N61" s="29">
        <v>1</v>
      </c>
      <c r="O61" s="4">
        <f>M61+N61</f>
        <v>3</v>
      </c>
      <c r="Q61" s="28" t="s">
        <v>70</v>
      </c>
      <c r="R61" s="65">
        <f>O45</f>
        <v>3.4</v>
      </c>
      <c r="T61" s="64">
        <f t="shared" si="17"/>
        <v>-2.5862068965517421E-2</v>
      </c>
      <c r="U61" s="64">
        <f>-(O45-O43)/AVERAGE(O43:O45)</f>
        <v>-6.0606060606060531E-2</v>
      </c>
      <c r="V61" s="2">
        <v>0</v>
      </c>
    </row>
    <row r="62" spans="1:22">
      <c r="A62" s="46" t="s">
        <v>29</v>
      </c>
      <c r="B62" s="47">
        <v>2010</v>
      </c>
      <c r="C62" s="30">
        <v>0.75</v>
      </c>
      <c r="D62" s="30">
        <v>1</v>
      </c>
      <c r="E62" s="30">
        <v>0.25</v>
      </c>
      <c r="F62" s="30">
        <v>0.25</v>
      </c>
      <c r="G62" s="30">
        <v>1</v>
      </c>
      <c r="H62" s="9">
        <f>IF(C62&lt;0.33,1,IF(C62&lt;0.66,2,3))</f>
        <v>3</v>
      </c>
      <c r="I62" s="9">
        <f>IF(D62&lt;0.33,1,IF(D62&lt;0.66,2,3))</f>
        <v>3</v>
      </c>
      <c r="J62" s="9">
        <f>IF(E62&lt;0.33,1,IF(E62&lt;0.66,2,3))</f>
        <v>1</v>
      </c>
      <c r="K62" s="9">
        <f>IF(F62&lt;0.33,1,IF(F62&lt;0.66,2,3))</f>
        <v>1</v>
      </c>
      <c r="L62" s="9">
        <f>IF(G62&lt;0.33,1,IF(G62&lt;0.66,2,3))</f>
        <v>3</v>
      </c>
      <c r="M62" s="11">
        <f>AVERAGE(H62:L62)</f>
        <v>2.2000000000000002</v>
      </c>
      <c r="N62" s="36">
        <v>2</v>
      </c>
      <c r="O62" s="32">
        <f>M62+N62</f>
        <v>4.2</v>
      </c>
      <c r="Q62" s="28" t="s">
        <v>71</v>
      </c>
      <c r="R62" s="65">
        <f>O48</f>
        <v>3.2</v>
      </c>
      <c r="T62" s="64">
        <f t="shared" si="17"/>
        <v>3.4482758620689405E-2</v>
      </c>
      <c r="U62" s="64">
        <f>-(O48-O46)/AVERAGE(O46:O48)</f>
        <v>-6.4516129032258118E-2</v>
      </c>
      <c r="V62" s="2">
        <v>0</v>
      </c>
    </row>
    <row r="63" spans="1:22">
      <c r="A63" s="42" t="s">
        <v>30</v>
      </c>
      <c r="B63" s="43" t="s">
        <v>10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>
        <v>2.25</v>
      </c>
      <c r="N63" s="29">
        <v>2</v>
      </c>
      <c r="O63" s="4">
        <f>M63+N63</f>
        <v>4.25</v>
      </c>
      <c r="Q63" s="28" t="s">
        <v>76</v>
      </c>
      <c r="R63" s="65">
        <f>O52</f>
        <v>3.8</v>
      </c>
      <c r="T63" s="64">
        <f t="shared" ref="T63:T70" si="18">-(R63-$U$40)/$U$40</f>
        <v>-0.14655172413793105</v>
      </c>
      <c r="U63" s="64">
        <f>-(O52-O51)/AVERAGE(O51:O52)</f>
        <v>-0.30303030303030304</v>
      </c>
      <c r="V63" s="2">
        <v>0</v>
      </c>
    </row>
    <row r="64" spans="1:22">
      <c r="A64" s="46" t="s">
        <v>30</v>
      </c>
      <c r="B64" s="47">
        <v>2010</v>
      </c>
      <c r="C64" s="30">
        <v>0.6</v>
      </c>
      <c r="D64" s="30">
        <v>0.8</v>
      </c>
      <c r="E64" s="30">
        <v>0</v>
      </c>
      <c r="F64" s="30">
        <v>0</v>
      </c>
      <c r="G64" s="30">
        <v>0.8</v>
      </c>
      <c r="H64" s="9">
        <f>IF(C64&lt;0.33,1,IF(C64&lt;0.66,2,3))</f>
        <v>2</v>
      </c>
      <c r="I64" s="9">
        <f>IF(D64&lt;0.33,1,IF(D64&lt;0.66,2,3))</f>
        <v>3</v>
      </c>
      <c r="J64" s="9">
        <f>IF(E64&lt;0.33,1,IF(E64&lt;0.66,2,3))</f>
        <v>1</v>
      </c>
      <c r="K64" s="9">
        <f>IF(F64&lt;0.33,1,IF(F64&lt;0.66,2,3))</f>
        <v>1</v>
      </c>
      <c r="L64" s="9">
        <f>IF(G64&lt;0.33,1,IF(G64&lt;0.66,2,3))</f>
        <v>3</v>
      </c>
      <c r="M64" s="11">
        <f>AVERAGE(H64:L64)</f>
        <v>2</v>
      </c>
      <c r="N64" s="36">
        <v>2</v>
      </c>
      <c r="O64" s="61">
        <f>M64+N64</f>
        <v>4</v>
      </c>
      <c r="Q64" s="28" t="s">
        <v>77</v>
      </c>
      <c r="R64" s="65">
        <f>O54</f>
        <v>3</v>
      </c>
      <c r="T64" s="64">
        <f t="shared" si="18"/>
        <v>9.4827586206896491E-2</v>
      </c>
      <c r="U64" s="64">
        <f>-(O54-O53)/AVERAGE(O53:O54)</f>
        <v>-0.18181818181818182</v>
      </c>
      <c r="V64" s="2">
        <v>0</v>
      </c>
    </row>
    <row r="65" spans="1:22">
      <c r="A65" s="45"/>
      <c r="B65" s="45"/>
      <c r="C65" s="39"/>
      <c r="D65" s="39"/>
      <c r="E65" s="39"/>
      <c r="F65" s="39"/>
      <c r="G65" s="39"/>
      <c r="H65" s="5"/>
      <c r="I65" s="5"/>
      <c r="J65" s="5"/>
      <c r="K65" s="5"/>
      <c r="L65" s="5"/>
      <c r="M65" s="7"/>
      <c r="N65" s="60"/>
      <c r="O65" s="63"/>
      <c r="Q65" s="28" t="s">
        <v>78</v>
      </c>
      <c r="R65" s="65">
        <f>O56</f>
        <v>2</v>
      </c>
      <c r="T65" s="64">
        <f t="shared" si="18"/>
        <v>0.39655172413793099</v>
      </c>
      <c r="U65" s="64">
        <f>-(O56-O55)/AVERAGE(O55:O56)</f>
        <v>0.66666666666666663</v>
      </c>
      <c r="V65" s="2">
        <v>0</v>
      </c>
    </row>
    <row r="66" spans="1:22" ht="33">
      <c r="A66" s="52"/>
      <c r="B66" s="41" t="s">
        <v>1</v>
      </c>
      <c r="C66" s="57" t="s">
        <v>2</v>
      </c>
      <c r="D66" s="41" t="s">
        <v>3</v>
      </c>
      <c r="E66" s="41" t="s">
        <v>4</v>
      </c>
      <c r="F66" s="41" t="s">
        <v>8</v>
      </c>
      <c r="G66" s="41" t="s">
        <v>9</v>
      </c>
      <c r="H66" s="57" t="s">
        <v>2</v>
      </c>
      <c r="I66" s="41" t="s">
        <v>3</v>
      </c>
      <c r="J66" s="41" t="s">
        <v>4</v>
      </c>
      <c r="K66" s="41" t="s">
        <v>8</v>
      </c>
      <c r="L66" s="41" t="s">
        <v>9</v>
      </c>
      <c r="M66" s="57" t="s">
        <v>51</v>
      </c>
      <c r="N66" s="57" t="s">
        <v>5</v>
      </c>
      <c r="O66" s="57" t="s">
        <v>6</v>
      </c>
      <c r="Q66" s="28" t="s">
        <v>79</v>
      </c>
      <c r="R66" s="65">
        <f>O58</f>
        <v>3.4</v>
      </c>
      <c r="T66" s="64">
        <f t="shared" si="18"/>
        <v>-2.5862068965517286E-2</v>
      </c>
      <c r="U66" s="64">
        <f>-(O58-O57)/AVERAGE(O57:O58)</f>
        <v>0.2564102564102565</v>
      </c>
      <c r="V66" s="2">
        <v>0</v>
      </c>
    </row>
    <row r="67" spans="1:22">
      <c r="A67" s="42" t="s">
        <v>31</v>
      </c>
      <c r="B67" s="43" t="s">
        <v>10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>
        <v>2</v>
      </c>
      <c r="N67" s="29">
        <v>2</v>
      </c>
      <c r="O67" s="62">
        <f>M67+N67</f>
        <v>4</v>
      </c>
      <c r="Q67" s="28" t="s">
        <v>80</v>
      </c>
      <c r="R67" s="65">
        <f>O60</f>
        <v>2.8</v>
      </c>
      <c r="T67" s="64">
        <f t="shared" si="18"/>
        <v>0.15517241379310345</v>
      </c>
      <c r="U67" s="64"/>
      <c r="V67" s="2">
        <v>0</v>
      </c>
    </row>
    <row r="68" spans="1:22">
      <c r="A68" s="45" t="s">
        <v>31</v>
      </c>
      <c r="B68" s="45">
        <v>2008</v>
      </c>
      <c r="C68" s="39">
        <v>0.25</v>
      </c>
      <c r="D68" s="39">
        <v>0.5</v>
      </c>
      <c r="E68" s="39">
        <v>0</v>
      </c>
      <c r="F68" s="39">
        <v>0</v>
      </c>
      <c r="G68" s="39">
        <v>0</v>
      </c>
      <c r="H68" s="5">
        <f>IF(C68&lt;0.33,1,IF(C68&lt;0.66,2,3))</f>
        <v>1</v>
      </c>
      <c r="I68" s="5">
        <f>IF(D68&lt;0.33,1,IF(D68&lt;0.66,2,3))</f>
        <v>2</v>
      </c>
      <c r="J68" s="5">
        <f>IF(E68&lt;0.33,1,IF(E68&lt;0.66,2,3))</f>
        <v>1</v>
      </c>
      <c r="K68" s="5">
        <f>IF(F68&lt;0.33,1,IF(F68&lt;0.66,2,3))</f>
        <v>1</v>
      </c>
      <c r="L68" s="5">
        <f>IF(G68&lt;0.33,1,IF(G68&lt;0.66,2,3))</f>
        <v>1</v>
      </c>
      <c r="M68" s="7">
        <f>AVERAGE(H68:L68)</f>
        <v>1.2</v>
      </c>
      <c r="N68" s="60" t="s">
        <v>50</v>
      </c>
      <c r="O68" s="33"/>
      <c r="Q68" s="28"/>
      <c r="R68" s="65"/>
      <c r="T68" s="64"/>
      <c r="U68" s="64"/>
    </row>
    <row r="69" spans="1:22">
      <c r="O69" s="38"/>
      <c r="Q69" s="28" t="s">
        <v>81</v>
      </c>
      <c r="R69" s="65">
        <f>O62</f>
        <v>4.2</v>
      </c>
      <c r="T69" s="64">
        <f t="shared" si="18"/>
        <v>-0.26724137931034497</v>
      </c>
      <c r="U69" s="64">
        <f>-(O62-O61)/AVERAGE(O61:O62)</f>
        <v>-0.33333333333333337</v>
      </c>
      <c r="V69" s="2">
        <v>0</v>
      </c>
    </row>
    <row r="70" spans="1:22">
      <c r="A70" s="53" t="s">
        <v>32</v>
      </c>
      <c r="B70" s="43" t="s">
        <v>10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>
        <v>2.14</v>
      </c>
      <c r="N70" s="29">
        <v>2</v>
      </c>
      <c r="O70" s="33">
        <f>M70+N70</f>
        <v>4.1400000000000006</v>
      </c>
      <c r="Q70" s="28" t="s">
        <v>82</v>
      </c>
      <c r="R70" s="65">
        <f>O64</f>
        <v>4</v>
      </c>
      <c r="T70" s="64">
        <f t="shared" si="18"/>
        <v>-0.20689655172413801</v>
      </c>
      <c r="U70" s="64">
        <f>-(O64-O63)/AVERAGE(O63:O64)</f>
        <v>6.0606060606060608E-2</v>
      </c>
      <c r="V70" s="2">
        <v>0</v>
      </c>
    </row>
    <row r="71" spans="1:22">
      <c r="A71" s="54" t="s">
        <v>32</v>
      </c>
      <c r="B71" s="47">
        <v>2008</v>
      </c>
      <c r="C71" s="30">
        <v>1</v>
      </c>
      <c r="D71" s="30">
        <v>1</v>
      </c>
      <c r="E71" s="30">
        <v>0.2</v>
      </c>
      <c r="F71" s="30">
        <v>0</v>
      </c>
      <c r="G71" s="30">
        <v>0</v>
      </c>
      <c r="H71" s="9">
        <f>IF(C71&lt;0.33,1,IF(C71&lt;0.66,2,3))</f>
        <v>3</v>
      </c>
      <c r="I71" s="9">
        <f>IF(D71&lt;0.33,1,IF(D71&lt;0.66,2,3))</f>
        <v>3</v>
      </c>
      <c r="J71" s="9">
        <f>IF(E71&lt;0.33,1,IF(E71&lt;0.66,2,3))</f>
        <v>1</v>
      </c>
      <c r="K71" s="9">
        <f>IF(F71&lt;0.33,1,IF(F71&lt;0.66,2,3))</f>
        <v>1</v>
      </c>
      <c r="L71" s="9">
        <f>IF(G71&lt;0.33,1,IF(G71&lt;0.66,2,3))</f>
        <v>1</v>
      </c>
      <c r="M71" s="11">
        <f>AVERAGE(H71:L71)</f>
        <v>1.8</v>
      </c>
      <c r="N71" s="36" t="s">
        <v>50</v>
      </c>
      <c r="O71" s="38"/>
      <c r="Q71" s="28" t="s">
        <v>85</v>
      </c>
      <c r="R71" s="65">
        <f>O93</f>
        <v>3.2</v>
      </c>
      <c r="T71" s="64">
        <f>-(R71-$U$41)/$U$41</f>
        <v>9.0909090909090981E-2</v>
      </c>
      <c r="U71" s="64" t="e">
        <f>-(O93-#REF!)/AVERAGE(O93:O93)</f>
        <v>#REF!</v>
      </c>
      <c r="V71" s="2">
        <v>0</v>
      </c>
    </row>
    <row r="72" spans="1:22">
      <c r="A72" s="55" t="s">
        <v>33</v>
      </c>
      <c r="B72" s="49" t="s">
        <v>10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>
        <v>2.8</v>
      </c>
      <c r="N72" s="29">
        <v>2</v>
      </c>
      <c r="O72" s="33">
        <f>M72+N72</f>
        <v>4.8</v>
      </c>
      <c r="Q72" s="28" t="s">
        <v>86</v>
      </c>
      <c r="R72" s="65">
        <f>O95</f>
        <v>3</v>
      </c>
      <c r="T72" s="64">
        <f>-(R72-$U$41)/$U$41</f>
        <v>0.14772727272727285</v>
      </c>
      <c r="U72" s="64"/>
      <c r="V72" s="2">
        <v>0</v>
      </c>
    </row>
    <row r="73" spans="1:22">
      <c r="A73" s="56" t="s">
        <v>33</v>
      </c>
      <c r="B73" s="47">
        <v>2008</v>
      </c>
      <c r="C73" s="30">
        <v>0.75</v>
      </c>
      <c r="D73" s="30">
        <v>1</v>
      </c>
      <c r="E73" s="30">
        <v>0.6</v>
      </c>
      <c r="F73" s="30">
        <v>0</v>
      </c>
      <c r="G73" s="30">
        <v>1</v>
      </c>
      <c r="H73" s="9">
        <f>IF(C73&lt;0.33,1,IF(C73&lt;0.66,2,3))</f>
        <v>3</v>
      </c>
      <c r="I73" s="9">
        <f>IF(D73&lt;0.33,1,IF(D73&lt;0.66,2,3))</f>
        <v>3</v>
      </c>
      <c r="J73" s="9">
        <f>IF(E73&lt;0.33,1,IF(E73&lt;0.66,2,3))</f>
        <v>2</v>
      </c>
      <c r="K73" s="9">
        <f>IF(F73&lt;0.33,1,IF(F73&lt;0.66,2,3))</f>
        <v>1</v>
      </c>
      <c r="L73" s="9">
        <f>IF(G73&lt;0.33,1,IF(G73&lt;0.66,2,3))</f>
        <v>3</v>
      </c>
      <c r="M73" s="11">
        <f>AVERAGE(H73:L73)</f>
        <v>2.4</v>
      </c>
      <c r="N73" s="36" t="s">
        <v>50</v>
      </c>
      <c r="O73" s="38"/>
      <c r="Q73" s="28" t="s">
        <v>87</v>
      </c>
      <c r="R73" s="65">
        <f>O98</f>
        <v>2.6</v>
      </c>
      <c r="T73" s="64">
        <f>-(R73-$U$41)/$U$41</f>
        <v>0.26136363636363641</v>
      </c>
      <c r="U73" s="64">
        <f>-(O98-O97)/AVERAGE(O97:O98)</f>
        <v>0</v>
      </c>
      <c r="V73" s="2">
        <v>0</v>
      </c>
    </row>
    <row r="74" spans="1:22">
      <c r="A74" s="42" t="s">
        <v>34</v>
      </c>
      <c r="B74" s="43" t="s">
        <v>10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>
        <v>2.2000000000000002</v>
      </c>
      <c r="N74" s="29">
        <v>1</v>
      </c>
      <c r="O74" s="33">
        <f>M74+N74</f>
        <v>3.2</v>
      </c>
      <c r="Q74" s="28" t="s">
        <v>88</v>
      </c>
      <c r="R74" s="65">
        <f>O101</f>
        <v>5.2</v>
      </c>
      <c r="T74" s="64">
        <f>-(R74-$U$41)/$U$41</f>
        <v>-0.47727272727272713</v>
      </c>
      <c r="U74" s="64"/>
      <c r="V74" s="2">
        <v>0</v>
      </c>
    </row>
    <row r="75" spans="1:22">
      <c r="A75" s="46" t="s">
        <v>34</v>
      </c>
      <c r="B75" s="47">
        <v>2008</v>
      </c>
      <c r="C75" s="30">
        <v>0.5</v>
      </c>
      <c r="D75" s="30">
        <v>0.5</v>
      </c>
      <c r="E75" s="30">
        <v>0.2</v>
      </c>
      <c r="F75" s="30">
        <v>0</v>
      </c>
      <c r="G75" s="30">
        <v>1</v>
      </c>
      <c r="H75" s="9">
        <f>IF(C75&lt;0.33,1,IF(C75&lt;0.66,2,3))</f>
        <v>2</v>
      </c>
      <c r="I75" s="9">
        <f>IF(D75&lt;0.33,1,IF(D75&lt;0.66,2,3))</f>
        <v>2</v>
      </c>
      <c r="J75" s="9">
        <f>IF(E75&lt;0.33,1,IF(E75&lt;0.66,2,3))</f>
        <v>1</v>
      </c>
      <c r="K75" s="9">
        <f>IF(F75&lt;0.33,1,IF(F75&lt;0.66,2,3))</f>
        <v>1</v>
      </c>
      <c r="L75" s="9">
        <f>IF(G75&lt;0.33,1,IF(G75&lt;0.66,2,3))</f>
        <v>3</v>
      </c>
      <c r="M75" s="11">
        <f>AVERAGE(H75:L75)</f>
        <v>1.8</v>
      </c>
      <c r="N75" s="36" t="s">
        <v>50</v>
      </c>
      <c r="O75" s="38"/>
      <c r="Q75" s="28" t="s">
        <v>89</v>
      </c>
      <c r="R75" s="65">
        <f>O103</f>
        <v>3.6</v>
      </c>
      <c r="T75" s="64">
        <f>-(R75-$U$41)/$U$41</f>
        <v>-2.2727272727272617E-2</v>
      </c>
      <c r="U75" s="64" t="e">
        <f>-(O103-#REF!)/AVERAGE(O103:O103)</f>
        <v>#REF!</v>
      </c>
      <c r="V75" s="2">
        <v>0</v>
      </c>
    </row>
    <row r="76" spans="1:22">
      <c r="A76" s="42" t="s">
        <v>35</v>
      </c>
      <c r="B76" s="43" t="s">
        <v>10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>
        <v>2.08</v>
      </c>
      <c r="N76" s="29">
        <v>2</v>
      </c>
      <c r="O76" s="33">
        <f>M76+N76</f>
        <v>4.08</v>
      </c>
      <c r="Q76" s="28" t="s">
        <v>90</v>
      </c>
      <c r="R76" s="65" t="e">
        <f>#REF!</f>
        <v>#REF!</v>
      </c>
      <c r="T76" s="64" t="e">
        <f>-(R76-$U$42)/$U$42</f>
        <v>#REF!</v>
      </c>
      <c r="U76" s="64" t="e">
        <f>-(#REF!-#REF!)/AVERAGE(#REF!)</f>
        <v>#REF!</v>
      </c>
      <c r="V76" s="2">
        <v>0</v>
      </c>
    </row>
    <row r="77" spans="1:22">
      <c r="A77" s="46" t="s">
        <v>35</v>
      </c>
      <c r="B77" s="47">
        <v>2008</v>
      </c>
      <c r="C77" s="30">
        <v>1</v>
      </c>
      <c r="D77" s="30">
        <v>1</v>
      </c>
      <c r="E77" s="30">
        <v>0.2</v>
      </c>
      <c r="F77" s="30">
        <v>0.2</v>
      </c>
      <c r="G77" s="30">
        <v>0.5</v>
      </c>
      <c r="H77" s="9">
        <f>IF(C77&lt;0.33,1,IF(C77&lt;0.66,2,3))</f>
        <v>3</v>
      </c>
      <c r="I77" s="9">
        <f>IF(D77&lt;0.33,1,IF(D77&lt;0.66,2,3))</f>
        <v>3</v>
      </c>
      <c r="J77" s="9">
        <f>IF(E77&lt;0.33,1,IF(E77&lt;0.66,2,3))</f>
        <v>1</v>
      </c>
      <c r="K77" s="9">
        <f>IF(F77&lt;0.33,1,IF(F77&lt;0.66,2,3))</f>
        <v>1</v>
      </c>
      <c r="L77" s="9">
        <f>IF(G77&lt;0.33,1,IF(G77&lt;0.66,2,3))</f>
        <v>2</v>
      </c>
      <c r="M77" s="11">
        <f>AVERAGE(H77:L77)</f>
        <v>2</v>
      </c>
      <c r="N77" s="36"/>
      <c r="O77" s="38"/>
      <c r="Q77" s="28" t="s">
        <v>91</v>
      </c>
      <c r="R77" s="65" t="e">
        <f>#REF!</f>
        <v>#REF!</v>
      </c>
      <c r="T77" s="64" t="e">
        <f>-(R77-$U$42)/$U$42</f>
        <v>#REF!</v>
      </c>
      <c r="U77" s="64" t="e">
        <f>-(#REF!-#REF!)/AVERAGE(#REF!)</f>
        <v>#REF!</v>
      </c>
      <c r="V77" s="2">
        <v>0</v>
      </c>
    </row>
    <row r="78" spans="1:22">
      <c r="A78" s="42" t="s">
        <v>36</v>
      </c>
      <c r="B78" s="43" t="s">
        <v>10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 t="s">
        <v>50</v>
      </c>
      <c r="N78" s="29" t="s">
        <v>50</v>
      </c>
      <c r="O78" s="33"/>
      <c r="Q78" s="28" t="s">
        <v>92</v>
      </c>
      <c r="R78" s="65" t="e">
        <f>#REF!</f>
        <v>#REF!</v>
      </c>
      <c r="T78" s="64" t="e">
        <f>-(R78-$U$42)/$U$42</f>
        <v>#REF!</v>
      </c>
      <c r="U78" s="64" t="e">
        <f>-(#REF!-#REF!)/AVERAGE(#REF!)</f>
        <v>#REF!</v>
      </c>
      <c r="V78" s="2">
        <v>0</v>
      </c>
    </row>
    <row r="79" spans="1:22">
      <c r="A79" s="46" t="s">
        <v>36</v>
      </c>
      <c r="B79" s="47">
        <v>2008</v>
      </c>
      <c r="C79" s="30">
        <v>0</v>
      </c>
      <c r="D79" s="30">
        <v>0</v>
      </c>
      <c r="E79" s="30">
        <v>0</v>
      </c>
      <c r="F79" s="30">
        <v>0</v>
      </c>
      <c r="G79" s="30">
        <v>1</v>
      </c>
      <c r="H79" s="9">
        <f>IF(C79&lt;0.33,1,IF(C79&lt;0.66,2,3))</f>
        <v>1</v>
      </c>
      <c r="I79" s="9">
        <f>IF(D79&lt;0.33,1,IF(D79&lt;0.66,2,3))</f>
        <v>1</v>
      </c>
      <c r="J79" s="9">
        <f>IF(E79&lt;0.33,1,IF(E79&lt;0.66,2,3))</f>
        <v>1</v>
      </c>
      <c r="K79" s="9">
        <f>IF(F79&lt;0.33,1,IF(F79&lt;0.66,2,3))</f>
        <v>1</v>
      </c>
      <c r="L79" s="9">
        <f>IF(G79&lt;0.33,1,IF(G79&lt;0.66,2,3))</f>
        <v>3</v>
      </c>
      <c r="M79" s="11">
        <f>AVERAGE(H79:L79)</f>
        <v>1.4</v>
      </c>
      <c r="N79" s="36" t="s">
        <v>50</v>
      </c>
      <c r="O79" s="38"/>
      <c r="Q79" s="28" t="s">
        <v>93</v>
      </c>
      <c r="R79" s="65" t="e">
        <f>#REF!</f>
        <v>#REF!</v>
      </c>
      <c r="T79" s="64" t="e">
        <f>-(R79-$U$42)/$U$42</f>
        <v>#REF!</v>
      </c>
      <c r="U79" s="64" t="e">
        <f>-(#REF!-#REF!)/AVERAGE(#REF!)</f>
        <v>#REF!</v>
      </c>
      <c r="V79" s="2">
        <v>0</v>
      </c>
    </row>
    <row r="80" spans="1:22">
      <c r="A80" s="42" t="s">
        <v>37</v>
      </c>
      <c r="B80" s="43" t="s">
        <v>10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>
        <v>2.25</v>
      </c>
      <c r="N80" s="29">
        <v>2</v>
      </c>
      <c r="O80" s="33">
        <f>M80+N80</f>
        <v>4.25</v>
      </c>
    </row>
    <row r="81" spans="1:15">
      <c r="A81" s="46" t="s">
        <v>37</v>
      </c>
      <c r="B81" s="47">
        <v>2008</v>
      </c>
      <c r="C81" s="30">
        <v>1</v>
      </c>
      <c r="D81" s="30">
        <v>1</v>
      </c>
      <c r="E81" s="30">
        <v>1</v>
      </c>
      <c r="F81" s="30">
        <v>1</v>
      </c>
      <c r="G81" s="30" t="s">
        <v>50</v>
      </c>
      <c r="H81" s="9">
        <f>IF(C81&lt;0.33,1,IF(C81&lt;0.66,2,3))</f>
        <v>3</v>
      </c>
      <c r="I81" s="9">
        <f>IF(D81&lt;0.33,1,IF(D81&lt;0.66,2,3))</f>
        <v>3</v>
      </c>
      <c r="J81" s="9">
        <f>IF(E81&lt;0.33,1,IF(E81&lt;0.66,2,3))</f>
        <v>3</v>
      </c>
      <c r="K81" s="9">
        <f>IF(F81&lt;0.33,1,IF(F81&lt;0.66,2,3))</f>
        <v>3</v>
      </c>
      <c r="L81" s="9">
        <f>IF(G81&lt;0.33,1,IF(G81&lt;0.66,2,3))</f>
        <v>3</v>
      </c>
      <c r="M81" s="11">
        <f>AVERAGE(H81:L81)</f>
        <v>3</v>
      </c>
      <c r="N81" s="36" t="s">
        <v>50</v>
      </c>
      <c r="O81" s="38"/>
    </row>
    <row r="82" spans="1:15">
      <c r="A82" s="42" t="s">
        <v>38</v>
      </c>
      <c r="B82" s="43" t="s">
        <v>10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>
        <v>2.2000000000000002</v>
      </c>
      <c r="N82" s="29">
        <v>2</v>
      </c>
      <c r="O82" s="33">
        <f>M82+N82</f>
        <v>4.2</v>
      </c>
    </row>
    <row r="83" spans="1:15">
      <c r="A83" s="44" t="s">
        <v>38</v>
      </c>
      <c r="B83" s="45">
        <v>2008</v>
      </c>
      <c r="C83" s="39">
        <v>0</v>
      </c>
      <c r="D83" s="39">
        <v>0.25</v>
      </c>
      <c r="E83" s="39">
        <v>0.2</v>
      </c>
      <c r="F83" s="39">
        <v>0</v>
      </c>
      <c r="G83" s="39">
        <v>0.75</v>
      </c>
      <c r="H83" s="5">
        <f t="shared" ref="H83:L84" si="19">IF(C83&lt;0.33,1,IF(C83&lt;0.66,2,3))</f>
        <v>1</v>
      </c>
      <c r="I83" s="5">
        <f t="shared" si="19"/>
        <v>1</v>
      </c>
      <c r="J83" s="5">
        <f t="shared" si="19"/>
        <v>1</v>
      </c>
      <c r="K83" s="5">
        <f t="shared" si="19"/>
        <v>1</v>
      </c>
      <c r="L83" s="5">
        <f t="shared" si="19"/>
        <v>3</v>
      </c>
      <c r="M83" s="7">
        <f>AVERAGE(H83:L83)</f>
        <v>1.4</v>
      </c>
      <c r="N83" s="60" t="s">
        <v>50</v>
      </c>
      <c r="O83" s="40"/>
    </row>
    <row r="84" spans="1:15">
      <c r="A84" s="46" t="s">
        <v>38</v>
      </c>
      <c r="B84" s="47">
        <v>2010</v>
      </c>
      <c r="C84" s="30">
        <v>0.25</v>
      </c>
      <c r="D84" s="30">
        <v>0.25</v>
      </c>
      <c r="E84" s="30">
        <v>0</v>
      </c>
      <c r="F84" s="30">
        <v>0</v>
      </c>
      <c r="G84" s="30">
        <v>0.8</v>
      </c>
      <c r="H84" s="9">
        <f t="shared" si="19"/>
        <v>1</v>
      </c>
      <c r="I84" s="9">
        <f t="shared" si="19"/>
        <v>1</v>
      </c>
      <c r="J84" s="9">
        <f t="shared" si="19"/>
        <v>1</v>
      </c>
      <c r="K84" s="9">
        <f t="shared" si="19"/>
        <v>1</v>
      </c>
      <c r="L84" s="9">
        <f t="shared" si="19"/>
        <v>3</v>
      </c>
      <c r="M84" s="11">
        <f>AVERAGE(H84:L84)</f>
        <v>1.4</v>
      </c>
      <c r="N84" s="36" t="s">
        <v>50</v>
      </c>
      <c r="O84" s="38"/>
    </row>
    <row r="85" spans="1:15">
      <c r="A85" s="42" t="s">
        <v>39</v>
      </c>
      <c r="B85" s="43" t="s">
        <v>10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>
        <v>1.86</v>
      </c>
      <c r="N85" s="29">
        <v>2</v>
      </c>
      <c r="O85" s="33">
        <f>M85+N85</f>
        <v>3.8600000000000003</v>
      </c>
    </row>
    <row r="86" spans="1:15">
      <c r="A86" s="44" t="s">
        <v>39</v>
      </c>
      <c r="B86" s="45">
        <v>2008</v>
      </c>
      <c r="C86" s="39">
        <v>0.33</v>
      </c>
      <c r="D86" s="39">
        <v>0.6</v>
      </c>
      <c r="E86" s="39">
        <v>0.2</v>
      </c>
      <c r="F86" s="39">
        <v>0</v>
      </c>
      <c r="G86" s="39">
        <v>0.33</v>
      </c>
      <c r="H86" s="5">
        <f t="shared" ref="H86:L87" si="20">IF(C86&lt;0.33,1,IF(C86&lt;0.66,2,3))</f>
        <v>2</v>
      </c>
      <c r="I86" s="5">
        <f t="shared" si="20"/>
        <v>2</v>
      </c>
      <c r="J86" s="5">
        <f t="shared" si="20"/>
        <v>1</v>
      </c>
      <c r="K86" s="5">
        <f t="shared" si="20"/>
        <v>1</v>
      </c>
      <c r="L86" s="5">
        <f t="shared" si="20"/>
        <v>2</v>
      </c>
      <c r="M86" s="7">
        <f>AVERAGE(H86:L86)</f>
        <v>1.6</v>
      </c>
      <c r="N86" s="60" t="s">
        <v>50</v>
      </c>
      <c r="O86" s="40"/>
    </row>
    <row r="87" spans="1:15">
      <c r="A87" s="46" t="s">
        <v>39</v>
      </c>
      <c r="B87" s="47">
        <v>2010</v>
      </c>
      <c r="C87" s="30">
        <v>0.4</v>
      </c>
      <c r="D87" s="30">
        <v>0.6</v>
      </c>
      <c r="E87" s="30">
        <v>0</v>
      </c>
      <c r="F87" s="30">
        <v>0</v>
      </c>
      <c r="G87" s="30">
        <v>1</v>
      </c>
      <c r="H87" s="9">
        <f t="shared" si="20"/>
        <v>2</v>
      </c>
      <c r="I87" s="9">
        <f t="shared" si="20"/>
        <v>2</v>
      </c>
      <c r="J87" s="9">
        <f t="shared" si="20"/>
        <v>1</v>
      </c>
      <c r="K87" s="9">
        <f t="shared" si="20"/>
        <v>1</v>
      </c>
      <c r="L87" s="9">
        <f t="shared" si="20"/>
        <v>3</v>
      </c>
      <c r="M87" s="11">
        <f>AVERAGE(H87:L87)</f>
        <v>1.8</v>
      </c>
      <c r="N87" s="36" t="s">
        <v>50</v>
      </c>
      <c r="O87" s="38"/>
    </row>
    <row r="88" spans="1:15">
      <c r="A88" s="42" t="s">
        <v>40</v>
      </c>
      <c r="B88" s="43" t="s">
        <v>10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>
        <v>2</v>
      </c>
      <c r="N88" s="29">
        <v>2</v>
      </c>
      <c r="O88" s="33">
        <f>M88+N88</f>
        <v>4</v>
      </c>
    </row>
    <row r="89" spans="1:15">
      <c r="A89" s="46" t="s">
        <v>40</v>
      </c>
      <c r="B89" s="47">
        <v>2008</v>
      </c>
      <c r="C89" s="30">
        <v>0.5</v>
      </c>
      <c r="D89" s="30">
        <v>1</v>
      </c>
      <c r="E89" s="30">
        <v>0</v>
      </c>
      <c r="F89" s="30">
        <v>0</v>
      </c>
      <c r="G89" s="30">
        <v>0.66</v>
      </c>
      <c r="H89" s="9">
        <f>IF(C89&lt;0.33,1,IF(C89&lt;0.66,2,3))</f>
        <v>2</v>
      </c>
      <c r="I89" s="9">
        <f>IF(D89&lt;0.33,1,IF(D89&lt;0.66,2,3))</f>
        <v>3</v>
      </c>
      <c r="J89" s="9">
        <f>IF(E89&lt;0.33,1,IF(E89&lt;0.66,2,3))</f>
        <v>1</v>
      </c>
      <c r="K89" s="9">
        <f>IF(F89&lt;0.33,1,IF(F89&lt;0.66,2,3))</f>
        <v>1</v>
      </c>
      <c r="L89" s="9">
        <f>IF(G89&lt;0.33,1,IF(G89&lt;0.66,2,3))</f>
        <v>3</v>
      </c>
      <c r="M89" s="11">
        <f>AVERAGE(H89:L89)</f>
        <v>2</v>
      </c>
      <c r="N89" s="36" t="s">
        <v>50</v>
      </c>
      <c r="O89" s="38"/>
    </row>
    <row r="90" spans="1:15">
      <c r="A90" s="42" t="s">
        <v>41</v>
      </c>
      <c r="B90" s="43" t="s">
        <v>10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 t="s">
        <v>50</v>
      </c>
      <c r="N90" s="29" t="s">
        <v>50</v>
      </c>
      <c r="O90" s="33" t="s">
        <v>50</v>
      </c>
    </row>
    <row r="91" spans="1:15">
      <c r="A91" s="46" t="s">
        <v>41</v>
      </c>
      <c r="B91" s="47">
        <v>2008</v>
      </c>
      <c r="C91" s="30">
        <v>0.75</v>
      </c>
      <c r="D91" s="30">
        <v>0.5</v>
      </c>
      <c r="E91" s="30">
        <v>0.5</v>
      </c>
      <c r="F91" s="30">
        <v>0.25</v>
      </c>
      <c r="G91" s="30">
        <v>1</v>
      </c>
      <c r="H91" s="9">
        <f>IF(C91&lt;0.33,1,IF(C91&lt;0.66,2,3))</f>
        <v>3</v>
      </c>
      <c r="I91" s="9">
        <f>IF(D91&lt;0.33,1,IF(D91&lt;0.66,2,3))</f>
        <v>2</v>
      </c>
      <c r="J91" s="9">
        <f>IF(E91&lt;0.33,1,IF(E91&lt;0.66,2,3))</f>
        <v>2</v>
      </c>
      <c r="K91" s="9">
        <f>IF(F91&lt;0.33,1,IF(F91&lt;0.66,2,3))</f>
        <v>1</v>
      </c>
      <c r="L91" s="9">
        <f>IF(G91&lt;0.33,1,IF(G91&lt;0.66,2,3))</f>
        <v>3</v>
      </c>
      <c r="M91" s="11">
        <f>AVERAGE(H91:L91)</f>
        <v>2.2000000000000002</v>
      </c>
      <c r="N91" s="36" t="s">
        <v>50</v>
      </c>
      <c r="O91" s="38"/>
    </row>
    <row r="92" spans="1:15">
      <c r="A92" s="52"/>
      <c r="B92" s="5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>
      <c r="A93" s="42" t="s">
        <v>42</v>
      </c>
      <c r="B93" s="49">
        <v>2009</v>
      </c>
      <c r="C93" s="76">
        <v>0.8</v>
      </c>
      <c r="D93" s="76">
        <v>1</v>
      </c>
      <c r="E93" s="76">
        <v>0</v>
      </c>
      <c r="F93" s="76">
        <v>0</v>
      </c>
      <c r="G93" s="76">
        <v>1</v>
      </c>
      <c r="H93" s="3">
        <f t="shared" ref="H93:L96" si="21">IF(C93&gt;0.69,3,IF(C93&lt;0.1,1,2))</f>
        <v>3</v>
      </c>
      <c r="I93" s="3">
        <f t="shared" si="21"/>
        <v>3</v>
      </c>
      <c r="J93" s="3">
        <f t="shared" si="21"/>
        <v>1</v>
      </c>
      <c r="K93" s="3">
        <f t="shared" si="21"/>
        <v>1</v>
      </c>
      <c r="L93" s="3">
        <f t="shared" si="21"/>
        <v>3</v>
      </c>
      <c r="M93" s="77">
        <f t="shared" ref="M93:M108" si="22">AVERAGE(H93:L93)</f>
        <v>2.2000000000000002</v>
      </c>
      <c r="N93" s="79">
        <v>1</v>
      </c>
      <c r="O93" s="80">
        <f>M93+N93</f>
        <v>3.2</v>
      </c>
    </row>
    <row r="94" spans="1:15">
      <c r="A94" s="75"/>
      <c r="B94" s="73" t="s">
        <v>100</v>
      </c>
      <c r="C94" s="74">
        <v>0.86</v>
      </c>
      <c r="D94" s="74">
        <v>1</v>
      </c>
      <c r="E94" s="74">
        <v>0</v>
      </c>
      <c r="F94" s="74">
        <v>0</v>
      </c>
      <c r="G94" s="74">
        <v>0.73</v>
      </c>
      <c r="H94" s="9">
        <f t="shared" si="21"/>
        <v>3</v>
      </c>
      <c r="I94" s="9">
        <f t="shared" si="21"/>
        <v>3</v>
      </c>
      <c r="J94" s="9">
        <f t="shared" si="21"/>
        <v>1</v>
      </c>
      <c r="K94" s="9">
        <f t="shared" si="21"/>
        <v>1</v>
      </c>
      <c r="L94" s="9">
        <f t="shared" si="21"/>
        <v>3</v>
      </c>
      <c r="M94" s="78">
        <f t="shared" si="22"/>
        <v>2.2000000000000002</v>
      </c>
      <c r="N94" s="81">
        <v>1.5</v>
      </c>
      <c r="O94" s="82">
        <f t="shared" ref="O94:O106" si="23">M94+N94</f>
        <v>3.7</v>
      </c>
    </row>
    <row r="95" spans="1:15">
      <c r="A95" s="42" t="s">
        <v>43</v>
      </c>
      <c r="B95" s="49">
        <v>2009</v>
      </c>
      <c r="C95" s="76">
        <v>0.6</v>
      </c>
      <c r="D95" s="76">
        <v>1</v>
      </c>
      <c r="E95" s="76">
        <v>0</v>
      </c>
      <c r="F95" s="76">
        <v>0</v>
      </c>
      <c r="G95" s="76">
        <v>1</v>
      </c>
      <c r="H95" s="3">
        <f t="shared" si="21"/>
        <v>2</v>
      </c>
      <c r="I95" s="3">
        <f t="shared" si="21"/>
        <v>3</v>
      </c>
      <c r="J95" s="3">
        <f t="shared" si="21"/>
        <v>1</v>
      </c>
      <c r="K95" s="3">
        <f t="shared" si="21"/>
        <v>1</v>
      </c>
      <c r="L95" s="3">
        <f t="shared" si="21"/>
        <v>3</v>
      </c>
      <c r="M95" s="77">
        <f t="shared" si="22"/>
        <v>2</v>
      </c>
      <c r="N95" s="79">
        <v>1</v>
      </c>
      <c r="O95" s="80">
        <f t="shared" si="23"/>
        <v>3</v>
      </c>
    </row>
    <row r="96" spans="1:15">
      <c r="A96" s="75"/>
      <c r="B96" s="73" t="s">
        <v>100</v>
      </c>
      <c r="C96" s="74">
        <v>0.75</v>
      </c>
      <c r="D96" s="74">
        <f>4/7</f>
        <v>0.5714285714285714</v>
      </c>
      <c r="E96" s="74">
        <v>0</v>
      </c>
      <c r="F96" s="74">
        <v>0</v>
      </c>
      <c r="G96" s="74">
        <v>1</v>
      </c>
      <c r="H96" s="9">
        <f t="shared" si="21"/>
        <v>3</v>
      </c>
      <c r="I96" s="9">
        <f t="shared" si="21"/>
        <v>2</v>
      </c>
      <c r="J96" s="9">
        <f t="shared" si="21"/>
        <v>1</v>
      </c>
      <c r="K96" s="9">
        <f t="shared" si="21"/>
        <v>1</v>
      </c>
      <c r="L96" s="9">
        <f t="shared" si="21"/>
        <v>3</v>
      </c>
      <c r="M96" s="78">
        <f t="shared" si="22"/>
        <v>2</v>
      </c>
      <c r="N96" s="81">
        <v>1.5</v>
      </c>
      <c r="O96" s="82">
        <f t="shared" si="23"/>
        <v>3.5</v>
      </c>
    </row>
    <row r="97" spans="1:15">
      <c r="A97" s="42" t="s">
        <v>44</v>
      </c>
      <c r="B97" s="49">
        <v>2009</v>
      </c>
      <c r="C97" s="76">
        <v>0.2</v>
      </c>
      <c r="D97" s="76">
        <v>0.6</v>
      </c>
      <c r="E97" s="76">
        <v>0.2</v>
      </c>
      <c r="F97" s="76">
        <v>0</v>
      </c>
      <c r="G97" s="76">
        <v>0.8</v>
      </c>
      <c r="H97" s="3">
        <f t="shared" ref="H97:H108" si="24">IF(C97&lt;0.33,1,IF(C97&lt;0.66,2,3))</f>
        <v>1</v>
      </c>
      <c r="I97" s="3">
        <f t="shared" ref="I97:I108" si="25">IF(D97&lt;0.33,1,IF(D97&lt;0.66,2,3))</f>
        <v>2</v>
      </c>
      <c r="J97" s="3">
        <f t="shared" ref="J97:J108" si="26">IF(E97&lt;0.33,1,IF(E97&lt;0.66,2,3))</f>
        <v>1</v>
      </c>
      <c r="K97" s="3">
        <f t="shared" ref="K97:K108" si="27">IF(F97&lt;0.33,1,IF(F97&lt;0.66,2,3))</f>
        <v>1</v>
      </c>
      <c r="L97" s="3">
        <f t="shared" ref="L97:L108" si="28">IF(G97&lt;0.33,1,IF(G97&lt;0.66,2,3))</f>
        <v>3</v>
      </c>
      <c r="M97" s="77">
        <f t="shared" si="22"/>
        <v>1.6</v>
      </c>
      <c r="N97" s="79">
        <v>1</v>
      </c>
      <c r="O97" s="80">
        <f t="shared" si="23"/>
        <v>2.6</v>
      </c>
    </row>
    <row r="98" spans="1:15">
      <c r="A98" s="75"/>
      <c r="B98" s="73" t="s">
        <v>100</v>
      </c>
      <c r="C98" s="74">
        <f>2/3</f>
        <v>0.66666666666666663</v>
      </c>
      <c r="D98" s="74">
        <f>3/5</f>
        <v>0.6</v>
      </c>
      <c r="E98" s="74">
        <v>0</v>
      </c>
      <c r="F98" s="74">
        <v>0</v>
      </c>
      <c r="G98" s="74">
        <f>2/7</f>
        <v>0.2857142857142857</v>
      </c>
      <c r="H98" s="9">
        <f t="shared" si="24"/>
        <v>3</v>
      </c>
      <c r="I98" s="9">
        <f t="shared" si="25"/>
        <v>2</v>
      </c>
      <c r="J98" s="9">
        <f t="shared" si="26"/>
        <v>1</v>
      </c>
      <c r="K98" s="9">
        <f t="shared" si="27"/>
        <v>1</v>
      </c>
      <c r="L98" s="9">
        <f t="shared" si="28"/>
        <v>1</v>
      </c>
      <c r="M98" s="78">
        <f t="shared" si="22"/>
        <v>1.6</v>
      </c>
      <c r="N98" s="81">
        <v>1</v>
      </c>
      <c r="O98" s="83">
        <f t="shared" si="23"/>
        <v>2.6</v>
      </c>
    </row>
    <row r="99" spans="1:15">
      <c r="A99" s="42" t="s">
        <v>45</v>
      </c>
      <c r="B99" s="49">
        <v>2008</v>
      </c>
      <c r="C99" s="76">
        <v>0</v>
      </c>
      <c r="D99" s="76">
        <v>0</v>
      </c>
      <c r="E99" s="76">
        <v>0</v>
      </c>
      <c r="F99" s="76">
        <v>1</v>
      </c>
      <c r="G99" s="76">
        <v>1</v>
      </c>
      <c r="H99" s="3">
        <f t="shared" si="24"/>
        <v>1</v>
      </c>
      <c r="I99" s="3">
        <f t="shared" si="25"/>
        <v>1</v>
      </c>
      <c r="J99" s="3">
        <f t="shared" si="26"/>
        <v>1</v>
      </c>
      <c r="K99" s="3">
        <f t="shared" si="27"/>
        <v>3</v>
      </c>
      <c r="L99" s="3">
        <f t="shared" si="28"/>
        <v>3</v>
      </c>
      <c r="M99" s="77">
        <f t="shared" si="22"/>
        <v>1.8</v>
      </c>
      <c r="N99" s="79">
        <v>2</v>
      </c>
      <c r="O99" s="80">
        <f t="shared" si="23"/>
        <v>3.8</v>
      </c>
    </row>
    <row r="100" spans="1:15">
      <c r="A100" s="75"/>
      <c r="B100" s="73" t="s">
        <v>100</v>
      </c>
      <c r="C100" s="74">
        <v>0</v>
      </c>
      <c r="D100" s="74">
        <f>5/9</f>
        <v>0.55555555555555558</v>
      </c>
      <c r="E100" s="74">
        <v>0</v>
      </c>
      <c r="F100" s="74">
        <v>1</v>
      </c>
      <c r="G100" s="74">
        <f>9/11</f>
        <v>0.81818181818181823</v>
      </c>
      <c r="H100" s="9">
        <f t="shared" si="24"/>
        <v>1</v>
      </c>
      <c r="I100" s="9">
        <f t="shared" si="25"/>
        <v>2</v>
      </c>
      <c r="J100" s="9">
        <f t="shared" si="26"/>
        <v>1</v>
      </c>
      <c r="K100" s="9">
        <f t="shared" si="27"/>
        <v>3</v>
      </c>
      <c r="L100" s="9">
        <f t="shared" si="28"/>
        <v>3</v>
      </c>
      <c r="M100" s="78">
        <f t="shared" si="22"/>
        <v>2</v>
      </c>
      <c r="N100" s="81">
        <v>1.5</v>
      </c>
      <c r="O100" s="84">
        <f t="shared" si="23"/>
        <v>3.5</v>
      </c>
    </row>
    <row r="101" spans="1:15">
      <c r="A101" s="42" t="s">
        <v>46</v>
      </c>
      <c r="B101" s="49">
        <v>2009</v>
      </c>
      <c r="C101" s="76">
        <v>0.75</v>
      </c>
      <c r="D101" s="76">
        <v>1</v>
      </c>
      <c r="E101" s="76">
        <v>0</v>
      </c>
      <c r="F101" s="76">
        <v>0</v>
      </c>
      <c r="G101" s="76">
        <v>1</v>
      </c>
      <c r="H101" s="3">
        <f t="shared" si="24"/>
        <v>3</v>
      </c>
      <c r="I101" s="3">
        <f t="shared" si="25"/>
        <v>3</v>
      </c>
      <c r="J101" s="3">
        <f t="shared" si="26"/>
        <v>1</v>
      </c>
      <c r="K101" s="3">
        <f t="shared" si="27"/>
        <v>1</v>
      </c>
      <c r="L101" s="3">
        <f t="shared" si="28"/>
        <v>3</v>
      </c>
      <c r="M101" s="77">
        <f t="shared" si="22"/>
        <v>2.2000000000000002</v>
      </c>
      <c r="N101" s="79">
        <v>3</v>
      </c>
      <c r="O101" s="80">
        <f t="shared" si="23"/>
        <v>5.2</v>
      </c>
    </row>
    <row r="102" spans="1:15">
      <c r="A102" s="75"/>
      <c r="B102" s="73">
        <v>2012</v>
      </c>
      <c r="C102" s="74">
        <v>1</v>
      </c>
      <c r="D102" s="74">
        <v>1</v>
      </c>
      <c r="E102" s="74">
        <v>0</v>
      </c>
      <c r="F102" s="74">
        <v>0</v>
      </c>
      <c r="G102" s="74">
        <v>0.75</v>
      </c>
      <c r="H102" s="9">
        <f t="shared" si="24"/>
        <v>3</v>
      </c>
      <c r="I102" s="9">
        <f t="shared" si="25"/>
        <v>3</v>
      </c>
      <c r="J102" s="9">
        <f t="shared" si="26"/>
        <v>1</v>
      </c>
      <c r="K102" s="9">
        <f t="shared" si="27"/>
        <v>1</v>
      </c>
      <c r="L102" s="9">
        <f t="shared" si="28"/>
        <v>3</v>
      </c>
      <c r="M102" s="78">
        <f t="shared" si="22"/>
        <v>2.2000000000000002</v>
      </c>
      <c r="N102" s="81">
        <v>2</v>
      </c>
      <c r="O102" s="82">
        <f t="shared" si="23"/>
        <v>4.2</v>
      </c>
    </row>
    <row r="103" spans="1:15">
      <c r="A103" s="42" t="s">
        <v>47</v>
      </c>
      <c r="B103" s="49">
        <v>2009</v>
      </c>
      <c r="C103" s="76">
        <v>1</v>
      </c>
      <c r="D103" s="76">
        <v>1</v>
      </c>
      <c r="E103" s="76">
        <v>0</v>
      </c>
      <c r="F103" s="76">
        <v>1</v>
      </c>
      <c r="G103" s="76">
        <v>0.8</v>
      </c>
      <c r="H103" s="3">
        <f t="shared" si="24"/>
        <v>3</v>
      </c>
      <c r="I103" s="3">
        <f t="shared" si="25"/>
        <v>3</v>
      </c>
      <c r="J103" s="3">
        <f t="shared" si="26"/>
        <v>1</v>
      </c>
      <c r="K103" s="3">
        <f t="shared" si="27"/>
        <v>3</v>
      </c>
      <c r="L103" s="3">
        <f t="shared" si="28"/>
        <v>3</v>
      </c>
      <c r="M103" s="77">
        <f t="shared" si="22"/>
        <v>2.6</v>
      </c>
      <c r="N103" s="79">
        <v>1</v>
      </c>
      <c r="O103" s="80">
        <f t="shared" si="23"/>
        <v>3.6</v>
      </c>
    </row>
    <row r="104" spans="1:15">
      <c r="A104" s="75"/>
      <c r="B104" s="73" t="s">
        <v>100</v>
      </c>
      <c r="C104" s="74">
        <f>6/7</f>
        <v>0.8571428571428571</v>
      </c>
      <c r="D104" s="74">
        <v>1</v>
      </c>
      <c r="E104" s="74">
        <f>3/11</f>
        <v>0.27272727272727271</v>
      </c>
      <c r="F104" s="74">
        <v>1</v>
      </c>
      <c r="G104" s="74">
        <f>6/11</f>
        <v>0.54545454545454541</v>
      </c>
      <c r="H104" s="9">
        <f t="shared" si="24"/>
        <v>3</v>
      </c>
      <c r="I104" s="9">
        <f t="shared" si="25"/>
        <v>3</v>
      </c>
      <c r="J104" s="9">
        <f t="shared" si="26"/>
        <v>1</v>
      </c>
      <c r="K104" s="9">
        <f t="shared" si="27"/>
        <v>3</v>
      </c>
      <c r="L104" s="9">
        <f t="shared" si="28"/>
        <v>2</v>
      </c>
      <c r="M104" s="78">
        <f t="shared" si="22"/>
        <v>2.4</v>
      </c>
      <c r="N104" s="81">
        <v>2</v>
      </c>
      <c r="O104" s="82">
        <f t="shared" si="23"/>
        <v>4.4000000000000004</v>
      </c>
    </row>
    <row r="105" spans="1:15">
      <c r="A105" s="42" t="s">
        <v>48</v>
      </c>
      <c r="B105" s="49">
        <v>2008</v>
      </c>
      <c r="C105" s="76">
        <v>0</v>
      </c>
      <c r="D105" s="76">
        <v>0.25</v>
      </c>
      <c r="E105" s="76">
        <v>0</v>
      </c>
      <c r="F105" s="76">
        <v>1</v>
      </c>
      <c r="G105" s="76">
        <v>0</v>
      </c>
      <c r="H105" s="3">
        <f t="shared" si="24"/>
        <v>1</v>
      </c>
      <c r="I105" s="3">
        <f t="shared" si="25"/>
        <v>1</v>
      </c>
      <c r="J105" s="3">
        <f t="shared" si="26"/>
        <v>1</v>
      </c>
      <c r="K105" s="3">
        <f t="shared" si="27"/>
        <v>3</v>
      </c>
      <c r="L105" s="3">
        <f t="shared" si="28"/>
        <v>1</v>
      </c>
      <c r="M105" s="77">
        <f t="shared" si="22"/>
        <v>1.4</v>
      </c>
      <c r="N105" s="79">
        <v>2</v>
      </c>
      <c r="O105" s="80">
        <f t="shared" si="23"/>
        <v>3.4</v>
      </c>
    </row>
    <row r="106" spans="1:15">
      <c r="A106" s="75"/>
      <c r="B106" s="73">
        <v>2008</v>
      </c>
      <c r="C106" s="74">
        <v>0</v>
      </c>
      <c r="D106" s="74">
        <v>0</v>
      </c>
      <c r="E106" s="74">
        <v>0</v>
      </c>
      <c r="F106" s="74">
        <v>1</v>
      </c>
      <c r="G106" s="74">
        <f>4/7</f>
        <v>0.5714285714285714</v>
      </c>
      <c r="H106" s="9">
        <f t="shared" si="24"/>
        <v>1</v>
      </c>
      <c r="I106" s="9">
        <f t="shared" si="25"/>
        <v>1</v>
      </c>
      <c r="J106" s="9">
        <f t="shared" si="26"/>
        <v>1</v>
      </c>
      <c r="K106" s="9">
        <f t="shared" si="27"/>
        <v>3</v>
      </c>
      <c r="L106" s="9">
        <f t="shared" si="28"/>
        <v>2</v>
      </c>
      <c r="M106" s="78">
        <f t="shared" si="22"/>
        <v>1.6</v>
      </c>
      <c r="N106" s="81">
        <v>2</v>
      </c>
      <c r="O106" s="82">
        <f t="shared" si="23"/>
        <v>3.6</v>
      </c>
    </row>
    <row r="107" spans="1:15">
      <c r="A107" s="42" t="s">
        <v>49</v>
      </c>
      <c r="B107" s="49">
        <v>2009</v>
      </c>
      <c r="C107" s="76">
        <v>0.8</v>
      </c>
      <c r="D107" s="76">
        <v>0.8</v>
      </c>
      <c r="E107" s="76">
        <v>0.8</v>
      </c>
      <c r="F107" s="76">
        <v>0.4</v>
      </c>
      <c r="G107" s="76">
        <v>1</v>
      </c>
      <c r="H107" s="3">
        <f t="shared" si="24"/>
        <v>3</v>
      </c>
      <c r="I107" s="3">
        <f t="shared" si="25"/>
        <v>3</v>
      </c>
      <c r="J107" s="3">
        <f t="shared" si="26"/>
        <v>3</v>
      </c>
      <c r="K107" s="3">
        <f t="shared" si="27"/>
        <v>2</v>
      </c>
      <c r="L107" s="3">
        <f t="shared" si="28"/>
        <v>3</v>
      </c>
      <c r="M107" s="77">
        <f t="shared" si="22"/>
        <v>2.8</v>
      </c>
      <c r="N107" s="79" t="s">
        <v>50</v>
      </c>
      <c r="O107" s="80"/>
    </row>
    <row r="108" spans="1:15">
      <c r="A108" s="75"/>
      <c r="B108" s="73" t="s">
        <v>100</v>
      </c>
      <c r="C108" s="74">
        <v>1</v>
      </c>
      <c r="D108" s="74">
        <f>5/6</f>
        <v>0.83333333333333337</v>
      </c>
      <c r="E108" s="74">
        <f>5/8</f>
        <v>0.625</v>
      </c>
      <c r="F108" s="74">
        <f>4/6</f>
        <v>0.66666666666666663</v>
      </c>
      <c r="G108" s="74">
        <v>1</v>
      </c>
      <c r="H108" s="9">
        <f t="shared" si="24"/>
        <v>3</v>
      </c>
      <c r="I108" s="9">
        <f t="shared" si="25"/>
        <v>3</v>
      </c>
      <c r="J108" s="9">
        <f t="shared" si="26"/>
        <v>2</v>
      </c>
      <c r="K108" s="9">
        <f t="shared" si="27"/>
        <v>3</v>
      </c>
      <c r="L108" s="9">
        <f t="shared" si="28"/>
        <v>3</v>
      </c>
      <c r="M108" s="78">
        <f t="shared" si="22"/>
        <v>2.8</v>
      </c>
      <c r="N108" s="81" t="s">
        <v>50</v>
      </c>
      <c r="O10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abSelected="1" workbookViewId="0">
      <selection activeCell="H11" sqref="H11"/>
    </sheetView>
  </sheetViews>
  <sheetFormatPr baseColWidth="10" defaultRowHeight="15" x14ac:dyDescent="0"/>
  <sheetData>
    <row r="2" spans="2:13">
      <c r="B2" s="162" t="s">
        <v>176</v>
      </c>
      <c r="C2" s="157" t="s">
        <v>163</v>
      </c>
      <c r="D2" s="157" t="s">
        <v>163</v>
      </c>
      <c r="E2" s="157" t="s">
        <v>163</v>
      </c>
      <c r="F2" s="157" t="s">
        <v>163</v>
      </c>
      <c r="G2" s="157" t="s">
        <v>163</v>
      </c>
      <c r="H2" s="157" t="s">
        <v>163</v>
      </c>
      <c r="I2" s="157" t="s">
        <v>163</v>
      </c>
      <c r="J2" s="157" t="s">
        <v>163</v>
      </c>
      <c r="K2" s="157" t="s">
        <v>163</v>
      </c>
      <c r="L2" s="157" t="s">
        <v>163</v>
      </c>
      <c r="M2" s="157" t="s">
        <v>163</v>
      </c>
    </row>
    <row r="3" spans="2:13">
      <c r="B3" s="162" t="s">
        <v>177</v>
      </c>
      <c r="C3" s="161" t="s">
        <v>173</v>
      </c>
      <c r="D3" s="160" t="s">
        <v>164</v>
      </c>
      <c r="E3" s="161" t="s">
        <v>165</v>
      </c>
      <c r="F3" s="161" t="s">
        <v>166</v>
      </c>
      <c r="G3" s="161" t="s">
        <v>174</v>
      </c>
      <c r="H3" s="161" t="s">
        <v>167</v>
      </c>
      <c r="I3" s="161" t="s">
        <v>168</v>
      </c>
      <c r="J3" s="161" t="s">
        <v>169</v>
      </c>
      <c r="K3" s="161" t="s">
        <v>170</v>
      </c>
      <c r="L3" s="161" t="s">
        <v>171</v>
      </c>
      <c r="M3" s="161" t="s">
        <v>172</v>
      </c>
    </row>
    <row r="4" spans="2:13">
      <c r="B4" s="163" t="s">
        <v>178</v>
      </c>
      <c r="C4" s="158"/>
      <c r="D4" s="158">
        <v>34150</v>
      </c>
      <c r="E4" s="158">
        <v>34303</v>
      </c>
      <c r="F4" s="158">
        <v>34499</v>
      </c>
      <c r="G4" s="158"/>
      <c r="H4" s="158">
        <v>34843</v>
      </c>
      <c r="I4" s="158">
        <v>34983</v>
      </c>
      <c r="J4" s="158">
        <v>35214</v>
      </c>
      <c r="K4" s="158">
        <v>35328</v>
      </c>
      <c r="L4" s="158">
        <v>35600</v>
      </c>
      <c r="M4" s="158">
        <v>35713</v>
      </c>
    </row>
    <row r="5" spans="2:13">
      <c r="B5" s="164" t="s">
        <v>179</v>
      </c>
      <c r="C5" s="159">
        <v>0</v>
      </c>
      <c r="D5" s="159">
        <v>0.1</v>
      </c>
      <c r="E5" s="159">
        <v>0.21</v>
      </c>
      <c r="F5" s="159">
        <v>0.1</v>
      </c>
      <c r="G5" s="159">
        <v>0.1</v>
      </c>
      <c r="H5" s="159">
        <v>0.12</v>
      </c>
      <c r="I5" s="159">
        <v>0.19</v>
      </c>
      <c r="J5" s="159">
        <v>0.27</v>
      </c>
      <c r="K5" s="159">
        <v>0</v>
      </c>
      <c r="L5" s="159">
        <v>0.13</v>
      </c>
      <c r="M5" s="159">
        <v>0.24</v>
      </c>
    </row>
    <row r="6" spans="2:13">
      <c r="B6" s="164" t="s">
        <v>180</v>
      </c>
      <c r="C6" s="157">
        <v>0.28999999999999998</v>
      </c>
      <c r="D6" s="157">
        <v>2.3E-2</v>
      </c>
      <c r="E6" s="157">
        <v>0</v>
      </c>
      <c r="F6" s="157">
        <v>0</v>
      </c>
      <c r="G6" s="157">
        <v>0</v>
      </c>
      <c r="H6" s="157">
        <v>0</v>
      </c>
      <c r="I6" s="157">
        <v>0</v>
      </c>
      <c r="J6" s="157">
        <v>0</v>
      </c>
      <c r="K6" s="157">
        <v>0</v>
      </c>
      <c r="L6" s="157">
        <v>0.13</v>
      </c>
      <c r="M6" s="157">
        <v>0.24</v>
      </c>
    </row>
    <row r="7" spans="2:13">
      <c r="B7" s="164" t="s">
        <v>181</v>
      </c>
      <c r="C7" s="166">
        <v>0.05</v>
      </c>
      <c r="D7" s="166">
        <v>0.219</v>
      </c>
      <c r="E7" s="166">
        <v>4.1000000000000002E-2</v>
      </c>
      <c r="F7" s="166">
        <v>0.06</v>
      </c>
      <c r="G7" s="166">
        <v>0.06</v>
      </c>
      <c r="H7" s="166">
        <v>4.8000000000000001E-2</v>
      </c>
      <c r="I7" s="166">
        <v>0.08</v>
      </c>
      <c r="J7" s="166">
        <v>0.11</v>
      </c>
      <c r="K7" s="166">
        <v>7.0000000000000007E-2</v>
      </c>
      <c r="L7" s="166">
        <v>0.1</v>
      </c>
      <c r="M7" s="166">
        <v>7.0000000000000007E-2</v>
      </c>
    </row>
    <row r="8" spans="2:13">
      <c r="B8" s="165" t="s">
        <v>9</v>
      </c>
      <c r="C8" s="167">
        <v>0.05</v>
      </c>
      <c r="D8" s="167">
        <v>0.28599999999999998</v>
      </c>
      <c r="E8" s="167">
        <v>4.1000000000000002E-2</v>
      </c>
      <c r="F8" s="167">
        <v>9.9000000000000005E-2</v>
      </c>
      <c r="G8" s="167">
        <v>9.9000000000000005E-2</v>
      </c>
      <c r="H8" s="167">
        <v>0.13</v>
      </c>
      <c r="I8" s="167">
        <v>9.1999999999999998E-2</v>
      </c>
      <c r="J8" s="167">
        <v>0.14000000000000001</v>
      </c>
      <c r="K8" s="167">
        <v>7.0000000000000007E-2</v>
      </c>
      <c r="L8" s="167">
        <v>0.12</v>
      </c>
      <c r="M8" s="167">
        <v>0.08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125" zoomScaleNormal="125" zoomScalePageLayoutView="125" workbookViewId="0">
      <selection activeCell="N38" sqref="N38"/>
    </sheetView>
  </sheetViews>
  <sheetFormatPr baseColWidth="10" defaultRowHeight="15" x14ac:dyDescent="0"/>
  <cols>
    <col min="1" max="1" width="6.5" bestFit="1" customWidth="1"/>
    <col min="2" max="2" width="8.6640625" bestFit="1" customWidth="1"/>
    <col min="3" max="3" width="9.1640625" bestFit="1" customWidth="1"/>
    <col min="4" max="4" width="6.6640625" bestFit="1" customWidth="1"/>
    <col min="5" max="5" width="5" bestFit="1" customWidth="1"/>
    <col min="6" max="6" width="4.1640625" bestFit="1" customWidth="1"/>
    <col min="7" max="7" width="5.6640625" bestFit="1" customWidth="1"/>
    <col min="8" max="8" width="4.6640625" bestFit="1" customWidth="1"/>
    <col min="9" max="9" width="9.1640625" bestFit="1" customWidth="1"/>
    <col min="10" max="10" width="6.6640625" bestFit="1" customWidth="1"/>
    <col min="11" max="11" width="5" bestFit="1" customWidth="1"/>
    <col min="12" max="12" width="4" bestFit="1" customWidth="1"/>
    <col min="13" max="13" width="3.6640625" bestFit="1" customWidth="1"/>
    <col min="14" max="14" width="7.5" bestFit="1" customWidth="1"/>
    <col min="15" max="15" width="7.5" customWidth="1"/>
    <col min="16" max="17" width="8.6640625" bestFit="1" customWidth="1"/>
    <col min="18" max="40" width="10.83203125" style="86"/>
  </cols>
  <sheetData>
    <row r="1" spans="1:40" ht="33">
      <c r="A1" s="2"/>
      <c r="B1" s="50" t="s">
        <v>1</v>
      </c>
      <c r="C1" s="70" t="s">
        <v>2</v>
      </c>
      <c r="D1" s="50" t="s">
        <v>3</v>
      </c>
      <c r="E1" s="50" t="s">
        <v>4</v>
      </c>
      <c r="F1" s="50" t="s">
        <v>8</v>
      </c>
      <c r="G1" s="50" t="s">
        <v>9</v>
      </c>
      <c r="H1" s="50"/>
      <c r="I1" s="70" t="s">
        <v>2</v>
      </c>
      <c r="J1" s="50" t="s">
        <v>3</v>
      </c>
      <c r="K1" s="50" t="s">
        <v>4</v>
      </c>
      <c r="L1" s="50" t="s">
        <v>8</v>
      </c>
      <c r="M1" s="50" t="s">
        <v>9</v>
      </c>
      <c r="N1" s="70" t="s">
        <v>51</v>
      </c>
      <c r="O1" s="70"/>
      <c r="P1" s="70" t="s">
        <v>5</v>
      </c>
      <c r="Q1" s="101" t="s">
        <v>6</v>
      </c>
    </row>
    <row r="2" spans="1:40" s="90" customFormat="1">
      <c r="A2" s="55" t="s">
        <v>31</v>
      </c>
      <c r="B2" s="49">
        <v>2008</v>
      </c>
      <c r="C2" s="87">
        <v>0.25</v>
      </c>
      <c r="D2" s="87">
        <v>0.5</v>
      </c>
      <c r="E2" s="87">
        <v>0</v>
      </c>
      <c r="F2" s="87">
        <v>0</v>
      </c>
      <c r="G2" s="87">
        <v>0</v>
      </c>
      <c r="H2" s="49" t="s">
        <v>31</v>
      </c>
      <c r="I2" s="3">
        <f t="shared" ref="I2:N2" si="0">IF(D2&gt;0.69,3,IF(D2&lt;0.1,1,2))</f>
        <v>2</v>
      </c>
      <c r="J2" s="3">
        <f t="shared" si="0"/>
        <v>1</v>
      </c>
      <c r="K2" s="3">
        <f t="shared" si="0"/>
        <v>1</v>
      </c>
      <c r="L2" s="3">
        <f t="shared" si="0"/>
        <v>1</v>
      </c>
      <c r="M2" s="3">
        <f t="shared" si="0"/>
        <v>3</v>
      </c>
      <c r="N2" s="3">
        <f t="shared" si="0"/>
        <v>3</v>
      </c>
      <c r="O2" s="3"/>
      <c r="P2" s="88">
        <v>2</v>
      </c>
      <c r="Q2" s="94">
        <f>P2+N2</f>
        <v>5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</row>
    <row r="3" spans="1:40" s="93" customFormat="1">
      <c r="A3" s="56"/>
      <c r="B3" s="51" t="s">
        <v>100</v>
      </c>
      <c r="C3" s="91">
        <v>0.5</v>
      </c>
      <c r="D3" s="91">
        <v>0.66</v>
      </c>
      <c r="E3" s="91">
        <v>0</v>
      </c>
      <c r="F3" s="91">
        <v>0</v>
      </c>
      <c r="G3" s="91">
        <v>0.55000000000000004</v>
      </c>
      <c r="H3" s="51"/>
      <c r="I3" s="9">
        <f t="shared" ref="I3:I25" si="1">IF(D3&gt;0.69,3,IF(D3&lt;0.1,1,2))</f>
        <v>2</v>
      </c>
      <c r="J3" s="9">
        <f t="shared" ref="J3:J25" si="2">IF(E3&gt;0.69,3,IF(E3&lt;0.1,1,2))</f>
        <v>1</v>
      </c>
      <c r="K3" s="9">
        <f t="shared" ref="K3:K25" si="3">IF(F3&gt;0.69,3,IF(F3&lt;0.1,1,2))</f>
        <v>1</v>
      </c>
      <c r="L3" s="9">
        <f t="shared" ref="L3:L25" si="4">IF(G3&gt;0.69,3,IF(G3&lt;0.1,1,2))</f>
        <v>2</v>
      </c>
      <c r="M3" s="9">
        <f t="shared" ref="M3:M25" si="5">IF(H3&gt;0.69,3,IF(H3&lt;0.1,1,2))</f>
        <v>1</v>
      </c>
      <c r="N3" s="9">
        <f t="shared" ref="N3:N25" si="6">IF(I3&gt;0.69,3,IF(I3&lt;0.1,1,2))</f>
        <v>3</v>
      </c>
      <c r="O3" s="9"/>
      <c r="P3" s="92">
        <v>2</v>
      </c>
      <c r="Q3" s="95">
        <f>N3+P3</f>
        <v>5</v>
      </c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</row>
    <row r="4" spans="1:40" s="90" customFormat="1">
      <c r="A4" s="55" t="s">
        <v>32</v>
      </c>
      <c r="B4" s="49">
        <v>2008</v>
      </c>
      <c r="C4" s="87">
        <v>1</v>
      </c>
      <c r="D4" s="87">
        <v>1</v>
      </c>
      <c r="E4" s="87">
        <v>0.2</v>
      </c>
      <c r="F4" s="87">
        <v>0</v>
      </c>
      <c r="G4" s="87">
        <v>0</v>
      </c>
      <c r="H4" s="49" t="s">
        <v>32</v>
      </c>
      <c r="I4" s="3">
        <f t="shared" si="1"/>
        <v>3</v>
      </c>
      <c r="J4" s="3">
        <f t="shared" si="2"/>
        <v>2</v>
      </c>
      <c r="K4" s="3">
        <f t="shared" si="3"/>
        <v>1</v>
      </c>
      <c r="L4" s="3">
        <f t="shared" si="4"/>
        <v>1</v>
      </c>
      <c r="M4" s="3">
        <f t="shared" si="5"/>
        <v>3</v>
      </c>
      <c r="N4" s="3">
        <f t="shared" si="6"/>
        <v>3</v>
      </c>
      <c r="O4" s="3"/>
      <c r="P4" s="88">
        <v>2</v>
      </c>
      <c r="Q4" s="94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</row>
    <row r="5" spans="1:40" s="93" customFormat="1">
      <c r="A5" s="56"/>
      <c r="B5" s="51" t="s">
        <v>100</v>
      </c>
      <c r="C5" s="91">
        <v>0.5</v>
      </c>
      <c r="D5" s="91">
        <v>0.83</v>
      </c>
      <c r="E5" s="91">
        <v>0</v>
      </c>
      <c r="F5" s="91">
        <v>0.16</v>
      </c>
      <c r="G5" s="91">
        <v>0.92</v>
      </c>
      <c r="H5" s="51"/>
      <c r="I5" s="9">
        <f t="shared" si="1"/>
        <v>3</v>
      </c>
      <c r="J5" s="9">
        <f t="shared" si="2"/>
        <v>1</v>
      </c>
      <c r="K5" s="9">
        <f t="shared" si="3"/>
        <v>2</v>
      </c>
      <c r="L5" s="9">
        <f t="shared" si="4"/>
        <v>3</v>
      </c>
      <c r="M5" s="9">
        <f t="shared" si="5"/>
        <v>1</v>
      </c>
      <c r="N5" s="9">
        <f t="shared" si="6"/>
        <v>3</v>
      </c>
      <c r="O5" s="9"/>
      <c r="P5" s="92">
        <v>2</v>
      </c>
      <c r="Q5" s="95">
        <v>4</v>
      </c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</row>
    <row r="6" spans="1:40" s="90" customFormat="1">
      <c r="A6" s="55" t="s">
        <v>33</v>
      </c>
      <c r="B6" s="49">
        <v>2008</v>
      </c>
      <c r="C6" s="87">
        <v>0.75</v>
      </c>
      <c r="D6" s="87">
        <v>1</v>
      </c>
      <c r="E6" s="87">
        <v>0.6</v>
      </c>
      <c r="F6" s="87">
        <v>0</v>
      </c>
      <c r="G6" s="87">
        <v>1</v>
      </c>
      <c r="H6" s="49" t="s">
        <v>33</v>
      </c>
      <c r="I6" s="3">
        <f t="shared" si="1"/>
        <v>3</v>
      </c>
      <c r="J6" s="3">
        <f t="shared" si="2"/>
        <v>2</v>
      </c>
      <c r="K6" s="3">
        <f t="shared" si="3"/>
        <v>1</v>
      </c>
      <c r="L6" s="3">
        <f t="shared" si="4"/>
        <v>3</v>
      </c>
      <c r="M6" s="3">
        <f t="shared" si="5"/>
        <v>3</v>
      </c>
      <c r="N6" s="3">
        <f t="shared" si="6"/>
        <v>3</v>
      </c>
      <c r="O6" s="3"/>
      <c r="P6" s="88">
        <v>2</v>
      </c>
      <c r="Q6" s="94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</row>
    <row r="7" spans="1:40" s="93" customFormat="1">
      <c r="A7" s="56"/>
      <c r="B7" s="51" t="s">
        <v>100</v>
      </c>
      <c r="C7" s="91">
        <v>0.5</v>
      </c>
      <c r="D7" s="91">
        <v>0.7</v>
      </c>
      <c r="E7" s="91">
        <v>0</v>
      </c>
      <c r="F7" s="91">
        <v>0.16</v>
      </c>
      <c r="G7" s="91">
        <v>0.92</v>
      </c>
      <c r="H7" s="51"/>
      <c r="I7" s="9">
        <f t="shared" si="1"/>
        <v>3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9">
        <f t="shared" si="5"/>
        <v>1</v>
      </c>
      <c r="N7" s="9">
        <f t="shared" si="6"/>
        <v>3</v>
      </c>
      <c r="O7" s="9"/>
      <c r="P7" s="92">
        <v>2</v>
      </c>
      <c r="Q7" s="95">
        <v>4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</row>
    <row r="8" spans="1:40" s="90" customFormat="1">
      <c r="A8" s="55" t="s">
        <v>34</v>
      </c>
      <c r="B8" s="49">
        <v>2008</v>
      </c>
      <c r="C8" s="87">
        <v>0.5</v>
      </c>
      <c r="D8" s="87">
        <v>0.5</v>
      </c>
      <c r="E8" s="87">
        <v>0.2</v>
      </c>
      <c r="F8" s="87">
        <v>0</v>
      </c>
      <c r="G8" s="87">
        <v>1</v>
      </c>
      <c r="H8" s="49" t="s">
        <v>34</v>
      </c>
      <c r="I8" s="3">
        <f t="shared" si="1"/>
        <v>2</v>
      </c>
      <c r="J8" s="3">
        <f t="shared" si="2"/>
        <v>2</v>
      </c>
      <c r="K8" s="3">
        <f t="shared" si="3"/>
        <v>1</v>
      </c>
      <c r="L8" s="3">
        <f t="shared" si="4"/>
        <v>3</v>
      </c>
      <c r="M8" s="3">
        <f t="shared" si="5"/>
        <v>3</v>
      </c>
      <c r="N8" s="3">
        <f t="shared" si="6"/>
        <v>3</v>
      </c>
      <c r="O8" s="3"/>
      <c r="P8" s="88">
        <v>1</v>
      </c>
      <c r="Q8" s="94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</row>
    <row r="9" spans="1:40" s="93" customFormat="1">
      <c r="A9" s="56"/>
      <c r="B9" s="51" t="s">
        <v>100</v>
      </c>
      <c r="C9" s="91">
        <v>1</v>
      </c>
      <c r="D9" s="91">
        <v>1</v>
      </c>
      <c r="E9" s="91">
        <v>0.75</v>
      </c>
      <c r="F9" s="91">
        <v>0.13</v>
      </c>
      <c r="G9" s="91">
        <v>0.91</v>
      </c>
      <c r="H9" s="51"/>
      <c r="I9" s="9">
        <f t="shared" si="1"/>
        <v>3</v>
      </c>
      <c r="J9" s="9">
        <f t="shared" si="2"/>
        <v>3</v>
      </c>
      <c r="K9" s="9">
        <f t="shared" si="3"/>
        <v>2</v>
      </c>
      <c r="L9" s="9">
        <f t="shared" si="4"/>
        <v>3</v>
      </c>
      <c r="M9" s="9">
        <f t="shared" si="5"/>
        <v>1</v>
      </c>
      <c r="N9" s="9">
        <f t="shared" si="6"/>
        <v>3</v>
      </c>
      <c r="O9" s="9"/>
      <c r="P9" s="92">
        <v>2</v>
      </c>
      <c r="Q9" s="95">
        <v>3.2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</row>
    <row r="10" spans="1:40" s="90" customFormat="1">
      <c r="A10" s="55" t="s">
        <v>35</v>
      </c>
      <c r="B10" s="49">
        <v>2008</v>
      </c>
      <c r="C10" s="87">
        <v>1</v>
      </c>
      <c r="D10" s="87">
        <v>1</v>
      </c>
      <c r="E10" s="87">
        <v>0.2</v>
      </c>
      <c r="F10" s="87">
        <v>0.2</v>
      </c>
      <c r="G10" s="87">
        <v>0.5</v>
      </c>
      <c r="H10" s="49" t="s">
        <v>35</v>
      </c>
      <c r="I10" s="3">
        <f t="shared" si="1"/>
        <v>3</v>
      </c>
      <c r="J10" s="3">
        <f t="shared" si="2"/>
        <v>2</v>
      </c>
      <c r="K10" s="3">
        <f t="shared" si="3"/>
        <v>2</v>
      </c>
      <c r="L10" s="3">
        <f t="shared" si="4"/>
        <v>2</v>
      </c>
      <c r="M10" s="3">
        <f t="shared" si="5"/>
        <v>3</v>
      </c>
      <c r="N10" s="3">
        <f t="shared" si="6"/>
        <v>3</v>
      </c>
      <c r="O10" s="3"/>
      <c r="P10" s="88">
        <v>2</v>
      </c>
      <c r="Q10" s="94" t="s">
        <v>101</v>
      </c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</row>
    <row r="11" spans="1:40" s="93" customFormat="1">
      <c r="A11" s="56"/>
      <c r="B11" s="51" t="s">
        <v>100</v>
      </c>
      <c r="C11" s="91">
        <v>0.75</v>
      </c>
      <c r="D11" s="91">
        <v>0.86</v>
      </c>
      <c r="E11" s="91">
        <v>0.56000000000000005</v>
      </c>
      <c r="F11" s="91">
        <v>0.14000000000000001</v>
      </c>
      <c r="G11" s="91">
        <v>0.89</v>
      </c>
      <c r="H11" s="51"/>
      <c r="I11" s="9">
        <f t="shared" si="1"/>
        <v>3</v>
      </c>
      <c r="J11" s="9">
        <f t="shared" si="2"/>
        <v>2</v>
      </c>
      <c r="K11" s="9">
        <f t="shared" si="3"/>
        <v>2</v>
      </c>
      <c r="L11" s="9">
        <f t="shared" si="4"/>
        <v>3</v>
      </c>
      <c r="M11" s="9">
        <f t="shared" si="5"/>
        <v>1</v>
      </c>
      <c r="N11" s="9">
        <f t="shared" si="6"/>
        <v>3</v>
      </c>
      <c r="O11" s="9"/>
      <c r="P11" s="92">
        <v>2</v>
      </c>
      <c r="Q11" s="95">
        <v>4</v>
      </c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</row>
    <row r="12" spans="1:40" s="90" customFormat="1">
      <c r="A12" s="55" t="s">
        <v>36</v>
      </c>
      <c r="B12" s="49">
        <v>2008</v>
      </c>
      <c r="C12" s="87">
        <v>0</v>
      </c>
      <c r="D12" s="87">
        <v>0</v>
      </c>
      <c r="E12" s="87">
        <v>0</v>
      </c>
      <c r="F12" s="87">
        <v>0</v>
      </c>
      <c r="G12" s="87">
        <v>1</v>
      </c>
      <c r="H12" s="49" t="s">
        <v>36</v>
      </c>
      <c r="I12" s="3">
        <f t="shared" si="1"/>
        <v>1</v>
      </c>
      <c r="J12" s="3">
        <f t="shared" si="2"/>
        <v>1</v>
      </c>
      <c r="K12" s="3">
        <f t="shared" si="3"/>
        <v>1</v>
      </c>
      <c r="L12" s="3">
        <f t="shared" si="4"/>
        <v>3</v>
      </c>
      <c r="M12" s="3">
        <f t="shared" si="5"/>
        <v>3</v>
      </c>
      <c r="N12" s="3">
        <f t="shared" si="6"/>
        <v>3</v>
      </c>
      <c r="O12" s="3"/>
      <c r="P12" s="88">
        <f>P13</f>
        <v>2.5</v>
      </c>
      <c r="Q12" s="94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</row>
    <row r="13" spans="1:40" s="93" customFormat="1">
      <c r="A13" s="56"/>
      <c r="B13" s="51" t="s">
        <v>100</v>
      </c>
      <c r="C13" s="91">
        <v>1</v>
      </c>
      <c r="D13" s="91">
        <v>0.83</v>
      </c>
      <c r="E13" s="91">
        <v>0</v>
      </c>
      <c r="F13" s="91">
        <v>0</v>
      </c>
      <c r="G13" s="91">
        <v>1</v>
      </c>
      <c r="H13" s="51"/>
      <c r="I13" s="9">
        <f t="shared" si="1"/>
        <v>3</v>
      </c>
      <c r="J13" s="9">
        <f t="shared" si="2"/>
        <v>1</v>
      </c>
      <c r="K13" s="9">
        <f t="shared" si="3"/>
        <v>1</v>
      </c>
      <c r="L13" s="9">
        <f t="shared" si="4"/>
        <v>3</v>
      </c>
      <c r="M13" s="9">
        <f t="shared" si="5"/>
        <v>1</v>
      </c>
      <c r="N13" s="9">
        <f t="shared" si="6"/>
        <v>3</v>
      </c>
      <c r="O13" s="9"/>
      <c r="P13" s="92">
        <v>2.5</v>
      </c>
      <c r="Q13" s="95">
        <v>4.4000000000000004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</row>
    <row r="14" spans="1:40" s="90" customFormat="1">
      <c r="A14" s="55" t="s">
        <v>37</v>
      </c>
      <c r="B14" s="49">
        <v>2008</v>
      </c>
      <c r="C14" s="87">
        <v>1</v>
      </c>
      <c r="D14" s="87">
        <v>1</v>
      </c>
      <c r="E14" s="87">
        <v>1</v>
      </c>
      <c r="F14" s="87">
        <v>1</v>
      </c>
      <c r="G14" s="87" t="s">
        <v>50</v>
      </c>
      <c r="H14" s="49" t="s">
        <v>37</v>
      </c>
      <c r="I14" s="3">
        <f t="shared" si="1"/>
        <v>3</v>
      </c>
      <c r="J14" s="3">
        <f t="shared" si="2"/>
        <v>3</v>
      </c>
      <c r="K14" s="3">
        <f t="shared" si="3"/>
        <v>3</v>
      </c>
      <c r="L14" s="3">
        <f t="shared" si="4"/>
        <v>3</v>
      </c>
      <c r="M14" s="3">
        <f t="shared" si="5"/>
        <v>3</v>
      </c>
      <c r="N14" s="3">
        <f t="shared" si="6"/>
        <v>3</v>
      </c>
      <c r="O14" s="3"/>
      <c r="P14" s="88">
        <v>2</v>
      </c>
      <c r="Q14" s="94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</row>
    <row r="15" spans="1:40" s="93" customFormat="1">
      <c r="A15" s="56"/>
      <c r="B15" s="51" t="s">
        <v>100</v>
      </c>
      <c r="C15" s="91">
        <v>1</v>
      </c>
      <c r="D15" s="91">
        <v>0.8</v>
      </c>
      <c r="E15" s="91">
        <v>0.71</v>
      </c>
      <c r="F15" s="91">
        <v>0.6</v>
      </c>
      <c r="G15" s="91">
        <v>0.84</v>
      </c>
      <c r="H15" s="51"/>
      <c r="I15" s="9">
        <f t="shared" si="1"/>
        <v>3</v>
      </c>
      <c r="J15" s="9">
        <f t="shared" si="2"/>
        <v>3</v>
      </c>
      <c r="K15" s="9">
        <f t="shared" si="3"/>
        <v>2</v>
      </c>
      <c r="L15" s="9">
        <f t="shared" si="4"/>
        <v>3</v>
      </c>
      <c r="M15" s="9">
        <f t="shared" si="5"/>
        <v>1</v>
      </c>
      <c r="N15" s="9">
        <f t="shared" si="6"/>
        <v>3</v>
      </c>
      <c r="O15" s="9"/>
      <c r="P15" s="92">
        <v>3</v>
      </c>
      <c r="Q15" s="95">
        <v>5.5</v>
      </c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</row>
    <row r="16" spans="1:40" s="93" customFormat="1">
      <c r="A16" s="55" t="s">
        <v>38</v>
      </c>
      <c r="B16" s="49">
        <v>2008</v>
      </c>
      <c r="C16" s="87">
        <v>0</v>
      </c>
      <c r="D16" s="87">
        <v>0.25</v>
      </c>
      <c r="E16" s="87">
        <v>0.2</v>
      </c>
      <c r="F16" s="87">
        <v>0</v>
      </c>
      <c r="G16" s="87">
        <v>0.75</v>
      </c>
      <c r="H16" s="49" t="s">
        <v>38</v>
      </c>
      <c r="I16" s="3">
        <f t="shared" si="1"/>
        <v>2</v>
      </c>
      <c r="J16" s="3">
        <f t="shared" si="2"/>
        <v>2</v>
      </c>
      <c r="K16" s="3">
        <f t="shared" si="3"/>
        <v>1</v>
      </c>
      <c r="L16" s="3">
        <f t="shared" si="4"/>
        <v>3</v>
      </c>
      <c r="M16" s="3">
        <f t="shared" si="5"/>
        <v>3</v>
      </c>
      <c r="N16" s="3">
        <f t="shared" si="6"/>
        <v>3</v>
      </c>
      <c r="O16" s="3"/>
      <c r="P16" s="88">
        <v>2</v>
      </c>
      <c r="Q16" s="9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1:17" s="86" customFormat="1">
      <c r="A17" s="59"/>
      <c r="B17" s="71">
        <v>2010</v>
      </c>
      <c r="C17" s="72">
        <v>0.25</v>
      </c>
      <c r="D17" s="72">
        <v>0.25</v>
      </c>
      <c r="E17" s="72">
        <v>0</v>
      </c>
      <c r="F17" s="72">
        <v>0</v>
      </c>
      <c r="G17" s="72">
        <v>0.8</v>
      </c>
      <c r="H17" s="71"/>
      <c r="I17" s="5">
        <f t="shared" si="1"/>
        <v>2</v>
      </c>
      <c r="J17" s="5">
        <f t="shared" si="2"/>
        <v>1</v>
      </c>
      <c r="K17" s="5">
        <f t="shared" si="3"/>
        <v>1</v>
      </c>
      <c r="L17" s="5">
        <f t="shared" si="4"/>
        <v>3</v>
      </c>
      <c r="M17" s="5">
        <f t="shared" si="5"/>
        <v>1</v>
      </c>
      <c r="N17" s="5">
        <f t="shared" si="6"/>
        <v>3</v>
      </c>
      <c r="O17" s="5"/>
      <c r="P17" s="85">
        <v>2</v>
      </c>
      <c r="Q17" s="97"/>
    </row>
    <row r="18" spans="1:17" s="86" customFormat="1">
      <c r="A18" s="56"/>
      <c r="B18" s="51" t="s">
        <v>100</v>
      </c>
      <c r="C18" s="91" t="s">
        <v>50</v>
      </c>
      <c r="D18" s="91" t="s">
        <v>50</v>
      </c>
      <c r="E18" s="91">
        <v>0.5</v>
      </c>
      <c r="F18" s="91">
        <v>0</v>
      </c>
      <c r="G18" s="91">
        <v>1</v>
      </c>
      <c r="H18" s="51"/>
      <c r="I18" s="9">
        <f t="shared" si="1"/>
        <v>3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9">
        <f t="shared" si="5"/>
        <v>1</v>
      </c>
      <c r="N18" s="9">
        <f t="shared" si="6"/>
        <v>3</v>
      </c>
      <c r="O18" s="9"/>
      <c r="P18" s="92" t="s">
        <v>50</v>
      </c>
      <c r="Q18" s="98"/>
    </row>
    <row r="19" spans="1:17" s="86" customFormat="1">
      <c r="A19" s="55" t="s">
        <v>39</v>
      </c>
      <c r="B19" s="49">
        <v>2008</v>
      </c>
      <c r="C19" s="87">
        <v>0.33</v>
      </c>
      <c r="D19" s="87">
        <v>0.6</v>
      </c>
      <c r="E19" s="87">
        <v>0.2</v>
      </c>
      <c r="F19" s="87">
        <v>0</v>
      </c>
      <c r="G19" s="87">
        <v>0.33</v>
      </c>
      <c r="H19" s="49" t="s">
        <v>39</v>
      </c>
      <c r="I19" s="3">
        <f t="shared" si="1"/>
        <v>2</v>
      </c>
      <c r="J19" s="3">
        <f t="shared" si="2"/>
        <v>2</v>
      </c>
      <c r="K19" s="3">
        <f t="shared" si="3"/>
        <v>1</v>
      </c>
      <c r="L19" s="3">
        <f t="shared" si="4"/>
        <v>2</v>
      </c>
      <c r="M19" s="3">
        <f t="shared" si="5"/>
        <v>3</v>
      </c>
      <c r="N19" s="3">
        <f t="shared" si="6"/>
        <v>3</v>
      </c>
      <c r="O19" s="3"/>
      <c r="P19" s="89" t="s">
        <v>50</v>
      </c>
      <c r="Q19" s="94"/>
    </row>
    <row r="20" spans="1:17" s="86" customFormat="1">
      <c r="A20" s="59"/>
      <c r="B20" s="71">
        <v>2010</v>
      </c>
      <c r="C20" s="72">
        <v>0.4</v>
      </c>
      <c r="D20" s="72">
        <v>0.6</v>
      </c>
      <c r="E20" s="72">
        <v>0</v>
      </c>
      <c r="F20" s="72">
        <v>0</v>
      </c>
      <c r="G20" s="72">
        <v>1</v>
      </c>
      <c r="H20" s="71"/>
      <c r="I20" s="5">
        <f t="shared" si="1"/>
        <v>2</v>
      </c>
      <c r="J20" s="5">
        <f t="shared" si="2"/>
        <v>1</v>
      </c>
      <c r="K20" s="5">
        <f t="shared" si="3"/>
        <v>1</v>
      </c>
      <c r="L20" s="5">
        <f t="shared" si="4"/>
        <v>3</v>
      </c>
      <c r="M20" s="5">
        <f t="shared" si="5"/>
        <v>1</v>
      </c>
      <c r="N20" s="5">
        <f t="shared" si="6"/>
        <v>3</v>
      </c>
      <c r="O20" s="5"/>
      <c r="P20" s="85">
        <v>2</v>
      </c>
      <c r="Q20" s="97"/>
    </row>
    <row r="21" spans="1:17" s="86" customFormat="1">
      <c r="A21" s="56"/>
      <c r="B21" s="51" t="s">
        <v>100</v>
      </c>
      <c r="C21" s="91">
        <v>0.5</v>
      </c>
      <c r="D21" s="91">
        <v>0.67</v>
      </c>
      <c r="E21" s="91">
        <v>0</v>
      </c>
      <c r="F21" s="91">
        <v>0</v>
      </c>
      <c r="G21" s="91">
        <v>0.82</v>
      </c>
      <c r="H21" s="51"/>
      <c r="I21" s="9">
        <f t="shared" si="1"/>
        <v>2</v>
      </c>
      <c r="J21" s="9">
        <f t="shared" si="2"/>
        <v>1</v>
      </c>
      <c r="K21" s="9">
        <f t="shared" si="3"/>
        <v>1</v>
      </c>
      <c r="L21" s="9">
        <f t="shared" si="4"/>
        <v>3</v>
      </c>
      <c r="M21" s="9">
        <f t="shared" si="5"/>
        <v>1</v>
      </c>
      <c r="N21" s="9">
        <f t="shared" si="6"/>
        <v>3</v>
      </c>
      <c r="O21" s="9"/>
      <c r="P21" s="92">
        <v>2</v>
      </c>
      <c r="Q21" s="95">
        <v>4</v>
      </c>
    </row>
    <row r="22" spans="1:17" s="86" customFormat="1">
      <c r="A22" s="55" t="s">
        <v>40</v>
      </c>
      <c r="B22" s="49">
        <v>2008</v>
      </c>
      <c r="C22" s="99">
        <v>0.5</v>
      </c>
      <c r="D22" s="99">
        <v>1</v>
      </c>
      <c r="E22" s="99">
        <v>0</v>
      </c>
      <c r="F22" s="99">
        <v>0</v>
      </c>
      <c r="G22" s="99">
        <v>0.66</v>
      </c>
      <c r="H22" s="49" t="s">
        <v>40</v>
      </c>
      <c r="I22" s="3">
        <f t="shared" si="1"/>
        <v>3</v>
      </c>
      <c r="J22" s="3">
        <f t="shared" si="2"/>
        <v>1</v>
      </c>
      <c r="K22" s="3">
        <f t="shared" si="3"/>
        <v>1</v>
      </c>
      <c r="L22" s="3">
        <f t="shared" si="4"/>
        <v>2</v>
      </c>
      <c r="M22" s="3">
        <f t="shared" si="5"/>
        <v>3</v>
      </c>
      <c r="N22" s="3">
        <f t="shared" si="6"/>
        <v>3</v>
      </c>
      <c r="O22" s="3"/>
      <c r="P22" s="88">
        <v>2</v>
      </c>
      <c r="Q22" s="96"/>
    </row>
    <row r="23" spans="1:17" s="86" customFormat="1">
      <c r="A23" s="56"/>
      <c r="B23" s="51" t="s">
        <v>100</v>
      </c>
      <c r="C23" s="91">
        <v>0.66</v>
      </c>
      <c r="D23" s="91">
        <v>0.83</v>
      </c>
      <c r="E23" s="91">
        <v>0.63</v>
      </c>
      <c r="F23" s="91">
        <v>0.16</v>
      </c>
      <c r="G23" s="91">
        <v>0.75</v>
      </c>
      <c r="H23" s="51"/>
      <c r="I23" s="9">
        <f t="shared" si="1"/>
        <v>3</v>
      </c>
      <c r="J23" s="9">
        <f t="shared" si="2"/>
        <v>2</v>
      </c>
      <c r="K23" s="9">
        <f t="shared" si="3"/>
        <v>2</v>
      </c>
      <c r="L23" s="9">
        <f t="shared" si="4"/>
        <v>3</v>
      </c>
      <c r="M23" s="9">
        <f t="shared" si="5"/>
        <v>1</v>
      </c>
      <c r="N23" s="9">
        <f t="shared" si="6"/>
        <v>3</v>
      </c>
      <c r="O23" s="9"/>
      <c r="P23" s="92">
        <v>2</v>
      </c>
      <c r="Q23" s="95">
        <v>4</v>
      </c>
    </row>
    <row r="24" spans="1:17" s="86" customFormat="1">
      <c r="A24" s="55" t="s">
        <v>41</v>
      </c>
      <c r="B24" s="49">
        <v>2008</v>
      </c>
      <c r="C24" s="99">
        <f>C25</f>
        <v>1</v>
      </c>
      <c r="D24" s="99">
        <f>D25</f>
        <v>0.66</v>
      </c>
      <c r="E24" s="99">
        <f>E25</f>
        <v>0.43</v>
      </c>
      <c r="F24" s="99">
        <f>F25</f>
        <v>0.66</v>
      </c>
      <c r="G24" s="99">
        <f>G25</f>
        <v>1</v>
      </c>
      <c r="H24" s="49" t="s">
        <v>41</v>
      </c>
      <c r="I24" s="3">
        <f t="shared" si="1"/>
        <v>2</v>
      </c>
      <c r="J24" s="3">
        <f t="shared" si="2"/>
        <v>2</v>
      </c>
      <c r="K24" s="3">
        <f t="shared" si="3"/>
        <v>2</v>
      </c>
      <c r="L24" s="3">
        <f t="shared" si="4"/>
        <v>3</v>
      </c>
      <c r="M24" s="3">
        <f t="shared" si="5"/>
        <v>3</v>
      </c>
      <c r="N24" s="3">
        <f t="shared" si="6"/>
        <v>3</v>
      </c>
      <c r="O24" s="3"/>
      <c r="P24" s="89" t="str">
        <f>P25</f>
        <v>No Data</v>
      </c>
      <c r="Q24" s="100"/>
    </row>
    <row r="25" spans="1:17" s="86" customFormat="1">
      <c r="A25" s="56"/>
      <c r="B25" s="51" t="s">
        <v>100</v>
      </c>
      <c r="C25" s="91">
        <v>1</v>
      </c>
      <c r="D25" s="91">
        <v>0.66</v>
      </c>
      <c r="E25" s="91">
        <v>0.43</v>
      </c>
      <c r="F25" s="91">
        <v>0.66</v>
      </c>
      <c r="G25" s="91">
        <v>1</v>
      </c>
      <c r="H25" s="51"/>
      <c r="I25" s="9">
        <f t="shared" si="1"/>
        <v>2</v>
      </c>
      <c r="J25" s="9">
        <f t="shared" si="2"/>
        <v>2</v>
      </c>
      <c r="K25" s="9">
        <f t="shared" si="3"/>
        <v>2</v>
      </c>
      <c r="L25" s="9">
        <f t="shared" si="4"/>
        <v>3</v>
      </c>
      <c r="M25" s="9">
        <f t="shared" si="5"/>
        <v>1</v>
      </c>
      <c r="N25" s="9">
        <f t="shared" si="6"/>
        <v>3</v>
      </c>
      <c r="O25" s="9"/>
      <c r="P25" s="92" t="s">
        <v>50</v>
      </c>
      <c r="Q25" s="98" t="s">
        <v>50</v>
      </c>
    </row>
    <row r="29" spans="1:17" ht="33">
      <c r="A29" s="2"/>
      <c r="B29" s="50" t="s">
        <v>1</v>
      </c>
      <c r="C29" s="70" t="s">
        <v>2</v>
      </c>
      <c r="D29" s="50" t="s">
        <v>3</v>
      </c>
      <c r="E29" s="50" t="s">
        <v>4</v>
      </c>
      <c r="F29" s="50" t="s">
        <v>8</v>
      </c>
      <c r="G29" s="50" t="s">
        <v>9</v>
      </c>
      <c r="H29" s="50"/>
      <c r="I29" s="70" t="s">
        <v>2</v>
      </c>
      <c r="J29" s="50" t="s">
        <v>3</v>
      </c>
      <c r="K29" s="50" t="s">
        <v>4</v>
      </c>
      <c r="L29" s="50" t="s">
        <v>8</v>
      </c>
      <c r="M29" s="50" t="s">
        <v>9</v>
      </c>
      <c r="N29" s="70" t="s">
        <v>51</v>
      </c>
      <c r="O29" s="70" t="s">
        <v>102</v>
      </c>
      <c r="P29" s="70" t="s">
        <v>5</v>
      </c>
      <c r="Q29" s="101" t="s">
        <v>6</v>
      </c>
    </row>
    <row r="30" spans="1:17">
      <c r="A30" s="55" t="s">
        <v>31</v>
      </c>
      <c r="B30" s="49">
        <v>2008</v>
      </c>
      <c r="C30" s="87">
        <v>0.25</v>
      </c>
      <c r="D30" s="87">
        <v>0.5</v>
      </c>
      <c r="E30" s="87">
        <v>0</v>
      </c>
      <c r="F30" s="87">
        <v>0</v>
      </c>
      <c r="G30" s="87">
        <v>0</v>
      </c>
      <c r="H30" s="49" t="s">
        <v>31</v>
      </c>
      <c r="I30" s="3">
        <f>IF(D30&gt;0.69,3,IF(D30&lt;0.1,1,2))</f>
        <v>2</v>
      </c>
      <c r="J30" s="3">
        <f t="shared" ref="J30:J53" si="7">IF(E30&gt;0.69,3,IF(E30&lt;0.1,1,2))</f>
        <v>1</v>
      </c>
      <c r="K30" s="3">
        <f t="shared" ref="K30:K53" si="8">IF(F30&gt;0.69,3,IF(F30&lt;0.1,1,2))</f>
        <v>1</v>
      </c>
      <c r="L30" s="3">
        <f t="shared" ref="L30:L53" si="9">IF(G30&gt;0.69,3,IF(G30&lt;0.1,1,2))</f>
        <v>1</v>
      </c>
      <c r="M30" s="3">
        <f t="shared" ref="M30:M53" si="10">IF(H30&gt;0.69,3,IF(H30&lt;0.1,1,2))</f>
        <v>3</v>
      </c>
      <c r="N30" s="3">
        <f t="shared" ref="N30:N53" si="11">IF(I30&gt;0.69,3,IF(I30&lt;0.1,1,2))</f>
        <v>3</v>
      </c>
      <c r="O30" s="3">
        <v>13</v>
      </c>
      <c r="P30" s="102">
        <v>2</v>
      </c>
      <c r="Q30" s="103">
        <f>P30+N30</f>
        <v>5</v>
      </c>
    </row>
    <row r="31" spans="1:17">
      <c r="A31" s="56"/>
      <c r="B31" s="51" t="s">
        <v>100</v>
      </c>
      <c r="C31" s="91">
        <v>0.5</v>
      </c>
      <c r="D31" s="91">
        <v>0.66</v>
      </c>
      <c r="E31" s="91">
        <v>0</v>
      </c>
      <c r="F31" s="91">
        <v>0</v>
      </c>
      <c r="G31" s="91">
        <v>0.55000000000000004</v>
      </c>
      <c r="H31" s="51"/>
      <c r="I31" s="9">
        <f t="shared" ref="I31:I53" si="12">IF(D31&gt;0.69,3,IF(D31&lt;0.1,1,2))</f>
        <v>2</v>
      </c>
      <c r="J31" s="9">
        <f t="shared" si="7"/>
        <v>1</v>
      </c>
      <c r="K31" s="9">
        <f t="shared" si="8"/>
        <v>1</v>
      </c>
      <c r="L31" s="9">
        <f t="shared" si="9"/>
        <v>2</v>
      </c>
      <c r="M31" s="9">
        <f t="shared" si="10"/>
        <v>1</v>
      </c>
      <c r="N31" s="9">
        <f t="shared" si="11"/>
        <v>3</v>
      </c>
      <c r="O31" s="9">
        <v>13</v>
      </c>
      <c r="P31" s="104">
        <v>2</v>
      </c>
      <c r="Q31" s="105">
        <f>N31+P31</f>
        <v>5</v>
      </c>
    </row>
    <row r="32" spans="1:17">
      <c r="A32" s="55" t="s">
        <v>32</v>
      </c>
      <c r="B32" s="49">
        <v>2008</v>
      </c>
      <c r="C32" s="87">
        <v>1</v>
      </c>
      <c r="D32" s="87">
        <v>1</v>
      </c>
      <c r="E32" s="87">
        <v>0.2</v>
      </c>
      <c r="F32" s="87">
        <v>0</v>
      </c>
      <c r="G32" s="87">
        <v>0</v>
      </c>
      <c r="H32" s="49" t="s">
        <v>32</v>
      </c>
      <c r="I32" s="3">
        <f t="shared" si="12"/>
        <v>3</v>
      </c>
      <c r="J32" s="3">
        <f t="shared" si="7"/>
        <v>2</v>
      </c>
      <c r="K32" s="3">
        <f t="shared" si="8"/>
        <v>1</v>
      </c>
      <c r="L32" s="3">
        <f t="shared" si="9"/>
        <v>1</v>
      </c>
      <c r="M32" s="3">
        <f t="shared" si="10"/>
        <v>3</v>
      </c>
      <c r="N32" s="3">
        <f t="shared" si="11"/>
        <v>3</v>
      </c>
      <c r="O32" s="3">
        <v>24</v>
      </c>
      <c r="P32" s="102">
        <v>2</v>
      </c>
      <c r="Q32" s="103">
        <f>P32+N32</f>
        <v>5</v>
      </c>
    </row>
    <row r="33" spans="1:17">
      <c r="A33" s="56"/>
      <c r="B33" s="51" t="s">
        <v>100</v>
      </c>
      <c r="C33" s="91">
        <v>0.5</v>
      </c>
      <c r="D33" s="91">
        <v>0.83</v>
      </c>
      <c r="E33" s="91">
        <v>0</v>
      </c>
      <c r="F33" s="91">
        <v>0.16</v>
      </c>
      <c r="G33" s="91">
        <v>0.92</v>
      </c>
      <c r="H33" s="51"/>
      <c r="I33" s="9">
        <f t="shared" si="12"/>
        <v>3</v>
      </c>
      <c r="J33" s="9">
        <f t="shared" si="7"/>
        <v>1</v>
      </c>
      <c r="K33" s="9">
        <f t="shared" si="8"/>
        <v>2</v>
      </c>
      <c r="L33" s="9">
        <f t="shared" si="9"/>
        <v>3</v>
      </c>
      <c r="M33" s="9">
        <f t="shared" si="10"/>
        <v>1</v>
      </c>
      <c r="N33" s="9">
        <f t="shared" si="11"/>
        <v>3</v>
      </c>
      <c r="O33" s="9">
        <v>5</v>
      </c>
      <c r="P33" s="104">
        <v>2</v>
      </c>
      <c r="Q33" s="105">
        <f>N33+P33</f>
        <v>5</v>
      </c>
    </row>
    <row r="34" spans="1:17">
      <c r="A34" s="55" t="s">
        <v>33</v>
      </c>
      <c r="B34" s="49">
        <v>2008</v>
      </c>
      <c r="C34" s="87">
        <v>0.75</v>
      </c>
      <c r="D34" s="87">
        <v>1</v>
      </c>
      <c r="E34" s="87">
        <v>0.6</v>
      </c>
      <c r="F34" s="87">
        <v>0</v>
      </c>
      <c r="G34" s="87">
        <v>1</v>
      </c>
      <c r="H34" s="49" t="s">
        <v>33</v>
      </c>
      <c r="I34" s="3">
        <f t="shared" si="12"/>
        <v>3</v>
      </c>
      <c r="J34" s="3">
        <f t="shared" si="7"/>
        <v>2</v>
      </c>
      <c r="K34" s="3">
        <f t="shared" si="8"/>
        <v>1</v>
      </c>
      <c r="L34" s="3">
        <f t="shared" si="9"/>
        <v>3</v>
      </c>
      <c r="M34" s="3">
        <f t="shared" si="10"/>
        <v>3</v>
      </c>
      <c r="N34" s="3">
        <f t="shared" si="11"/>
        <v>3</v>
      </c>
      <c r="O34" s="3">
        <v>30</v>
      </c>
      <c r="P34" s="102">
        <v>2</v>
      </c>
      <c r="Q34" s="103">
        <f>P34+N34</f>
        <v>5</v>
      </c>
    </row>
    <row r="35" spans="1:17">
      <c r="A35" s="56"/>
      <c r="B35" s="51" t="s">
        <v>100</v>
      </c>
      <c r="C35" s="91">
        <v>0.5</v>
      </c>
      <c r="D35" s="91">
        <v>0.7</v>
      </c>
      <c r="E35" s="91">
        <v>0</v>
      </c>
      <c r="F35" s="91">
        <v>0.16</v>
      </c>
      <c r="G35" s="91">
        <v>0.92</v>
      </c>
      <c r="H35" s="51"/>
      <c r="I35" s="9">
        <f t="shared" si="12"/>
        <v>3</v>
      </c>
      <c r="J35" s="9">
        <f t="shared" si="7"/>
        <v>1</v>
      </c>
      <c r="K35" s="9">
        <f t="shared" si="8"/>
        <v>2</v>
      </c>
      <c r="L35" s="9">
        <f t="shared" si="9"/>
        <v>3</v>
      </c>
      <c r="M35" s="9">
        <f t="shared" si="10"/>
        <v>1</v>
      </c>
      <c r="N35" s="9">
        <f t="shared" si="11"/>
        <v>3</v>
      </c>
      <c r="O35" s="9">
        <v>17</v>
      </c>
      <c r="P35" s="104">
        <v>2</v>
      </c>
      <c r="Q35" s="105">
        <f>N35+P35</f>
        <v>5</v>
      </c>
    </row>
    <row r="36" spans="1:17">
      <c r="A36" s="55" t="s">
        <v>34</v>
      </c>
      <c r="B36" s="49">
        <v>2008</v>
      </c>
      <c r="C36" s="87">
        <v>0.5</v>
      </c>
      <c r="D36" s="87">
        <v>0.5</v>
      </c>
      <c r="E36" s="87">
        <v>0.2</v>
      </c>
      <c r="F36" s="87">
        <v>0</v>
      </c>
      <c r="G36" s="87">
        <v>1</v>
      </c>
      <c r="H36" s="49" t="s">
        <v>34</v>
      </c>
      <c r="I36" s="3">
        <f t="shared" si="12"/>
        <v>2</v>
      </c>
      <c r="J36" s="3">
        <f t="shared" si="7"/>
        <v>2</v>
      </c>
      <c r="K36" s="3">
        <f t="shared" si="8"/>
        <v>1</v>
      </c>
      <c r="L36" s="3">
        <f t="shared" si="9"/>
        <v>3</v>
      </c>
      <c r="M36" s="3">
        <f t="shared" si="10"/>
        <v>3</v>
      </c>
      <c r="N36" s="3">
        <f t="shared" si="11"/>
        <v>3</v>
      </c>
      <c r="O36" s="3"/>
      <c r="P36" s="102">
        <v>1</v>
      </c>
      <c r="Q36" s="103">
        <f>P36+N36</f>
        <v>4</v>
      </c>
    </row>
    <row r="37" spans="1:17">
      <c r="A37" s="56"/>
      <c r="B37" s="51" t="s">
        <v>100</v>
      </c>
      <c r="C37" s="91">
        <v>1</v>
      </c>
      <c r="D37" s="91">
        <v>1</v>
      </c>
      <c r="E37" s="91">
        <v>0.75</v>
      </c>
      <c r="F37" s="91">
        <v>0.13</v>
      </c>
      <c r="G37" s="91">
        <v>0.91</v>
      </c>
      <c r="H37" s="51"/>
      <c r="I37" s="9">
        <f t="shared" si="12"/>
        <v>3</v>
      </c>
      <c r="J37" s="9">
        <f t="shared" si="7"/>
        <v>3</v>
      </c>
      <c r="K37" s="9">
        <f t="shared" si="8"/>
        <v>2</v>
      </c>
      <c r="L37" s="9">
        <f t="shared" si="9"/>
        <v>3</v>
      </c>
      <c r="M37" s="9">
        <f t="shared" si="10"/>
        <v>1</v>
      </c>
      <c r="N37" s="9">
        <f t="shared" si="11"/>
        <v>3</v>
      </c>
      <c r="O37" s="9"/>
      <c r="P37" s="104">
        <v>2</v>
      </c>
      <c r="Q37" s="105">
        <f>N37+P37</f>
        <v>5</v>
      </c>
    </row>
    <row r="38" spans="1:17">
      <c r="A38" s="55" t="s">
        <v>35</v>
      </c>
      <c r="B38" s="49">
        <v>2008</v>
      </c>
      <c r="C38" s="87">
        <v>1</v>
      </c>
      <c r="D38" s="87">
        <v>1</v>
      </c>
      <c r="E38" s="87">
        <v>0.2</v>
      </c>
      <c r="F38" s="87">
        <v>0.2</v>
      </c>
      <c r="G38" s="87">
        <v>0.5</v>
      </c>
      <c r="H38" s="49" t="s">
        <v>35</v>
      </c>
      <c r="I38" s="3">
        <f t="shared" si="12"/>
        <v>3</v>
      </c>
      <c r="J38" s="3">
        <f t="shared" si="7"/>
        <v>2</v>
      </c>
      <c r="K38" s="3">
        <f t="shared" si="8"/>
        <v>2</v>
      </c>
      <c r="L38" s="3">
        <f t="shared" si="9"/>
        <v>2</v>
      </c>
      <c r="M38" s="3">
        <f t="shared" si="10"/>
        <v>3</v>
      </c>
      <c r="N38" s="3">
        <f t="shared" si="11"/>
        <v>3</v>
      </c>
      <c r="O38" s="3"/>
      <c r="P38" s="102">
        <v>2</v>
      </c>
      <c r="Q38" s="103">
        <f>P38+N38</f>
        <v>5</v>
      </c>
    </row>
    <row r="39" spans="1:17">
      <c r="A39" s="56"/>
      <c r="B39" s="51" t="s">
        <v>100</v>
      </c>
      <c r="C39" s="91">
        <v>0.75</v>
      </c>
      <c r="D39" s="91">
        <v>0.86</v>
      </c>
      <c r="E39" s="91">
        <v>0.56000000000000005</v>
      </c>
      <c r="F39" s="91">
        <v>0.14000000000000001</v>
      </c>
      <c r="G39" s="91">
        <v>0.89</v>
      </c>
      <c r="H39" s="51"/>
      <c r="I39" s="9">
        <f t="shared" si="12"/>
        <v>3</v>
      </c>
      <c r="J39" s="9">
        <f t="shared" si="7"/>
        <v>2</v>
      </c>
      <c r="K39" s="9">
        <f t="shared" si="8"/>
        <v>2</v>
      </c>
      <c r="L39" s="9">
        <f t="shared" si="9"/>
        <v>3</v>
      </c>
      <c r="M39" s="9">
        <f t="shared" si="10"/>
        <v>1</v>
      </c>
      <c r="N39" s="9">
        <f t="shared" si="11"/>
        <v>3</v>
      </c>
      <c r="O39" s="9"/>
      <c r="P39" s="104">
        <v>2</v>
      </c>
      <c r="Q39" s="105">
        <f>N39+P39</f>
        <v>5</v>
      </c>
    </row>
    <row r="40" spans="1:17">
      <c r="A40" s="55" t="s">
        <v>36</v>
      </c>
      <c r="B40" s="49">
        <v>2008</v>
      </c>
      <c r="C40" s="87">
        <v>0</v>
      </c>
      <c r="D40" s="87">
        <v>0</v>
      </c>
      <c r="E40" s="87">
        <v>0</v>
      </c>
      <c r="F40" s="87">
        <v>0</v>
      </c>
      <c r="G40" s="87">
        <v>1</v>
      </c>
      <c r="H40" s="49" t="s">
        <v>36</v>
      </c>
      <c r="I40" s="3">
        <f t="shared" si="12"/>
        <v>1</v>
      </c>
      <c r="J40" s="3">
        <f t="shared" si="7"/>
        <v>1</v>
      </c>
      <c r="K40" s="3">
        <f t="shared" si="8"/>
        <v>1</v>
      </c>
      <c r="L40" s="3">
        <f t="shared" si="9"/>
        <v>3</v>
      </c>
      <c r="M40" s="3">
        <f t="shared" si="10"/>
        <v>3</v>
      </c>
      <c r="N40" s="3">
        <f t="shared" si="11"/>
        <v>3</v>
      </c>
      <c r="O40" s="3"/>
      <c r="P40" s="102">
        <f>P41</f>
        <v>2.5</v>
      </c>
      <c r="Q40" s="103">
        <f>P40+N40</f>
        <v>5.5</v>
      </c>
    </row>
    <row r="41" spans="1:17">
      <c r="A41" s="56"/>
      <c r="B41" s="51" t="s">
        <v>100</v>
      </c>
      <c r="C41" s="91">
        <v>1</v>
      </c>
      <c r="D41" s="91">
        <v>0.83</v>
      </c>
      <c r="E41" s="91">
        <v>0</v>
      </c>
      <c r="F41" s="91">
        <v>0</v>
      </c>
      <c r="G41" s="91">
        <v>1</v>
      </c>
      <c r="H41" s="51"/>
      <c r="I41" s="9">
        <f t="shared" si="12"/>
        <v>3</v>
      </c>
      <c r="J41" s="9">
        <f t="shared" si="7"/>
        <v>1</v>
      </c>
      <c r="K41" s="9">
        <f t="shared" si="8"/>
        <v>1</v>
      </c>
      <c r="L41" s="9">
        <f t="shared" si="9"/>
        <v>3</v>
      </c>
      <c r="M41" s="9">
        <f t="shared" si="10"/>
        <v>1</v>
      </c>
      <c r="N41" s="9">
        <f t="shared" si="11"/>
        <v>3</v>
      </c>
      <c r="O41" s="9"/>
      <c r="P41" s="104">
        <v>2.5</v>
      </c>
      <c r="Q41" s="105">
        <f>N41+P41</f>
        <v>5.5</v>
      </c>
    </row>
    <row r="42" spans="1:17">
      <c r="A42" s="55" t="s">
        <v>37</v>
      </c>
      <c r="B42" s="49">
        <v>2008</v>
      </c>
      <c r="C42" s="87">
        <v>1</v>
      </c>
      <c r="D42" s="87">
        <v>1</v>
      </c>
      <c r="E42" s="87">
        <v>1</v>
      </c>
      <c r="F42" s="87">
        <v>1</v>
      </c>
      <c r="G42" s="87" t="s">
        <v>50</v>
      </c>
      <c r="H42" s="49" t="s">
        <v>37</v>
      </c>
      <c r="I42" s="3">
        <f t="shared" si="12"/>
        <v>3</v>
      </c>
      <c r="J42" s="3">
        <f t="shared" si="7"/>
        <v>3</v>
      </c>
      <c r="K42" s="3">
        <f t="shared" si="8"/>
        <v>3</v>
      </c>
      <c r="L42" s="3">
        <f t="shared" si="9"/>
        <v>3</v>
      </c>
      <c r="M42" s="3">
        <f t="shared" si="10"/>
        <v>3</v>
      </c>
      <c r="N42" s="3">
        <f t="shared" si="11"/>
        <v>3</v>
      </c>
      <c r="O42" s="3"/>
      <c r="P42" s="102">
        <v>2</v>
      </c>
      <c r="Q42" s="103">
        <f>P42+N42</f>
        <v>5</v>
      </c>
    </row>
    <row r="43" spans="1:17">
      <c r="A43" s="56"/>
      <c r="B43" s="51" t="s">
        <v>100</v>
      </c>
      <c r="C43" s="91">
        <v>1</v>
      </c>
      <c r="D43" s="91">
        <v>0.8</v>
      </c>
      <c r="E43" s="91">
        <v>0.71</v>
      </c>
      <c r="F43" s="91">
        <v>0.6</v>
      </c>
      <c r="G43" s="91">
        <v>0.84</v>
      </c>
      <c r="H43" s="51"/>
      <c r="I43" s="9">
        <f t="shared" si="12"/>
        <v>3</v>
      </c>
      <c r="J43" s="9">
        <f t="shared" si="7"/>
        <v>3</v>
      </c>
      <c r="K43" s="9">
        <f t="shared" si="8"/>
        <v>2</v>
      </c>
      <c r="L43" s="9">
        <f t="shared" si="9"/>
        <v>3</v>
      </c>
      <c r="M43" s="9">
        <f t="shared" si="10"/>
        <v>1</v>
      </c>
      <c r="N43" s="9">
        <f t="shared" si="11"/>
        <v>3</v>
      </c>
      <c r="O43" s="9"/>
      <c r="P43" s="104">
        <v>3</v>
      </c>
      <c r="Q43" s="105">
        <f>N43+P43</f>
        <v>6</v>
      </c>
    </row>
    <row r="44" spans="1:17">
      <c r="A44" s="55"/>
      <c r="B44" s="49">
        <v>2008</v>
      </c>
      <c r="C44" s="87">
        <v>0</v>
      </c>
      <c r="D44" s="87">
        <v>0.25</v>
      </c>
      <c r="E44" s="87">
        <v>0.2</v>
      </c>
      <c r="F44" s="87">
        <v>0</v>
      </c>
      <c r="G44" s="87">
        <v>0.75</v>
      </c>
      <c r="H44" s="49" t="s">
        <v>38</v>
      </c>
      <c r="I44" s="3">
        <f t="shared" si="12"/>
        <v>2</v>
      </c>
      <c r="J44" s="3">
        <f t="shared" si="7"/>
        <v>2</v>
      </c>
      <c r="K44" s="3">
        <f t="shared" si="8"/>
        <v>1</v>
      </c>
      <c r="L44" s="3">
        <f t="shared" si="9"/>
        <v>3</v>
      </c>
      <c r="M44" s="3">
        <f t="shared" si="10"/>
        <v>3</v>
      </c>
      <c r="N44" s="3">
        <f t="shared" si="11"/>
        <v>3</v>
      </c>
      <c r="O44" s="3"/>
      <c r="P44" s="102">
        <v>2</v>
      </c>
      <c r="Q44" s="103">
        <f>P44+N44</f>
        <v>5</v>
      </c>
    </row>
    <row r="45" spans="1:17">
      <c r="A45" s="59" t="s">
        <v>38</v>
      </c>
      <c r="B45" s="71">
        <v>2010</v>
      </c>
      <c r="C45" s="72">
        <v>0.25</v>
      </c>
      <c r="D45" s="72">
        <v>0.25</v>
      </c>
      <c r="E45" s="72">
        <v>0</v>
      </c>
      <c r="F45" s="72">
        <v>0</v>
      </c>
      <c r="G45" s="72">
        <v>0.8</v>
      </c>
      <c r="H45" s="71"/>
      <c r="I45" s="5">
        <f t="shared" si="12"/>
        <v>2</v>
      </c>
      <c r="J45" s="5">
        <f t="shared" si="7"/>
        <v>1</v>
      </c>
      <c r="K45" s="5">
        <f t="shared" si="8"/>
        <v>1</v>
      </c>
      <c r="L45" s="5">
        <f t="shared" si="9"/>
        <v>3</v>
      </c>
      <c r="M45" s="5">
        <f t="shared" si="10"/>
        <v>1</v>
      </c>
      <c r="N45" s="5">
        <f t="shared" si="11"/>
        <v>3</v>
      </c>
      <c r="O45" s="5"/>
      <c r="P45" s="106">
        <v>2</v>
      </c>
      <c r="Q45" s="107">
        <f>N45+P45</f>
        <v>5</v>
      </c>
    </row>
    <row r="46" spans="1:17">
      <c r="A46" s="56"/>
      <c r="B46" s="51" t="s">
        <v>100</v>
      </c>
      <c r="C46" s="91" t="s">
        <v>50</v>
      </c>
      <c r="D46" s="91" t="s">
        <v>50</v>
      </c>
      <c r="E46" s="91">
        <v>0.5</v>
      </c>
      <c r="F46" s="91">
        <v>0</v>
      </c>
      <c r="G46" s="91">
        <v>1</v>
      </c>
      <c r="H46" s="51"/>
      <c r="I46" s="9">
        <f t="shared" si="12"/>
        <v>3</v>
      </c>
      <c r="J46" s="9">
        <f t="shared" si="7"/>
        <v>2</v>
      </c>
      <c r="K46" s="9">
        <f t="shared" si="8"/>
        <v>1</v>
      </c>
      <c r="L46" s="9">
        <f t="shared" si="9"/>
        <v>3</v>
      </c>
      <c r="M46" s="9">
        <f t="shared" si="10"/>
        <v>1</v>
      </c>
      <c r="N46" s="9">
        <f t="shared" si="11"/>
        <v>3</v>
      </c>
      <c r="O46" s="9"/>
      <c r="P46" s="104" t="s">
        <v>50</v>
      </c>
      <c r="Q46" s="108"/>
    </row>
    <row r="47" spans="1:17">
      <c r="A47" s="55" t="s">
        <v>39</v>
      </c>
      <c r="B47" s="49">
        <v>2008</v>
      </c>
      <c r="C47" s="87">
        <v>0.33</v>
      </c>
      <c r="D47" s="87">
        <v>0.6</v>
      </c>
      <c r="E47" s="87">
        <v>0.2</v>
      </c>
      <c r="F47" s="87">
        <v>0</v>
      </c>
      <c r="G47" s="87">
        <v>0.33</v>
      </c>
      <c r="H47" s="49" t="s">
        <v>39</v>
      </c>
      <c r="I47" s="3">
        <f t="shared" si="12"/>
        <v>2</v>
      </c>
      <c r="J47" s="3">
        <f t="shared" si="7"/>
        <v>2</v>
      </c>
      <c r="K47" s="3">
        <f t="shared" si="8"/>
        <v>1</v>
      </c>
      <c r="L47" s="3">
        <f t="shared" si="9"/>
        <v>2</v>
      </c>
      <c r="M47" s="3">
        <f t="shared" si="10"/>
        <v>3</v>
      </c>
      <c r="N47" s="3">
        <f t="shared" si="11"/>
        <v>3</v>
      </c>
      <c r="O47" s="3"/>
      <c r="P47" s="109" t="s">
        <v>50</v>
      </c>
      <c r="Q47" s="110"/>
    </row>
    <row r="48" spans="1:17">
      <c r="A48" s="59"/>
      <c r="B48" s="71">
        <v>2010</v>
      </c>
      <c r="C48" s="72">
        <v>0.4</v>
      </c>
      <c r="D48" s="72">
        <v>0.6</v>
      </c>
      <c r="E48" s="72">
        <v>0</v>
      </c>
      <c r="F48" s="72">
        <v>0</v>
      </c>
      <c r="G48" s="72">
        <v>1</v>
      </c>
      <c r="H48" s="71"/>
      <c r="I48" s="5">
        <f t="shared" si="12"/>
        <v>2</v>
      </c>
      <c r="J48" s="5">
        <f t="shared" si="7"/>
        <v>1</v>
      </c>
      <c r="K48" s="5">
        <f t="shared" si="8"/>
        <v>1</v>
      </c>
      <c r="L48" s="5">
        <f t="shared" si="9"/>
        <v>3</v>
      </c>
      <c r="M48" s="5">
        <f t="shared" si="10"/>
        <v>1</v>
      </c>
      <c r="N48" s="5">
        <f t="shared" si="11"/>
        <v>3</v>
      </c>
      <c r="O48" s="5"/>
      <c r="P48" s="106">
        <v>2</v>
      </c>
      <c r="Q48" s="111">
        <f>P48+N48</f>
        <v>5</v>
      </c>
    </row>
    <row r="49" spans="1:17">
      <c r="A49" s="56"/>
      <c r="B49" s="51" t="s">
        <v>100</v>
      </c>
      <c r="C49" s="91">
        <v>0.5</v>
      </c>
      <c r="D49" s="91">
        <v>0.67</v>
      </c>
      <c r="E49" s="91">
        <v>0</v>
      </c>
      <c r="F49" s="91">
        <v>0</v>
      </c>
      <c r="G49" s="91">
        <v>0.82</v>
      </c>
      <c r="H49" s="51"/>
      <c r="I49" s="9">
        <f t="shared" si="12"/>
        <v>2</v>
      </c>
      <c r="J49" s="9">
        <f t="shared" si="7"/>
        <v>1</v>
      </c>
      <c r="K49" s="9">
        <f t="shared" si="8"/>
        <v>1</v>
      </c>
      <c r="L49" s="9">
        <f t="shared" si="9"/>
        <v>3</v>
      </c>
      <c r="M49" s="9">
        <f t="shared" si="10"/>
        <v>1</v>
      </c>
      <c r="N49" s="9">
        <f t="shared" si="11"/>
        <v>3</v>
      </c>
      <c r="O49" s="9"/>
      <c r="P49" s="104">
        <v>2</v>
      </c>
      <c r="Q49" s="105">
        <f>N49+P49</f>
        <v>5</v>
      </c>
    </row>
    <row r="50" spans="1:17">
      <c r="A50" s="55" t="s">
        <v>40</v>
      </c>
      <c r="B50" s="49">
        <v>2008</v>
      </c>
      <c r="C50" s="99">
        <v>0.5</v>
      </c>
      <c r="D50" s="99">
        <v>1</v>
      </c>
      <c r="E50" s="99">
        <v>0</v>
      </c>
      <c r="F50" s="99">
        <v>0</v>
      </c>
      <c r="G50" s="99">
        <v>0.66</v>
      </c>
      <c r="H50" s="49" t="s">
        <v>40</v>
      </c>
      <c r="I50" s="3">
        <f t="shared" si="12"/>
        <v>3</v>
      </c>
      <c r="J50" s="3">
        <f t="shared" si="7"/>
        <v>1</v>
      </c>
      <c r="K50" s="3">
        <f t="shared" si="8"/>
        <v>1</v>
      </c>
      <c r="L50" s="3">
        <f t="shared" si="9"/>
        <v>2</v>
      </c>
      <c r="M50" s="3">
        <f t="shared" si="10"/>
        <v>3</v>
      </c>
      <c r="N50" s="3">
        <f t="shared" si="11"/>
        <v>3</v>
      </c>
      <c r="O50" s="3"/>
      <c r="P50" s="102">
        <v>2</v>
      </c>
      <c r="Q50" s="103">
        <f>P50+N50</f>
        <v>5</v>
      </c>
    </row>
    <row r="51" spans="1:17">
      <c r="A51" s="56"/>
      <c r="B51" s="51" t="s">
        <v>100</v>
      </c>
      <c r="C51" s="91">
        <v>0.66</v>
      </c>
      <c r="D51" s="91">
        <v>0.83</v>
      </c>
      <c r="E51" s="91">
        <v>0.63</v>
      </c>
      <c r="F51" s="91">
        <v>0.16</v>
      </c>
      <c r="G51" s="91">
        <v>0.75</v>
      </c>
      <c r="H51" s="51"/>
      <c r="I51" s="9">
        <f t="shared" si="12"/>
        <v>3</v>
      </c>
      <c r="J51" s="9">
        <f t="shared" si="7"/>
        <v>2</v>
      </c>
      <c r="K51" s="9">
        <f t="shared" si="8"/>
        <v>2</v>
      </c>
      <c r="L51" s="9">
        <f t="shared" si="9"/>
        <v>3</v>
      </c>
      <c r="M51" s="9">
        <f t="shared" si="10"/>
        <v>1</v>
      </c>
      <c r="N51" s="9">
        <f t="shared" si="11"/>
        <v>3</v>
      </c>
      <c r="O51" s="9"/>
      <c r="P51" s="104">
        <v>2</v>
      </c>
      <c r="Q51" s="105">
        <f>N51+P51</f>
        <v>5</v>
      </c>
    </row>
    <row r="52" spans="1:17">
      <c r="A52" s="55" t="s">
        <v>41</v>
      </c>
      <c r="B52" s="49">
        <v>2008</v>
      </c>
      <c r="C52" s="99">
        <f>C53</f>
        <v>1</v>
      </c>
      <c r="D52" s="99">
        <f>D53</f>
        <v>0.66</v>
      </c>
      <c r="E52" s="99">
        <f>E53</f>
        <v>0.43</v>
      </c>
      <c r="F52" s="99">
        <f>F53</f>
        <v>0.66</v>
      </c>
      <c r="G52" s="99">
        <f>G53</f>
        <v>1</v>
      </c>
      <c r="H52" s="49" t="s">
        <v>41</v>
      </c>
      <c r="I52" s="3">
        <f t="shared" si="12"/>
        <v>2</v>
      </c>
      <c r="J52" s="3">
        <f t="shared" si="7"/>
        <v>2</v>
      </c>
      <c r="K52" s="3">
        <f t="shared" si="8"/>
        <v>2</v>
      </c>
      <c r="L52" s="3">
        <f t="shared" si="9"/>
        <v>3</v>
      </c>
      <c r="M52" s="3">
        <f t="shared" si="10"/>
        <v>3</v>
      </c>
      <c r="N52" s="3">
        <f t="shared" si="11"/>
        <v>3</v>
      </c>
      <c r="O52" s="3"/>
      <c r="P52" s="109" t="str">
        <f>P53</f>
        <v>No Data</v>
      </c>
      <c r="Q52" s="103"/>
    </row>
    <row r="53" spans="1:17">
      <c r="A53" s="56"/>
      <c r="B53" s="51" t="s">
        <v>100</v>
      </c>
      <c r="C53" s="91">
        <v>1</v>
      </c>
      <c r="D53" s="91">
        <v>0.66</v>
      </c>
      <c r="E53" s="91">
        <v>0.43</v>
      </c>
      <c r="F53" s="91">
        <v>0.66</v>
      </c>
      <c r="G53" s="91">
        <v>1</v>
      </c>
      <c r="H53" s="51"/>
      <c r="I53" s="9">
        <f t="shared" si="12"/>
        <v>2</v>
      </c>
      <c r="J53" s="9">
        <f t="shared" si="7"/>
        <v>2</v>
      </c>
      <c r="K53" s="9">
        <f t="shared" si="8"/>
        <v>2</v>
      </c>
      <c r="L53" s="9">
        <f t="shared" si="9"/>
        <v>3</v>
      </c>
      <c r="M53" s="9">
        <f t="shared" si="10"/>
        <v>1</v>
      </c>
      <c r="N53" s="9">
        <f t="shared" si="11"/>
        <v>3</v>
      </c>
      <c r="O53" s="9"/>
      <c r="P53" s="104" t="s">
        <v>50</v>
      </c>
      <c r="Q53" s="10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opLeftCell="F38" zoomScale="150" zoomScaleNormal="150" zoomScalePageLayoutView="150" workbookViewId="0">
      <selection activeCell="S55" sqref="S55"/>
    </sheetView>
  </sheetViews>
  <sheetFormatPr baseColWidth="10" defaultRowHeight="15" x14ac:dyDescent="0"/>
  <cols>
    <col min="11" max="16" width="0" hidden="1" customWidth="1"/>
  </cols>
  <sheetData>
    <row r="1" spans="1:41" s="117" customFormat="1" ht="22">
      <c r="A1" s="112"/>
      <c r="B1" s="113" t="s">
        <v>1</v>
      </c>
      <c r="C1" s="114" t="s">
        <v>2</v>
      </c>
      <c r="D1" s="113" t="s">
        <v>3</v>
      </c>
      <c r="E1" s="113" t="s">
        <v>4</v>
      </c>
      <c r="F1" s="113" t="s">
        <v>8</v>
      </c>
      <c r="G1" s="113" t="s">
        <v>9</v>
      </c>
      <c r="H1" s="113"/>
      <c r="I1" s="113"/>
      <c r="J1" s="113"/>
      <c r="K1" s="114" t="s">
        <v>2</v>
      </c>
      <c r="L1" s="113" t="s">
        <v>3</v>
      </c>
      <c r="M1" s="113" t="s">
        <v>4</v>
      </c>
      <c r="N1" s="113" t="s">
        <v>8</v>
      </c>
      <c r="O1" s="113" t="s">
        <v>9</v>
      </c>
      <c r="P1" s="114" t="s">
        <v>51</v>
      </c>
      <c r="Q1" s="114" t="s">
        <v>104</v>
      </c>
      <c r="R1" s="114"/>
      <c r="S1" s="114" t="s">
        <v>102</v>
      </c>
      <c r="T1" s="114" t="s">
        <v>5</v>
      </c>
      <c r="U1" s="115" t="s">
        <v>6</v>
      </c>
      <c r="V1" s="116"/>
      <c r="X1" s="50" t="s">
        <v>1</v>
      </c>
      <c r="Y1" s="70" t="s">
        <v>109</v>
      </c>
      <c r="Z1" s="117" t="s">
        <v>110</v>
      </c>
      <c r="AA1" s="139" t="s">
        <v>111</v>
      </c>
      <c r="AB1" s="50" t="s">
        <v>102</v>
      </c>
      <c r="AC1" s="50"/>
      <c r="AD1" s="50"/>
      <c r="AE1" s="50"/>
      <c r="AF1" s="70"/>
      <c r="AG1" s="70"/>
      <c r="AH1" s="70"/>
      <c r="AI1" s="101"/>
      <c r="AJ1" s="116"/>
      <c r="AK1" s="116"/>
      <c r="AL1" s="116"/>
      <c r="AM1" s="116"/>
      <c r="AN1" s="116"/>
      <c r="AO1" s="116"/>
    </row>
    <row r="2" spans="1:41" s="117" customFormat="1">
      <c r="A2" s="118" t="s">
        <v>31</v>
      </c>
      <c r="B2" s="119" t="s">
        <v>103</v>
      </c>
      <c r="C2" s="99">
        <v>0.25</v>
      </c>
      <c r="D2" s="99">
        <v>0.5</v>
      </c>
      <c r="E2" s="99">
        <v>0</v>
      </c>
      <c r="F2" s="99">
        <v>0</v>
      </c>
      <c r="G2" s="99">
        <v>0</v>
      </c>
      <c r="H2" s="99"/>
      <c r="I2" s="99"/>
      <c r="J2" s="119" t="s">
        <v>31</v>
      </c>
      <c r="K2" s="121">
        <f t="shared" ref="K2:K25" si="0">IF(D2&gt;0.69,3,IF(D2&lt;0.1,1,2))</f>
        <v>2</v>
      </c>
      <c r="L2" s="121">
        <f t="shared" ref="L2:L25" si="1">IF(E2&gt;0.69,3,IF(E2&lt;0.1,1,2))</f>
        <v>1</v>
      </c>
      <c r="M2" s="121">
        <f t="shared" ref="M2:M25" si="2">IF(F2&gt;0.69,3,IF(F2&lt;0.1,1,2))</f>
        <v>1</v>
      </c>
      <c r="N2" s="121">
        <f t="shared" ref="N2:N25" si="3">IF(G2&gt;0.69,3,IF(G2&lt;0.1,1,2))</f>
        <v>1</v>
      </c>
      <c r="O2" s="121">
        <f t="shared" ref="O2:P25" si="4">IF(J2&gt;0.69,3,IF(J2&lt;0.1,1,2))</f>
        <v>3</v>
      </c>
      <c r="P2" s="121">
        <f t="shared" si="4"/>
        <v>3</v>
      </c>
      <c r="Q2" s="13">
        <f t="shared" ref="Q2:Q17" si="5">AVERAGE(C2:D2)</f>
        <v>0.375</v>
      </c>
      <c r="R2" s="13"/>
      <c r="S2" s="121">
        <v>13</v>
      </c>
      <c r="T2" s="122">
        <v>2</v>
      </c>
      <c r="U2" s="123">
        <f>T2+P2</f>
        <v>5</v>
      </c>
      <c r="V2" s="116"/>
      <c r="W2" s="42" t="s">
        <v>42</v>
      </c>
      <c r="X2" s="49" t="s">
        <v>106</v>
      </c>
      <c r="Y2" s="13">
        <v>0.9</v>
      </c>
      <c r="Z2" s="76">
        <v>1</v>
      </c>
      <c r="AA2" s="76">
        <f>AVERAGE(Y2:Z2)</f>
        <v>0.95</v>
      </c>
      <c r="AB2" s="3">
        <v>31</v>
      </c>
      <c r="AC2" s="3"/>
      <c r="AD2" s="3"/>
      <c r="AE2" s="3"/>
      <c r="AF2" s="77"/>
      <c r="AG2" s="79"/>
      <c r="AH2" s="80"/>
      <c r="AI2" s="116"/>
      <c r="AJ2" s="116"/>
      <c r="AK2" s="116"/>
      <c r="AL2" s="116"/>
      <c r="AM2" s="116"/>
      <c r="AN2" s="116"/>
      <c r="AO2" s="116"/>
    </row>
    <row r="3" spans="1:41" s="117" customFormat="1">
      <c r="A3" s="124"/>
      <c r="B3" s="125" t="s">
        <v>100</v>
      </c>
      <c r="C3" s="137">
        <v>0.5</v>
      </c>
      <c r="D3" s="137">
        <v>0.66</v>
      </c>
      <c r="E3" s="137">
        <v>0</v>
      </c>
      <c r="F3" s="137">
        <v>0</v>
      </c>
      <c r="G3" s="137">
        <v>0.55000000000000004</v>
      </c>
      <c r="H3" s="137"/>
      <c r="I3" s="137"/>
      <c r="J3" s="125"/>
      <c r="K3" s="127">
        <f t="shared" si="0"/>
        <v>2</v>
      </c>
      <c r="L3" s="127">
        <f t="shared" si="1"/>
        <v>1</v>
      </c>
      <c r="M3" s="127">
        <f t="shared" si="2"/>
        <v>1</v>
      </c>
      <c r="N3" s="127">
        <f t="shared" si="3"/>
        <v>2</v>
      </c>
      <c r="O3" s="127">
        <f t="shared" si="4"/>
        <v>1</v>
      </c>
      <c r="P3" s="127">
        <f t="shared" si="4"/>
        <v>3</v>
      </c>
      <c r="Q3" s="10">
        <f t="shared" si="5"/>
        <v>0.58000000000000007</v>
      </c>
      <c r="R3" s="10"/>
      <c r="S3" s="127">
        <v>13</v>
      </c>
      <c r="T3" s="126">
        <v>2</v>
      </c>
      <c r="U3" s="128">
        <f>P3+T3</f>
        <v>5</v>
      </c>
      <c r="V3" s="116"/>
      <c r="W3" s="75"/>
      <c r="X3" s="73" t="s">
        <v>100</v>
      </c>
      <c r="Y3" s="13">
        <v>0.92999999999999994</v>
      </c>
      <c r="Z3" s="74">
        <v>1</v>
      </c>
      <c r="AA3" s="76">
        <f t="shared" ref="AA3:AA13" si="6">AVERAGE(Y3:Z3)</f>
        <v>0.96499999999999997</v>
      </c>
      <c r="AB3" s="9">
        <v>23</v>
      </c>
      <c r="AC3" s="9"/>
      <c r="AD3" s="9"/>
      <c r="AE3" s="9"/>
      <c r="AF3" s="78"/>
      <c r="AG3" s="81"/>
      <c r="AH3" s="82"/>
      <c r="AI3" s="116"/>
      <c r="AJ3" s="116"/>
      <c r="AK3" s="116"/>
      <c r="AL3" s="116"/>
      <c r="AM3" s="116"/>
      <c r="AN3" s="116"/>
      <c r="AO3" s="116"/>
    </row>
    <row r="4" spans="1:41" s="117" customFormat="1">
      <c r="A4" s="118" t="s">
        <v>32</v>
      </c>
      <c r="B4" s="119" t="s">
        <v>103</v>
      </c>
      <c r="C4" s="99">
        <v>1</v>
      </c>
      <c r="D4" s="99">
        <v>1</v>
      </c>
      <c r="E4" s="99">
        <v>0.2</v>
      </c>
      <c r="F4" s="99">
        <v>0</v>
      </c>
      <c r="G4" s="99">
        <v>0</v>
      </c>
      <c r="H4" s="99"/>
      <c r="I4" s="99"/>
      <c r="J4" s="119" t="s">
        <v>32</v>
      </c>
      <c r="K4" s="121">
        <f t="shared" si="0"/>
        <v>3</v>
      </c>
      <c r="L4" s="121">
        <f t="shared" si="1"/>
        <v>2</v>
      </c>
      <c r="M4" s="121">
        <f t="shared" si="2"/>
        <v>1</v>
      </c>
      <c r="N4" s="121">
        <f t="shared" si="3"/>
        <v>1</v>
      </c>
      <c r="O4" s="121">
        <f t="shared" si="4"/>
        <v>3</v>
      </c>
      <c r="P4" s="121">
        <f t="shared" si="4"/>
        <v>3</v>
      </c>
      <c r="Q4" s="13">
        <f t="shared" si="5"/>
        <v>1</v>
      </c>
      <c r="R4" s="13"/>
      <c r="S4" s="121">
        <v>24</v>
      </c>
      <c r="T4" s="122">
        <v>2</v>
      </c>
      <c r="U4" s="123">
        <f>T4+P4</f>
        <v>5</v>
      </c>
      <c r="V4" s="116"/>
      <c r="W4" s="42" t="s">
        <v>43</v>
      </c>
      <c r="X4" s="49" t="s">
        <v>106</v>
      </c>
      <c r="Y4" s="13">
        <v>0.8</v>
      </c>
      <c r="Z4" s="76">
        <v>1</v>
      </c>
      <c r="AA4" s="76">
        <f t="shared" si="6"/>
        <v>0.9</v>
      </c>
      <c r="AB4" s="3">
        <v>27</v>
      </c>
      <c r="AC4" s="3"/>
      <c r="AD4" s="3"/>
      <c r="AE4" s="3"/>
      <c r="AF4" s="77"/>
      <c r="AG4" s="79"/>
      <c r="AH4" s="80"/>
      <c r="AI4" s="116"/>
      <c r="AJ4" s="116"/>
      <c r="AK4" s="116"/>
      <c r="AL4" s="116"/>
      <c r="AM4" s="116"/>
      <c r="AN4" s="116"/>
      <c r="AO4" s="116"/>
    </row>
    <row r="5" spans="1:41" s="117" customFormat="1">
      <c r="A5" s="124"/>
      <c r="B5" s="125" t="s">
        <v>100</v>
      </c>
      <c r="C5" s="137">
        <v>0.5</v>
      </c>
      <c r="D5" s="137">
        <v>0.83</v>
      </c>
      <c r="E5" s="137">
        <v>0</v>
      </c>
      <c r="F5" s="137">
        <v>0.16</v>
      </c>
      <c r="G5" s="137">
        <v>0.92</v>
      </c>
      <c r="H5" s="137"/>
      <c r="I5" s="137"/>
      <c r="J5" s="125"/>
      <c r="K5" s="127">
        <f t="shared" si="0"/>
        <v>3</v>
      </c>
      <c r="L5" s="127">
        <f t="shared" si="1"/>
        <v>1</v>
      </c>
      <c r="M5" s="127">
        <f t="shared" si="2"/>
        <v>2</v>
      </c>
      <c r="N5" s="127">
        <f t="shared" si="3"/>
        <v>3</v>
      </c>
      <c r="O5" s="127">
        <f t="shared" si="4"/>
        <v>1</v>
      </c>
      <c r="P5" s="127">
        <f t="shared" si="4"/>
        <v>3</v>
      </c>
      <c r="Q5" s="10">
        <f t="shared" si="5"/>
        <v>0.66500000000000004</v>
      </c>
      <c r="R5" s="10"/>
      <c r="S5" s="127">
        <v>5</v>
      </c>
      <c r="T5" s="126">
        <v>2</v>
      </c>
      <c r="U5" s="128">
        <f>P5+T5</f>
        <v>5</v>
      </c>
      <c r="V5" s="116"/>
      <c r="W5" s="75"/>
      <c r="X5" s="73" t="s">
        <v>100</v>
      </c>
      <c r="Y5" s="13">
        <v>0.6607142857142857</v>
      </c>
      <c r="Z5" s="74">
        <f>4/7</f>
        <v>0.5714285714285714</v>
      </c>
      <c r="AA5" s="76">
        <f t="shared" si="6"/>
        <v>0.6160714285714286</v>
      </c>
      <c r="AB5" s="9">
        <v>27</v>
      </c>
      <c r="AC5" s="9"/>
      <c r="AD5" s="9"/>
      <c r="AE5" s="9"/>
      <c r="AF5" s="78"/>
      <c r="AG5" s="81"/>
      <c r="AH5" s="82"/>
      <c r="AI5" s="116"/>
      <c r="AJ5" s="116"/>
      <c r="AK5" s="116"/>
      <c r="AL5" s="116"/>
      <c r="AM5" s="116"/>
      <c r="AN5" s="116"/>
      <c r="AO5" s="116"/>
    </row>
    <row r="6" spans="1:41" s="117" customFormat="1">
      <c r="A6" s="118" t="s">
        <v>33</v>
      </c>
      <c r="B6" s="119" t="s">
        <v>103</v>
      </c>
      <c r="C6" s="99">
        <v>0.75</v>
      </c>
      <c r="D6" s="99">
        <v>1</v>
      </c>
      <c r="E6" s="99">
        <v>0.6</v>
      </c>
      <c r="F6" s="99">
        <v>0</v>
      </c>
      <c r="G6" s="99">
        <v>1</v>
      </c>
      <c r="H6" s="99"/>
      <c r="I6" s="99"/>
      <c r="J6" s="119" t="s">
        <v>33</v>
      </c>
      <c r="K6" s="121">
        <f t="shared" si="0"/>
        <v>3</v>
      </c>
      <c r="L6" s="121">
        <f t="shared" si="1"/>
        <v>2</v>
      </c>
      <c r="M6" s="121">
        <f t="shared" si="2"/>
        <v>1</v>
      </c>
      <c r="N6" s="121">
        <f t="shared" si="3"/>
        <v>3</v>
      </c>
      <c r="O6" s="121">
        <f t="shared" si="4"/>
        <v>3</v>
      </c>
      <c r="P6" s="121">
        <f t="shared" si="4"/>
        <v>3</v>
      </c>
      <c r="Q6" s="13">
        <f t="shared" si="5"/>
        <v>0.875</v>
      </c>
      <c r="R6" s="13"/>
      <c r="S6" s="121">
        <v>30</v>
      </c>
      <c r="T6" s="122">
        <v>2</v>
      </c>
      <c r="U6" s="123">
        <f>T6+P6</f>
        <v>5</v>
      </c>
      <c r="V6" s="116"/>
      <c r="W6" s="42" t="s">
        <v>44</v>
      </c>
      <c r="X6" s="49" t="s">
        <v>106</v>
      </c>
      <c r="Y6" s="13">
        <v>0.4</v>
      </c>
      <c r="Z6" s="76">
        <v>0.6</v>
      </c>
      <c r="AA6" s="76">
        <f t="shared" si="6"/>
        <v>0.5</v>
      </c>
      <c r="AB6" s="3">
        <v>16</v>
      </c>
      <c r="AC6" s="3"/>
      <c r="AD6" s="3"/>
      <c r="AE6" s="3"/>
      <c r="AF6" s="77"/>
      <c r="AG6" s="79"/>
      <c r="AH6" s="80"/>
      <c r="AI6" s="116"/>
      <c r="AJ6" s="116"/>
      <c r="AK6" s="116"/>
      <c r="AL6" s="116"/>
      <c r="AM6" s="116"/>
      <c r="AN6" s="116"/>
      <c r="AO6" s="116"/>
    </row>
    <row r="7" spans="1:41" s="117" customFormat="1">
      <c r="A7" s="124"/>
      <c r="B7" s="125" t="s">
        <v>100</v>
      </c>
      <c r="C7" s="137">
        <v>0.5</v>
      </c>
      <c r="D7" s="137">
        <v>0.7</v>
      </c>
      <c r="E7" s="137">
        <v>0</v>
      </c>
      <c r="F7" s="137">
        <v>0.16</v>
      </c>
      <c r="G7" s="137">
        <v>0.92</v>
      </c>
      <c r="H7" s="137"/>
      <c r="I7" s="137"/>
      <c r="J7" s="125"/>
      <c r="K7" s="127">
        <f t="shared" si="0"/>
        <v>3</v>
      </c>
      <c r="L7" s="127">
        <f t="shared" si="1"/>
        <v>1</v>
      </c>
      <c r="M7" s="127">
        <f t="shared" si="2"/>
        <v>2</v>
      </c>
      <c r="N7" s="127">
        <f t="shared" si="3"/>
        <v>3</v>
      </c>
      <c r="O7" s="127">
        <f t="shared" si="4"/>
        <v>1</v>
      </c>
      <c r="P7" s="127">
        <f t="shared" si="4"/>
        <v>3</v>
      </c>
      <c r="Q7" s="10">
        <f t="shared" si="5"/>
        <v>0.6</v>
      </c>
      <c r="R7" s="10"/>
      <c r="S7" s="127">
        <v>17</v>
      </c>
      <c r="T7" s="126">
        <v>2</v>
      </c>
      <c r="U7" s="128">
        <f>P7+T7</f>
        <v>5</v>
      </c>
      <c r="V7" s="116"/>
      <c r="W7" s="75"/>
      <c r="X7" s="73" t="s">
        <v>100</v>
      </c>
      <c r="Y7" s="13">
        <v>0.6333333333333333</v>
      </c>
      <c r="Z7" s="74">
        <f>3/5</f>
        <v>0.6</v>
      </c>
      <c r="AA7" s="76">
        <f t="shared" si="6"/>
        <v>0.6166666666666667</v>
      </c>
      <c r="AB7" s="9">
        <v>12</v>
      </c>
      <c r="AC7" s="9"/>
      <c r="AD7" s="9"/>
      <c r="AE7" s="9"/>
      <c r="AF7" s="78"/>
      <c r="AG7" s="81"/>
      <c r="AH7" s="83"/>
      <c r="AI7" s="116"/>
      <c r="AJ7" s="116"/>
      <c r="AK7" s="116"/>
      <c r="AL7" s="116"/>
      <c r="AM7" s="116"/>
      <c r="AN7" s="116"/>
      <c r="AO7" s="116"/>
    </row>
    <row r="8" spans="1:41" s="117" customFormat="1">
      <c r="A8" s="118" t="s">
        <v>34</v>
      </c>
      <c r="B8" s="119" t="s">
        <v>103</v>
      </c>
      <c r="C8" s="99">
        <v>0.5</v>
      </c>
      <c r="D8" s="99">
        <v>0.5</v>
      </c>
      <c r="E8" s="99">
        <v>0.2</v>
      </c>
      <c r="F8" s="99">
        <v>0</v>
      </c>
      <c r="G8" s="99">
        <v>1</v>
      </c>
      <c r="H8" s="99"/>
      <c r="I8" s="99"/>
      <c r="J8" s="119" t="s">
        <v>34</v>
      </c>
      <c r="K8" s="121">
        <f t="shared" si="0"/>
        <v>2</v>
      </c>
      <c r="L8" s="121">
        <f t="shared" si="1"/>
        <v>2</v>
      </c>
      <c r="M8" s="121">
        <f t="shared" si="2"/>
        <v>1</v>
      </c>
      <c r="N8" s="121">
        <f t="shared" si="3"/>
        <v>3</v>
      </c>
      <c r="O8" s="121">
        <f t="shared" si="4"/>
        <v>3</v>
      </c>
      <c r="P8" s="121">
        <f t="shared" si="4"/>
        <v>3</v>
      </c>
      <c r="Q8" s="13">
        <f t="shared" si="5"/>
        <v>0.5</v>
      </c>
      <c r="R8" s="13"/>
      <c r="S8" s="121">
        <v>27</v>
      </c>
      <c r="T8" s="122">
        <v>1</v>
      </c>
      <c r="U8" s="123">
        <f>T8+P8</f>
        <v>4</v>
      </c>
      <c r="V8" s="116"/>
      <c r="W8" s="42" t="s">
        <v>45</v>
      </c>
      <c r="X8" s="49" t="s">
        <v>106</v>
      </c>
      <c r="Y8" s="13">
        <v>0</v>
      </c>
      <c r="Z8" s="76">
        <v>0</v>
      </c>
      <c r="AA8" s="76">
        <f t="shared" si="6"/>
        <v>0</v>
      </c>
      <c r="AB8" s="3">
        <v>16</v>
      </c>
      <c r="AC8" s="3"/>
      <c r="AD8" s="3"/>
      <c r="AE8" s="3"/>
      <c r="AF8" s="77"/>
      <c r="AG8" s="79"/>
      <c r="AH8" s="80"/>
      <c r="AI8" s="116"/>
      <c r="AJ8" s="116"/>
      <c r="AK8" s="116"/>
      <c r="AL8" s="116"/>
      <c r="AM8" s="116"/>
      <c r="AN8" s="116"/>
      <c r="AO8" s="116"/>
    </row>
    <row r="9" spans="1:41" s="117" customFormat="1">
      <c r="A9" s="124"/>
      <c r="B9" s="125" t="s">
        <v>100</v>
      </c>
      <c r="C9" s="137">
        <v>1</v>
      </c>
      <c r="D9" s="137">
        <v>1</v>
      </c>
      <c r="E9" s="137">
        <v>0.75</v>
      </c>
      <c r="F9" s="137">
        <v>0.13</v>
      </c>
      <c r="G9" s="137">
        <v>0.91</v>
      </c>
      <c r="H9" s="137"/>
      <c r="I9" s="137"/>
      <c r="J9" s="125"/>
      <c r="K9" s="127">
        <f t="shared" si="0"/>
        <v>3</v>
      </c>
      <c r="L9" s="127">
        <f t="shared" si="1"/>
        <v>3</v>
      </c>
      <c r="M9" s="127">
        <f t="shared" si="2"/>
        <v>2</v>
      </c>
      <c r="N9" s="127">
        <f t="shared" si="3"/>
        <v>3</v>
      </c>
      <c r="O9" s="127">
        <f t="shared" si="4"/>
        <v>1</v>
      </c>
      <c r="P9" s="127">
        <f t="shared" si="4"/>
        <v>3</v>
      </c>
      <c r="Q9" s="10">
        <f t="shared" si="5"/>
        <v>1</v>
      </c>
      <c r="R9" s="10"/>
      <c r="S9" s="127">
        <v>11</v>
      </c>
      <c r="T9" s="126">
        <v>2</v>
      </c>
      <c r="U9" s="128">
        <f>P9+T9</f>
        <v>5</v>
      </c>
      <c r="V9" s="116"/>
      <c r="W9" s="75"/>
      <c r="X9" s="73" t="s">
        <v>100</v>
      </c>
      <c r="Y9" s="13">
        <v>0.27777777777777779</v>
      </c>
      <c r="Z9" s="74">
        <f>5/9</f>
        <v>0.55555555555555558</v>
      </c>
      <c r="AA9" s="76">
        <f t="shared" si="6"/>
        <v>0.41666666666666669</v>
      </c>
      <c r="AB9" s="9">
        <v>18</v>
      </c>
      <c r="AC9" s="9"/>
      <c r="AD9" s="9"/>
      <c r="AE9" s="9"/>
      <c r="AF9" s="78"/>
      <c r="AG9" s="81"/>
      <c r="AH9" s="84"/>
      <c r="AI9" s="116"/>
      <c r="AJ9" s="116"/>
      <c r="AK9" s="116"/>
      <c r="AL9" s="116"/>
      <c r="AM9" s="116"/>
      <c r="AN9" s="116"/>
      <c r="AO9" s="116"/>
    </row>
    <row r="10" spans="1:41" s="117" customFormat="1">
      <c r="A10" s="118" t="s">
        <v>35</v>
      </c>
      <c r="B10" s="119">
        <v>2008</v>
      </c>
      <c r="C10" s="99">
        <v>1</v>
      </c>
      <c r="D10" s="99">
        <v>1</v>
      </c>
      <c r="E10" s="99">
        <v>0.2</v>
      </c>
      <c r="F10" s="99">
        <v>0.2</v>
      </c>
      <c r="G10" s="99">
        <v>0.5</v>
      </c>
      <c r="H10" s="99"/>
      <c r="I10" s="99"/>
      <c r="J10" s="119" t="s">
        <v>35</v>
      </c>
      <c r="K10" s="121">
        <f t="shared" si="0"/>
        <v>3</v>
      </c>
      <c r="L10" s="121">
        <f t="shared" si="1"/>
        <v>2</v>
      </c>
      <c r="M10" s="121">
        <f t="shared" si="2"/>
        <v>2</v>
      </c>
      <c r="N10" s="121">
        <f t="shared" si="3"/>
        <v>2</v>
      </c>
      <c r="O10" s="121">
        <f t="shared" si="4"/>
        <v>3</v>
      </c>
      <c r="P10" s="121">
        <f t="shared" si="4"/>
        <v>3</v>
      </c>
      <c r="Q10" s="13">
        <f t="shared" si="5"/>
        <v>1</v>
      </c>
      <c r="R10" s="13"/>
      <c r="S10" s="121">
        <v>29</v>
      </c>
      <c r="T10" s="122">
        <v>2</v>
      </c>
      <c r="U10" s="123">
        <f>T10+P10</f>
        <v>5</v>
      </c>
      <c r="V10" s="116"/>
      <c r="W10" s="42" t="s">
        <v>46</v>
      </c>
      <c r="X10" s="49" t="s">
        <v>106</v>
      </c>
      <c r="Y10" s="13">
        <v>0.875</v>
      </c>
      <c r="Z10" s="76">
        <v>1</v>
      </c>
      <c r="AA10" s="76">
        <f t="shared" si="6"/>
        <v>0.9375</v>
      </c>
      <c r="AB10" s="3">
        <v>13</v>
      </c>
      <c r="AC10" s="3"/>
      <c r="AD10" s="3"/>
      <c r="AE10" s="3"/>
      <c r="AF10" s="77"/>
      <c r="AG10" s="79"/>
      <c r="AH10" s="80"/>
      <c r="AI10" s="116"/>
      <c r="AJ10" s="116"/>
      <c r="AK10" s="116"/>
      <c r="AL10" s="116"/>
      <c r="AM10" s="116"/>
      <c r="AN10" s="116"/>
      <c r="AO10" s="116"/>
    </row>
    <row r="11" spans="1:41" s="117" customFormat="1">
      <c r="A11" s="124"/>
      <c r="B11" s="125" t="s">
        <v>100</v>
      </c>
      <c r="C11" s="137">
        <v>0.75</v>
      </c>
      <c r="D11" s="137">
        <v>0.86</v>
      </c>
      <c r="E11" s="137">
        <v>0.56000000000000005</v>
      </c>
      <c r="F11" s="137">
        <v>0.14000000000000001</v>
      </c>
      <c r="G11" s="137">
        <v>0.89</v>
      </c>
      <c r="H11" s="137"/>
      <c r="I11" s="137"/>
      <c r="J11" s="125"/>
      <c r="K11" s="127">
        <f t="shared" si="0"/>
        <v>3</v>
      </c>
      <c r="L11" s="127">
        <f t="shared" si="1"/>
        <v>2</v>
      </c>
      <c r="M11" s="127">
        <f t="shared" si="2"/>
        <v>2</v>
      </c>
      <c r="N11" s="127">
        <f t="shared" si="3"/>
        <v>3</v>
      </c>
      <c r="O11" s="127">
        <f t="shared" si="4"/>
        <v>1</v>
      </c>
      <c r="P11" s="127">
        <f t="shared" si="4"/>
        <v>3</v>
      </c>
      <c r="Q11" s="10">
        <f t="shared" si="5"/>
        <v>0.80499999999999994</v>
      </c>
      <c r="R11" s="10"/>
      <c r="S11" s="127">
        <v>4.5</v>
      </c>
      <c r="T11" s="126">
        <v>2</v>
      </c>
      <c r="U11" s="128">
        <f>P11+T11</f>
        <v>5</v>
      </c>
      <c r="V11" s="116"/>
      <c r="W11" s="75"/>
      <c r="X11" s="73">
        <v>2012</v>
      </c>
      <c r="Y11" s="13">
        <v>1</v>
      </c>
      <c r="Z11" s="74">
        <v>1</v>
      </c>
      <c r="AA11" s="76">
        <f t="shared" si="6"/>
        <v>1</v>
      </c>
      <c r="AB11" s="9">
        <v>21</v>
      </c>
      <c r="AC11" s="9"/>
      <c r="AD11" s="9"/>
      <c r="AE11" s="9"/>
      <c r="AF11" s="78"/>
      <c r="AG11" s="81"/>
      <c r="AH11" s="82"/>
      <c r="AI11" s="116"/>
      <c r="AJ11" s="116"/>
      <c r="AK11" s="116"/>
      <c r="AL11" s="116"/>
      <c r="AM11" s="116"/>
      <c r="AN11" s="116"/>
      <c r="AO11" s="116"/>
    </row>
    <row r="12" spans="1:41" s="117" customFormat="1">
      <c r="A12" s="118" t="s">
        <v>36</v>
      </c>
      <c r="B12" s="119">
        <v>2008</v>
      </c>
      <c r="C12" s="99">
        <v>0</v>
      </c>
      <c r="D12" s="99">
        <v>0</v>
      </c>
      <c r="E12" s="99">
        <v>0</v>
      </c>
      <c r="F12" s="99">
        <v>0</v>
      </c>
      <c r="G12" s="99">
        <v>1</v>
      </c>
      <c r="H12" s="99"/>
      <c r="I12" s="99"/>
      <c r="J12" s="119" t="s">
        <v>36</v>
      </c>
      <c r="K12" s="121">
        <f t="shared" si="0"/>
        <v>1</v>
      </c>
      <c r="L12" s="121">
        <f t="shared" si="1"/>
        <v>1</v>
      </c>
      <c r="M12" s="121">
        <f t="shared" si="2"/>
        <v>1</v>
      </c>
      <c r="N12" s="121">
        <f t="shared" si="3"/>
        <v>3</v>
      </c>
      <c r="O12" s="121">
        <f t="shared" si="4"/>
        <v>3</v>
      </c>
      <c r="P12" s="121">
        <f t="shared" si="4"/>
        <v>3</v>
      </c>
      <c r="Q12" s="13">
        <f t="shared" si="5"/>
        <v>0</v>
      </c>
      <c r="R12" s="13"/>
      <c r="S12" s="121">
        <v>-9999</v>
      </c>
      <c r="T12" s="122">
        <f>T13</f>
        <v>2.5</v>
      </c>
      <c r="U12" s="123">
        <f>T12+P12</f>
        <v>5.5</v>
      </c>
      <c r="V12" s="116"/>
      <c r="W12" s="42" t="s">
        <v>47</v>
      </c>
      <c r="X12" s="49" t="s">
        <v>106</v>
      </c>
      <c r="Y12" s="13">
        <v>1</v>
      </c>
      <c r="Z12" s="76">
        <v>1</v>
      </c>
      <c r="AA12" s="76">
        <f t="shared" si="6"/>
        <v>1</v>
      </c>
      <c r="AB12" s="3">
        <v>29</v>
      </c>
      <c r="AC12" s="3"/>
      <c r="AD12" s="3"/>
      <c r="AE12" s="3"/>
      <c r="AF12" s="77"/>
      <c r="AG12" s="79"/>
      <c r="AH12" s="80"/>
      <c r="AI12" s="116"/>
      <c r="AJ12" s="116"/>
      <c r="AK12" s="116"/>
      <c r="AL12" s="116"/>
      <c r="AM12" s="116"/>
      <c r="AN12" s="116"/>
      <c r="AO12" s="116"/>
    </row>
    <row r="13" spans="1:41" s="117" customFormat="1">
      <c r="A13" s="124"/>
      <c r="B13" s="125" t="s">
        <v>100</v>
      </c>
      <c r="C13" s="137">
        <v>1</v>
      </c>
      <c r="D13" s="137">
        <v>0.83</v>
      </c>
      <c r="E13" s="137">
        <v>0</v>
      </c>
      <c r="F13" s="137">
        <v>0</v>
      </c>
      <c r="G13" s="137">
        <v>1</v>
      </c>
      <c r="H13" s="137"/>
      <c r="I13" s="137"/>
      <c r="J13" s="125"/>
      <c r="K13" s="127">
        <f t="shared" si="0"/>
        <v>3</v>
      </c>
      <c r="L13" s="127">
        <f t="shared" si="1"/>
        <v>1</v>
      </c>
      <c r="M13" s="127">
        <f t="shared" si="2"/>
        <v>1</v>
      </c>
      <c r="N13" s="127">
        <f t="shared" si="3"/>
        <v>3</v>
      </c>
      <c r="O13" s="127">
        <f t="shared" si="4"/>
        <v>1</v>
      </c>
      <c r="P13" s="127">
        <f t="shared" si="4"/>
        <v>3</v>
      </c>
      <c r="Q13" s="10">
        <f t="shared" si="5"/>
        <v>0.91500000000000004</v>
      </c>
      <c r="R13" s="10"/>
      <c r="S13" s="127">
        <v>10.5</v>
      </c>
      <c r="T13" s="126">
        <v>2.5</v>
      </c>
      <c r="U13" s="128">
        <f>P13+T13</f>
        <v>5.5</v>
      </c>
      <c r="V13" s="116"/>
      <c r="W13" s="75"/>
      <c r="X13" s="73" t="s">
        <v>100</v>
      </c>
      <c r="Y13" s="13">
        <v>0.9285714285714286</v>
      </c>
      <c r="Z13" s="74">
        <v>1</v>
      </c>
      <c r="AA13" s="76">
        <f t="shared" si="6"/>
        <v>0.9642857142857143</v>
      </c>
      <c r="AB13" s="9">
        <v>12</v>
      </c>
      <c r="AC13" s="9"/>
      <c r="AD13" s="9"/>
      <c r="AE13" s="9"/>
      <c r="AF13" s="78"/>
      <c r="AG13" s="81"/>
      <c r="AH13" s="82"/>
      <c r="AI13" s="116"/>
      <c r="AJ13" s="116"/>
      <c r="AK13" s="116"/>
      <c r="AL13" s="116"/>
      <c r="AM13" s="116"/>
      <c r="AN13" s="116"/>
      <c r="AO13" s="116"/>
    </row>
    <row r="14" spans="1:41" s="117" customFormat="1">
      <c r="A14" s="118" t="s">
        <v>37</v>
      </c>
      <c r="B14" s="119">
        <v>2008</v>
      </c>
      <c r="C14" s="99">
        <v>1</v>
      </c>
      <c r="D14" s="99">
        <v>1</v>
      </c>
      <c r="E14" s="99">
        <v>1</v>
      </c>
      <c r="F14" s="99">
        <v>1</v>
      </c>
      <c r="G14" s="99" t="s">
        <v>50</v>
      </c>
      <c r="H14" s="99"/>
      <c r="I14" s="99"/>
      <c r="J14" s="119" t="s">
        <v>37</v>
      </c>
      <c r="K14" s="121">
        <f t="shared" si="0"/>
        <v>3</v>
      </c>
      <c r="L14" s="121">
        <f t="shared" si="1"/>
        <v>3</v>
      </c>
      <c r="M14" s="121">
        <f t="shared" si="2"/>
        <v>3</v>
      </c>
      <c r="N14" s="121">
        <f t="shared" si="3"/>
        <v>3</v>
      </c>
      <c r="O14" s="121">
        <f t="shared" si="4"/>
        <v>3</v>
      </c>
      <c r="P14" s="121">
        <f t="shared" si="4"/>
        <v>3</v>
      </c>
      <c r="Q14" s="13">
        <f t="shared" si="5"/>
        <v>1</v>
      </c>
      <c r="R14" s="13"/>
      <c r="S14" s="121">
        <v>-9999</v>
      </c>
      <c r="T14" s="122">
        <v>2</v>
      </c>
      <c r="U14" s="123">
        <f>T14+P14</f>
        <v>5</v>
      </c>
      <c r="V14" s="116"/>
      <c r="W14" s="42" t="s">
        <v>48</v>
      </c>
      <c r="X14" s="49" t="s">
        <v>106</v>
      </c>
      <c r="Y14" s="13" t="e">
        <f>AVERAGE(#REF!)</f>
        <v>#REF!</v>
      </c>
      <c r="Z14" s="76">
        <v>0.25</v>
      </c>
      <c r="AA14" s="76"/>
      <c r="AB14" s="3"/>
      <c r="AC14" s="3"/>
      <c r="AD14" s="3"/>
      <c r="AE14" s="3"/>
      <c r="AF14" s="77"/>
      <c r="AG14" s="79"/>
      <c r="AH14" s="80"/>
      <c r="AI14" s="116"/>
      <c r="AJ14" s="116"/>
      <c r="AK14" s="116"/>
      <c r="AL14" s="116"/>
      <c r="AM14" s="116"/>
      <c r="AN14" s="116"/>
      <c r="AO14" s="116"/>
    </row>
    <row r="15" spans="1:41" s="117" customFormat="1">
      <c r="A15" s="124"/>
      <c r="B15" s="125" t="s">
        <v>100</v>
      </c>
      <c r="C15" s="137">
        <v>1</v>
      </c>
      <c r="D15" s="137">
        <v>0.8</v>
      </c>
      <c r="E15" s="137">
        <v>0.71</v>
      </c>
      <c r="F15" s="137">
        <v>0.6</v>
      </c>
      <c r="G15" s="137">
        <v>0.84</v>
      </c>
      <c r="H15" s="137"/>
      <c r="I15" s="137"/>
      <c r="J15" s="125"/>
      <c r="K15" s="127">
        <f t="shared" si="0"/>
        <v>3</v>
      </c>
      <c r="L15" s="127">
        <f t="shared" si="1"/>
        <v>3</v>
      </c>
      <c r="M15" s="127">
        <f t="shared" si="2"/>
        <v>2</v>
      </c>
      <c r="N15" s="127">
        <f t="shared" si="3"/>
        <v>3</v>
      </c>
      <c r="O15" s="127">
        <f t="shared" si="4"/>
        <v>1</v>
      </c>
      <c r="P15" s="127">
        <f t="shared" si="4"/>
        <v>3</v>
      </c>
      <c r="Q15" s="10">
        <f t="shared" si="5"/>
        <v>0.9</v>
      </c>
      <c r="R15" s="10"/>
      <c r="S15" s="127">
        <v>3</v>
      </c>
      <c r="T15" s="126">
        <v>3</v>
      </c>
      <c r="U15" s="128">
        <f>P15+T15</f>
        <v>6</v>
      </c>
      <c r="V15" s="116"/>
      <c r="W15" s="75"/>
      <c r="X15" s="73">
        <v>2008</v>
      </c>
      <c r="Y15" s="13" t="e">
        <f>AVERAGE(#REF!)</f>
        <v>#REF!</v>
      </c>
      <c r="Z15" s="74">
        <v>0</v>
      </c>
      <c r="AA15" s="74"/>
      <c r="AB15" s="9"/>
      <c r="AC15" s="9"/>
      <c r="AD15" s="9"/>
      <c r="AE15" s="9"/>
      <c r="AF15" s="78"/>
      <c r="AG15" s="81"/>
      <c r="AH15" s="82"/>
      <c r="AI15" s="116"/>
      <c r="AJ15" s="116"/>
      <c r="AK15" s="116"/>
      <c r="AL15" s="116"/>
      <c r="AM15" s="116"/>
      <c r="AN15" s="116"/>
      <c r="AO15" s="116"/>
    </row>
    <row r="16" spans="1:41" s="117" customFormat="1">
      <c r="A16" s="118"/>
      <c r="B16" s="119">
        <v>2008</v>
      </c>
      <c r="C16" s="99">
        <v>0</v>
      </c>
      <c r="D16" s="99">
        <v>0.25</v>
      </c>
      <c r="E16" s="99">
        <v>0.2</v>
      </c>
      <c r="F16" s="99">
        <v>0</v>
      </c>
      <c r="G16" s="99">
        <v>0.75</v>
      </c>
      <c r="H16" s="99"/>
      <c r="I16" s="99"/>
      <c r="J16" s="119" t="s">
        <v>38</v>
      </c>
      <c r="K16" s="121">
        <f t="shared" si="0"/>
        <v>2</v>
      </c>
      <c r="L16" s="121">
        <f t="shared" si="1"/>
        <v>2</v>
      </c>
      <c r="M16" s="121">
        <f t="shared" si="2"/>
        <v>1</v>
      </c>
      <c r="N16" s="121">
        <f t="shared" si="3"/>
        <v>3</v>
      </c>
      <c r="O16" s="121">
        <f t="shared" si="4"/>
        <v>3</v>
      </c>
      <c r="P16" s="121">
        <f t="shared" si="4"/>
        <v>3</v>
      </c>
      <c r="Q16" s="13">
        <f t="shared" si="5"/>
        <v>0.125</v>
      </c>
      <c r="R16" s="13"/>
      <c r="S16" s="121">
        <v>-9999</v>
      </c>
      <c r="T16" s="122">
        <v>2</v>
      </c>
      <c r="U16" s="123">
        <f>T16+P16</f>
        <v>5</v>
      </c>
      <c r="V16" s="116"/>
      <c r="W16" s="42" t="s">
        <v>49</v>
      </c>
      <c r="X16" s="49" t="s">
        <v>106</v>
      </c>
      <c r="Y16" s="13" t="e">
        <f>AVERAGE(#REF!)</f>
        <v>#REF!</v>
      </c>
      <c r="Z16" s="76">
        <v>0.8</v>
      </c>
      <c r="AA16" s="76"/>
      <c r="AB16" s="3"/>
      <c r="AC16" s="3"/>
      <c r="AD16" s="3"/>
      <c r="AE16" s="3"/>
      <c r="AF16" s="77"/>
      <c r="AG16" s="79"/>
      <c r="AH16" s="80"/>
      <c r="AI16" s="116"/>
      <c r="AJ16" s="116"/>
      <c r="AK16" s="116"/>
      <c r="AL16" s="116"/>
      <c r="AM16" s="116"/>
      <c r="AN16" s="116"/>
      <c r="AO16" s="116"/>
    </row>
    <row r="17" spans="1:40" s="117" customFormat="1">
      <c r="A17" s="129" t="s">
        <v>38</v>
      </c>
      <c r="B17" s="130">
        <v>2010</v>
      </c>
      <c r="C17" s="72">
        <v>0.25</v>
      </c>
      <c r="D17" s="72">
        <v>0.25</v>
      </c>
      <c r="E17" s="72">
        <v>0</v>
      </c>
      <c r="F17" s="72">
        <v>0</v>
      </c>
      <c r="G17" s="72">
        <v>0.8</v>
      </c>
      <c r="H17" s="72"/>
      <c r="I17" s="72"/>
      <c r="J17" s="130"/>
      <c r="K17" s="131">
        <f t="shared" si="0"/>
        <v>2</v>
      </c>
      <c r="L17" s="131">
        <f t="shared" si="1"/>
        <v>1</v>
      </c>
      <c r="M17" s="131">
        <f t="shared" si="2"/>
        <v>1</v>
      </c>
      <c r="N17" s="131">
        <f t="shared" si="3"/>
        <v>3</v>
      </c>
      <c r="O17" s="131">
        <f t="shared" si="4"/>
        <v>1</v>
      </c>
      <c r="P17" s="131">
        <f t="shared" si="4"/>
        <v>3</v>
      </c>
      <c r="Q17" s="10">
        <f t="shared" si="5"/>
        <v>0.25</v>
      </c>
      <c r="R17" s="6"/>
      <c r="S17" s="121">
        <v>-9999</v>
      </c>
      <c r="T17" s="132">
        <v>2</v>
      </c>
      <c r="U17" s="133">
        <f>P17+T17</f>
        <v>5</v>
      </c>
      <c r="V17" s="116"/>
      <c r="W17" s="75"/>
      <c r="X17" s="73" t="s">
        <v>100</v>
      </c>
      <c r="Y17" s="13" t="e">
        <f>AVERAGE(#REF!)</f>
        <v>#REF!</v>
      </c>
      <c r="Z17" s="74">
        <f>5/6</f>
        <v>0.83333333333333337</v>
      </c>
      <c r="AA17" s="74"/>
      <c r="AB17" s="9"/>
      <c r="AC17" s="9"/>
      <c r="AD17" s="9"/>
      <c r="AE17" s="78"/>
      <c r="AF17" s="81"/>
      <c r="AG17" s="82"/>
      <c r="AH17" s="116"/>
      <c r="AI17" s="116"/>
      <c r="AJ17" s="116"/>
      <c r="AK17" s="116"/>
      <c r="AL17" s="116"/>
      <c r="AM17" s="116"/>
      <c r="AN17" s="116"/>
    </row>
    <row r="18" spans="1:40" s="117" customFormat="1">
      <c r="A18" s="124"/>
      <c r="B18" s="125" t="s">
        <v>100</v>
      </c>
      <c r="C18" s="137" t="s">
        <v>50</v>
      </c>
      <c r="D18" s="137" t="s">
        <v>50</v>
      </c>
      <c r="E18" s="137">
        <v>0.5</v>
      </c>
      <c r="F18" s="137">
        <v>0</v>
      </c>
      <c r="G18" s="137">
        <v>1</v>
      </c>
      <c r="H18" s="137"/>
      <c r="I18" s="137"/>
      <c r="J18" s="125"/>
      <c r="K18" s="127">
        <f t="shared" si="0"/>
        <v>3</v>
      </c>
      <c r="L18" s="127">
        <f t="shared" si="1"/>
        <v>2</v>
      </c>
      <c r="M18" s="127">
        <f t="shared" si="2"/>
        <v>1</v>
      </c>
      <c r="N18" s="127">
        <f t="shared" si="3"/>
        <v>3</v>
      </c>
      <c r="O18" s="127">
        <f t="shared" si="4"/>
        <v>1</v>
      </c>
      <c r="P18" s="127">
        <f t="shared" si="4"/>
        <v>3</v>
      </c>
      <c r="Q18" s="131"/>
      <c r="R18" s="131"/>
      <c r="S18" s="121">
        <v>-9999</v>
      </c>
      <c r="T18" s="126" t="s">
        <v>50</v>
      </c>
      <c r="U18" s="134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</row>
    <row r="19" spans="1:40" s="117" customFormat="1">
      <c r="A19" s="118" t="s">
        <v>39</v>
      </c>
      <c r="B19" s="119">
        <v>2008</v>
      </c>
      <c r="C19" s="99">
        <v>0.33</v>
      </c>
      <c r="D19" s="99">
        <v>0.6</v>
      </c>
      <c r="E19" s="99">
        <v>0.2</v>
      </c>
      <c r="F19" s="99">
        <v>0</v>
      </c>
      <c r="G19" s="99">
        <v>0.33</v>
      </c>
      <c r="H19" s="99"/>
      <c r="I19" s="99"/>
      <c r="J19" s="119" t="s">
        <v>39</v>
      </c>
      <c r="K19" s="121">
        <f t="shared" si="0"/>
        <v>2</v>
      </c>
      <c r="L19" s="121">
        <f t="shared" si="1"/>
        <v>2</v>
      </c>
      <c r="M19" s="121">
        <f t="shared" si="2"/>
        <v>1</v>
      </c>
      <c r="N19" s="121">
        <f t="shared" si="3"/>
        <v>2</v>
      </c>
      <c r="O19" s="121">
        <f t="shared" si="4"/>
        <v>3</v>
      </c>
      <c r="P19" s="121">
        <f t="shared" si="4"/>
        <v>3</v>
      </c>
      <c r="Q19" s="121"/>
      <c r="R19" s="121"/>
      <c r="S19" s="121"/>
      <c r="T19" s="120" t="s">
        <v>50</v>
      </c>
      <c r="U19" s="135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</row>
    <row r="20" spans="1:40" s="117" customFormat="1">
      <c r="A20" s="129"/>
      <c r="B20" s="130" t="s">
        <v>105</v>
      </c>
      <c r="C20" s="72">
        <v>0.4</v>
      </c>
      <c r="D20" s="72">
        <v>0.6</v>
      </c>
      <c r="E20" s="72">
        <v>0</v>
      </c>
      <c r="F20" s="72">
        <v>0</v>
      </c>
      <c r="G20" s="72">
        <v>1</v>
      </c>
      <c r="H20" s="72"/>
      <c r="I20" s="72"/>
      <c r="J20" s="130"/>
      <c r="K20" s="131">
        <f t="shared" si="0"/>
        <v>2</v>
      </c>
      <c r="L20" s="131">
        <f t="shared" si="1"/>
        <v>1</v>
      </c>
      <c r="M20" s="131">
        <f t="shared" si="2"/>
        <v>1</v>
      </c>
      <c r="N20" s="131">
        <f t="shared" si="3"/>
        <v>3</v>
      </c>
      <c r="O20" s="131">
        <f t="shared" si="4"/>
        <v>1</v>
      </c>
      <c r="P20" s="131">
        <f t="shared" si="4"/>
        <v>3</v>
      </c>
      <c r="Q20" s="6">
        <f>AVERAGE(C19:D20)</f>
        <v>0.48250000000000004</v>
      </c>
      <c r="R20" s="6"/>
      <c r="S20" s="131">
        <v>11</v>
      </c>
      <c r="T20" s="132">
        <v>2</v>
      </c>
      <c r="U20" s="136">
        <f>T20+P20</f>
        <v>5</v>
      </c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</row>
    <row r="21" spans="1:40" s="117" customFormat="1">
      <c r="A21" s="124"/>
      <c r="B21" s="125" t="s">
        <v>100</v>
      </c>
      <c r="C21" s="137">
        <v>0.5</v>
      </c>
      <c r="D21" s="137">
        <v>0.67</v>
      </c>
      <c r="E21" s="137">
        <v>0</v>
      </c>
      <c r="F21" s="137">
        <v>0</v>
      </c>
      <c r="G21" s="137">
        <v>0.82</v>
      </c>
      <c r="H21" s="137"/>
      <c r="I21" s="137"/>
      <c r="J21" s="125"/>
      <c r="K21" s="127">
        <f t="shared" si="0"/>
        <v>2</v>
      </c>
      <c r="L21" s="127">
        <f t="shared" si="1"/>
        <v>1</v>
      </c>
      <c r="M21" s="127">
        <f t="shared" si="2"/>
        <v>1</v>
      </c>
      <c r="N21" s="127">
        <f t="shared" si="3"/>
        <v>3</v>
      </c>
      <c r="O21" s="127">
        <f t="shared" si="4"/>
        <v>1</v>
      </c>
      <c r="P21" s="127">
        <f t="shared" si="4"/>
        <v>3</v>
      </c>
      <c r="Q21" s="6">
        <f>AVERAGE(C20:D21)</f>
        <v>0.54249999999999998</v>
      </c>
      <c r="R21" s="6"/>
      <c r="S21" s="127">
        <v>18</v>
      </c>
      <c r="T21" s="126">
        <v>2</v>
      </c>
      <c r="U21" s="128">
        <f>P21+T21</f>
        <v>5</v>
      </c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</row>
    <row r="22" spans="1:40" s="117" customFormat="1">
      <c r="A22" s="118" t="s">
        <v>40</v>
      </c>
      <c r="B22" s="119">
        <v>2008</v>
      </c>
      <c r="C22" s="99">
        <v>0.5</v>
      </c>
      <c r="D22" s="99">
        <v>1</v>
      </c>
      <c r="E22" s="99">
        <v>0</v>
      </c>
      <c r="F22" s="99">
        <v>0</v>
      </c>
      <c r="G22" s="99">
        <v>0.66</v>
      </c>
      <c r="H22" s="99"/>
      <c r="I22" s="99"/>
      <c r="J22" s="119" t="s">
        <v>40</v>
      </c>
      <c r="K22" s="121">
        <f t="shared" si="0"/>
        <v>3</v>
      </c>
      <c r="L22" s="121">
        <f t="shared" si="1"/>
        <v>1</v>
      </c>
      <c r="M22" s="121">
        <f t="shared" si="2"/>
        <v>1</v>
      </c>
      <c r="N22" s="121">
        <f t="shared" si="3"/>
        <v>2</v>
      </c>
      <c r="O22" s="121">
        <f t="shared" si="4"/>
        <v>3</v>
      </c>
      <c r="P22" s="121">
        <f t="shared" si="4"/>
        <v>3</v>
      </c>
      <c r="Q22" s="13">
        <f>AVERAGE(C22:D22)</f>
        <v>0.75</v>
      </c>
      <c r="R22" s="13"/>
      <c r="S22" s="121">
        <v>29</v>
      </c>
      <c r="T22" s="122">
        <v>2</v>
      </c>
      <c r="U22" s="123">
        <f>T22+P22</f>
        <v>5</v>
      </c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</row>
    <row r="23" spans="1:40" s="117" customFormat="1">
      <c r="A23" s="124"/>
      <c r="B23" s="125" t="s">
        <v>100</v>
      </c>
      <c r="C23" s="137">
        <v>0.66</v>
      </c>
      <c r="D23" s="137">
        <v>0.83</v>
      </c>
      <c r="E23" s="137">
        <v>0.63</v>
      </c>
      <c r="F23" s="137">
        <v>0.16</v>
      </c>
      <c r="G23" s="137">
        <v>0.75</v>
      </c>
      <c r="H23" s="137"/>
      <c r="I23" s="137"/>
      <c r="J23" s="125"/>
      <c r="K23" s="127">
        <f t="shared" si="0"/>
        <v>3</v>
      </c>
      <c r="L23" s="127">
        <f t="shared" si="1"/>
        <v>2</v>
      </c>
      <c r="M23" s="127">
        <f t="shared" si="2"/>
        <v>2</v>
      </c>
      <c r="N23" s="127">
        <f t="shared" si="3"/>
        <v>3</v>
      </c>
      <c r="O23" s="127">
        <f t="shared" si="4"/>
        <v>1</v>
      </c>
      <c r="P23" s="127">
        <f t="shared" si="4"/>
        <v>3</v>
      </c>
      <c r="Q23" s="10">
        <f>AVERAGE(C23:D23)</f>
        <v>0.745</v>
      </c>
      <c r="R23" s="10"/>
      <c r="S23" s="127">
        <v>12</v>
      </c>
      <c r="T23" s="126">
        <v>2</v>
      </c>
      <c r="U23" s="128">
        <f>P23+T23</f>
        <v>5</v>
      </c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</row>
    <row r="24" spans="1:40" s="117" customFormat="1">
      <c r="A24" s="118" t="s">
        <v>41</v>
      </c>
      <c r="B24" s="119">
        <v>2008</v>
      </c>
      <c r="C24" s="99">
        <f>C25</f>
        <v>1</v>
      </c>
      <c r="D24" s="99">
        <f>D25</f>
        <v>0.66</v>
      </c>
      <c r="E24" s="99">
        <f>E25</f>
        <v>0.43</v>
      </c>
      <c r="F24" s="99">
        <f>F25</f>
        <v>0.66</v>
      </c>
      <c r="G24" s="99">
        <f>G25</f>
        <v>1</v>
      </c>
      <c r="H24" s="99"/>
      <c r="I24" s="99"/>
      <c r="J24" s="119" t="s">
        <v>41</v>
      </c>
      <c r="K24" s="121">
        <f t="shared" si="0"/>
        <v>2</v>
      </c>
      <c r="L24" s="121">
        <f t="shared" si="1"/>
        <v>2</v>
      </c>
      <c r="M24" s="121">
        <f t="shared" si="2"/>
        <v>2</v>
      </c>
      <c r="N24" s="121">
        <f t="shared" si="3"/>
        <v>3</v>
      </c>
      <c r="O24" s="121">
        <f t="shared" si="4"/>
        <v>3</v>
      </c>
      <c r="P24" s="121">
        <f t="shared" si="4"/>
        <v>3</v>
      </c>
      <c r="Q24" s="13">
        <f>AVERAGE(C24:D24)</f>
        <v>0.83000000000000007</v>
      </c>
      <c r="R24" s="13"/>
      <c r="S24" s="121">
        <v>7.5</v>
      </c>
      <c r="T24" s="120" t="str">
        <f>T25</f>
        <v>No Data</v>
      </c>
      <c r="U24" s="123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</row>
    <row r="25" spans="1:40" s="117" customFormat="1">
      <c r="A25" s="124"/>
      <c r="B25" s="125" t="s">
        <v>100</v>
      </c>
      <c r="C25" s="137">
        <v>1</v>
      </c>
      <c r="D25" s="137">
        <v>0.66</v>
      </c>
      <c r="E25" s="137">
        <v>0.43</v>
      </c>
      <c r="F25" s="137">
        <v>0.66</v>
      </c>
      <c r="G25" s="137">
        <v>1</v>
      </c>
      <c r="H25" s="137"/>
      <c r="I25" s="137"/>
      <c r="J25" s="125"/>
      <c r="K25" s="127">
        <f t="shared" si="0"/>
        <v>2</v>
      </c>
      <c r="L25" s="127">
        <f t="shared" si="1"/>
        <v>2</v>
      </c>
      <c r="M25" s="127">
        <f t="shared" si="2"/>
        <v>2</v>
      </c>
      <c r="N25" s="127">
        <f t="shared" si="3"/>
        <v>3</v>
      </c>
      <c r="O25" s="127">
        <f t="shared" si="4"/>
        <v>1</v>
      </c>
      <c r="P25" s="127">
        <f t="shared" si="4"/>
        <v>3</v>
      </c>
      <c r="Q25" s="10">
        <f>AVERAGE(C25:D25)</f>
        <v>0.83000000000000007</v>
      </c>
      <c r="R25" s="10"/>
      <c r="S25" s="127"/>
      <c r="T25" s="126" t="s">
        <v>50</v>
      </c>
      <c r="U25" s="128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</row>
    <row r="27" spans="1:40">
      <c r="H27" s="49" t="s">
        <v>106</v>
      </c>
      <c r="I27" s="71"/>
      <c r="J27" s="73" t="s">
        <v>100</v>
      </c>
    </row>
    <row r="28" spans="1:40">
      <c r="H28" s="13">
        <v>0.9</v>
      </c>
      <c r="I28" s="13"/>
      <c r="J28" s="13">
        <v>0.92999999999999994</v>
      </c>
    </row>
    <row r="29" spans="1:40">
      <c r="C29" t="s">
        <v>104</v>
      </c>
      <c r="D29" t="s">
        <v>102</v>
      </c>
      <c r="G29" s="73"/>
      <c r="H29" s="13">
        <v>0.8</v>
      </c>
      <c r="I29" s="13"/>
      <c r="J29" s="13">
        <v>0.6607142857142857</v>
      </c>
    </row>
    <row r="30" spans="1:40">
      <c r="A30" s="118" t="s">
        <v>31</v>
      </c>
      <c r="B30" t="s">
        <v>106</v>
      </c>
      <c r="C30">
        <v>0.375</v>
      </c>
      <c r="D30">
        <v>13</v>
      </c>
      <c r="G30" s="49"/>
      <c r="H30" s="13">
        <v>0.4</v>
      </c>
      <c r="I30" s="13"/>
      <c r="J30" s="13">
        <v>0.6333333333333333</v>
      </c>
    </row>
    <row r="31" spans="1:40">
      <c r="A31" s="118" t="s">
        <v>31</v>
      </c>
      <c r="B31" t="s">
        <v>100</v>
      </c>
      <c r="C31">
        <v>0.58000000000000007</v>
      </c>
      <c r="D31">
        <v>13</v>
      </c>
      <c r="G31" s="73"/>
      <c r="H31" s="13">
        <v>0</v>
      </c>
      <c r="I31" s="13"/>
      <c r="J31" s="13">
        <v>0.27777777777777779</v>
      </c>
    </row>
    <row r="32" spans="1:40">
      <c r="A32" s="118" t="s">
        <v>32</v>
      </c>
      <c r="B32" t="s">
        <v>106</v>
      </c>
      <c r="C32">
        <v>1</v>
      </c>
      <c r="D32">
        <v>24</v>
      </c>
      <c r="G32" s="49"/>
      <c r="H32" s="13">
        <v>0.4</v>
      </c>
      <c r="I32" s="13"/>
      <c r="J32" s="13">
        <v>0.6333333333333333</v>
      </c>
    </row>
    <row r="33" spans="1:21">
      <c r="A33" s="118" t="s">
        <v>32</v>
      </c>
      <c r="B33" t="s">
        <v>100</v>
      </c>
      <c r="C33">
        <v>0.66500000000000004</v>
      </c>
      <c r="D33">
        <v>5</v>
      </c>
      <c r="G33" s="73"/>
      <c r="H33" s="13">
        <v>0.875</v>
      </c>
      <c r="I33" s="13"/>
      <c r="J33" s="13">
        <v>1</v>
      </c>
    </row>
    <row r="34" spans="1:21">
      <c r="A34" s="118" t="s">
        <v>33</v>
      </c>
      <c r="B34" t="s">
        <v>106</v>
      </c>
      <c r="C34">
        <v>0.875</v>
      </c>
      <c r="D34">
        <v>30</v>
      </c>
      <c r="G34" s="49"/>
      <c r="H34" s="13">
        <v>1</v>
      </c>
      <c r="I34" s="13"/>
      <c r="J34" s="13">
        <v>0.9285714285714286</v>
      </c>
    </row>
    <row r="35" spans="1:21">
      <c r="A35" s="118" t="s">
        <v>33</v>
      </c>
      <c r="B35" t="s">
        <v>100</v>
      </c>
      <c r="C35">
        <v>0.6</v>
      </c>
      <c r="D35">
        <v>17</v>
      </c>
      <c r="G35" s="73"/>
    </row>
    <row r="36" spans="1:21">
      <c r="A36" s="118" t="s">
        <v>34</v>
      </c>
      <c r="B36" t="s">
        <v>106</v>
      </c>
      <c r="C36">
        <v>0.5</v>
      </c>
      <c r="D36">
        <v>27</v>
      </c>
      <c r="G36" s="49"/>
    </row>
    <row r="37" spans="1:21">
      <c r="A37" s="118" t="s">
        <v>34</v>
      </c>
      <c r="B37" t="s">
        <v>100</v>
      </c>
      <c r="C37">
        <v>1</v>
      </c>
      <c r="D37">
        <v>11</v>
      </c>
      <c r="G37" s="73"/>
    </row>
    <row r="38" spans="1:21">
      <c r="A38" s="118" t="s">
        <v>35</v>
      </c>
      <c r="B38" t="s">
        <v>106</v>
      </c>
      <c r="C38">
        <v>1</v>
      </c>
      <c r="D38">
        <v>29</v>
      </c>
      <c r="G38" s="49"/>
    </row>
    <row r="39" spans="1:21">
      <c r="A39" s="118" t="s">
        <v>35</v>
      </c>
      <c r="B39" t="s">
        <v>100</v>
      </c>
      <c r="C39">
        <v>0.80499999999999994</v>
      </c>
      <c r="D39">
        <v>4.5</v>
      </c>
    </row>
    <row r="40" spans="1:21">
      <c r="A40" s="118" t="s">
        <v>39</v>
      </c>
      <c r="B40" t="s">
        <v>100</v>
      </c>
      <c r="C40">
        <v>0.48250000000000004</v>
      </c>
      <c r="D40">
        <v>11</v>
      </c>
    </row>
    <row r="41" spans="1:21">
      <c r="A41" s="118" t="s">
        <v>39</v>
      </c>
      <c r="B41" t="s">
        <v>106</v>
      </c>
      <c r="C41">
        <v>0.54</v>
      </c>
      <c r="D41">
        <v>18</v>
      </c>
    </row>
    <row r="42" spans="1:21">
      <c r="A42" s="118" t="s">
        <v>40</v>
      </c>
      <c r="B42" t="s">
        <v>100</v>
      </c>
      <c r="C42">
        <v>0.75</v>
      </c>
      <c r="D42">
        <v>29</v>
      </c>
    </row>
    <row r="43" spans="1:21">
      <c r="A43" s="118" t="s">
        <v>40</v>
      </c>
      <c r="B43" t="s">
        <v>106</v>
      </c>
      <c r="C43">
        <v>0.745</v>
      </c>
      <c r="D43">
        <v>12</v>
      </c>
      <c r="G43" t="s">
        <v>106</v>
      </c>
      <c r="H43" t="s">
        <v>107</v>
      </c>
      <c r="I43" t="s">
        <v>112</v>
      </c>
      <c r="J43" t="s">
        <v>106</v>
      </c>
      <c r="Q43" t="s">
        <v>100</v>
      </c>
      <c r="R43" t="s">
        <v>112</v>
      </c>
    </row>
    <row r="44" spans="1:21">
      <c r="A44" s="117"/>
      <c r="B44" s="50" t="s">
        <v>1</v>
      </c>
      <c r="C44" s="70" t="s">
        <v>108</v>
      </c>
      <c r="D44" s="50" t="s">
        <v>102</v>
      </c>
      <c r="F44" s="118" t="s">
        <v>31</v>
      </c>
      <c r="G44" s="138">
        <v>0.375</v>
      </c>
      <c r="H44" s="138">
        <v>0.58000000000000007</v>
      </c>
      <c r="I44" s="138">
        <f>H44-G44</f>
        <v>0.20500000000000007</v>
      </c>
      <c r="Q44">
        <v>13</v>
      </c>
      <c r="S44" t="s">
        <v>100</v>
      </c>
      <c r="T44">
        <v>0.58000000000000007</v>
      </c>
      <c r="U44">
        <v>13</v>
      </c>
    </row>
    <row r="45" spans="1:21">
      <c r="A45" s="42" t="s">
        <v>42</v>
      </c>
      <c r="B45" s="49" t="s">
        <v>106</v>
      </c>
      <c r="C45" s="13">
        <v>0.9</v>
      </c>
      <c r="D45" s="3">
        <v>31</v>
      </c>
      <c r="F45" s="118" t="s">
        <v>32</v>
      </c>
      <c r="G45" s="138">
        <v>1</v>
      </c>
      <c r="H45" s="138">
        <v>0.66500000000000004</v>
      </c>
      <c r="I45" s="138">
        <f t="shared" ref="I45:I56" si="7">H45-G45</f>
        <v>-0.33499999999999996</v>
      </c>
      <c r="Q45">
        <v>5</v>
      </c>
      <c r="S45" t="s">
        <v>100</v>
      </c>
      <c r="T45">
        <v>0.66500000000000004</v>
      </c>
      <c r="U45">
        <v>5</v>
      </c>
    </row>
    <row r="46" spans="1:21">
      <c r="A46" s="75"/>
      <c r="B46" s="73" t="s">
        <v>100</v>
      </c>
      <c r="C46" s="13">
        <v>0.92999999999999994</v>
      </c>
      <c r="D46" s="9">
        <v>23</v>
      </c>
      <c r="F46" s="118" t="s">
        <v>33</v>
      </c>
      <c r="G46" s="138">
        <v>0.875</v>
      </c>
      <c r="H46" s="138">
        <v>0.6</v>
      </c>
      <c r="I46" s="138">
        <f t="shared" si="7"/>
        <v>-0.27500000000000002</v>
      </c>
      <c r="Q46">
        <v>17</v>
      </c>
      <c r="S46" t="s">
        <v>100</v>
      </c>
      <c r="T46">
        <v>0.6</v>
      </c>
      <c r="U46">
        <v>17</v>
      </c>
    </row>
    <row r="47" spans="1:21">
      <c r="A47" s="42" t="s">
        <v>43</v>
      </c>
      <c r="B47" s="49" t="s">
        <v>106</v>
      </c>
      <c r="C47" s="13">
        <v>0.8</v>
      </c>
      <c r="D47" s="3">
        <v>27</v>
      </c>
      <c r="F47" s="118" t="s">
        <v>34</v>
      </c>
      <c r="G47" s="138">
        <v>0.5</v>
      </c>
      <c r="H47" s="138">
        <v>1</v>
      </c>
      <c r="I47" s="138">
        <f t="shared" si="7"/>
        <v>0.5</v>
      </c>
      <c r="Q47">
        <v>11</v>
      </c>
      <c r="S47" t="s">
        <v>100</v>
      </c>
      <c r="T47">
        <v>1</v>
      </c>
      <c r="U47">
        <v>11</v>
      </c>
    </row>
    <row r="48" spans="1:21">
      <c r="A48" s="75"/>
      <c r="B48" s="73" t="s">
        <v>100</v>
      </c>
      <c r="C48" s="13">
        <v>0.6607142857142857</v>
      </c>
      <c r="D48" s="9">
        <v>27</v>
      </c>
      <c r="F48" s="118" t="s">
        <v>35</v>
      </c>
      <c r="G48" s="138">
        <v>1</v>
      </c>
      <c r="H48" s="138">
        <v>0.80499999999999994</v>
      </c>
      <c r="I48" s="138">
        <f t="shared" si="7"/>
        <v>-0.19500000000000006</v>
      </c>
      <c r="Q48">
        <v>4.5</v>
      </c>
      <c r="S48" t="s">
        <v>100</v>
      </c>
      <c r="T48">
        <v>0.80499999999999994</v>
      </c>
      <c r="U48">
        <v>4.5</v>
      </c>
    </row>
    <row r="49" spans="1:22">
      <c r="A49" s="42" t="s">
        <v>44</v>
      </c>
      <c r="B49" s="49" t="s">
        <v>106</v>
      </c>
      <c r="C49" s="13">
        <v>0.4</v>
      </c>
      <c r="D49" s="3">
        <v>16</v>
      </c>
      <c r="F49" s="118" t="s">
        <v>39</v>
      </c>
      <c r="G49" s="138">
        <v>0.54</v>
      </c>
      <c r="H49" s="138">
        <v>0.48250000000000004</v>
      </c>
      <c r="I49" s="138">
        <f t="shared" si="7"/>
        <v>-5.7499999999999996E-2</v>
      </c>
      <c r="Q49">
        <v>11</v>
      </c>
      <c r="S49" t="s">
        <v>100</v>
      </c>
      <c r="T49">
        <v>0.48250000000000004</v>
      </c>
      <c r="U49">
        <v>11</v>
      </c>
    </row>
    <row r="50" spans="1:22">
      <c r="A50" s="75"/>
      <c r="B50" s="73" t="s">
        <v>100</v>
      </c>
      <c r="C50" s="13">
        <v>0.6333333333333333</v>
      </c>
      <c r="D50" s="9">
        <v>12</v>
      </c>
      <c r="F50" s="118" t="s">
        <v>40</v>
      </c>
      <c r="G50" s="138">
        <v>0.745</v>
      </c>
      <c r="H50" s="138">
        <v>0.75</v>
      </c>
      <c r="I50" s="138">
        <f t="shared" si="7"/>
        <v>5.0000000000000044E-3</v>
      </c>
      <c r="Q50">
        <v>29</v>
      </c>
      <c r="S50" t="s">
        <v>100</v>
      </c>
      <c r="T50">
        <v>0.75</v>
      </c>
      <c r="U50">
        <v>29</v>
      </c>
    </row>
    <row r="51" spans="1:22">
      <c r="A51" s="42" t="s">
        <v>45</v>
      </c>
      <c r="B51" s="49" t="s">
        <v>106</v>
      </c>
      <c r="C51" s="13">
        <v>0</v>
      </c>
      <c r="D51" s="3">
        <v>16</v>
      </c>
      <c r="F51" s="42" t="s">
        <v>42</v>
      </c>
      <c r="G51">
        <v>0.95</v>
      </c>
      <c r="H51" s="13">
        <v>0.97</v>
      </c>
      <c r="I51" s="138">
        <f t="shared" si="7"/>
        <v>2.0000000000000018E-2</v>
      </c>
      <c r="J51">
        <v>31</v>
      </c>
      <c r="Q51">
        <v>23</v>
      </c>
      <c r="R51">
        <f>Q51-J51</f>
        <v>-8</v>
      </c>
      <c r="V51">
        <v>0.95</v>
      </c>
    </row>
    <row r="52" spans="1:22">
      <c r="A52" s="75"/>
      <c r="B52" s="73" t="s">
        <v>100</v>
      </c>
      <c r="C52" s="13">
        <v>0.27777777777777779</v>
      </c>
      <c r="D52" s="9">
        <v>18</v>
      </c>
      <c r="F52" s="42" t="s">
        <v>43</v>
      </c>
      <c r="G52" s="13">
        <v>0.9</v>
      </c>
      <c r="H52" s="13">
        <v>0.61</v>
      </c>
      <c r="I52" s="138">
        <f t="shared" si="7"/>
        <v>-0.29000000000000004</v>
      </c>
      <c r="J52">
        <v>30</v>
      </c>
      <c r="Q52">
        <v>20</v>
      </c>
      <c r="R52">
        <f>Q52-J52</f>
        <v>-10</v>
      </c>
      <c r="V52">
        <v>0.96499999999999997</v>
      </c>
    </row>
    <row r="53" spans="1:22">
      <c r="A53" s="42" t="s">
        <v>46</v>
      </c>
      <c r="B53" s="49" t="s">
        <v>106</v>
      </c>
      <c r="C53" s="13">
        <v>0.875</v>
      </c>
      <c r="D53" s="3">
        <v>13</v>
      </c>
      <c r="F53" s="42" t="s">
        <v>44</v>
      </c>
      <c r="G53" s="13">
        <v>0.5</v>
      </c>
      <c r="H53" s="13">
        <v>0.61</v>
      </c>
      <c r="I53" s="138">
        <f t="shared" si="7"/>
        <v>0.10999999999999999</v>
      </c>
      <c r="J53">
        <v>30</v>
      </c>
      <c r="Q53">
        <v>12</v>
      </c>
      <c r="R53">
        <f>Q53-J53</f>
        <v>-18</v>
      </c>
      <c r="V53">
        <v>0.9</v>
      </c>
    </row>
    <row r="54" spans="1:22">
      <c r="A54" s="75"/>
      <c r="B54" s="73">
        <v>2012</v>
      </c>
      <c r="C54" s="13">
        <v>1</v>
      </c>
      <c r="D54" s="9">
        <v>21</v>
      </c>
      <c r="F54" s="42" t="s">
        <v>45</v>
      </c>
      <c r="G54" s="13">
        <v>0</v>
      </c>
      <c r="H54" s="13">
        <v>0.41</v>
      </c>
      <c r="I54" s="138">
        <f t="shared" si="7"/>
        <v>0.41</v>
      </c>
      <c r="V54">
        <v>0.6160714285714286</v>
      </c>
    </row>
    <row r="55" spans="1:22">
      <c r="A55" s="42" t="s">
        <v>47</v>
      </c>
      <c r="B55" s="49" t="s">
        <v>106</v>
      </c>
      <c r="C55" s="13">
        <v>1</v>
      </c>
      <c r="D55" s="3">
        <v>29</v>
      </c>
      <c r="F55" s="42" t="s">
        <v>46</v>
      </c>
      <c r="G55" s="13">
        <v>0.93</v>
      </c>
      <c r="H55" s="13">
        <v>1</v>
      </c>
      <c r="I55" s="138">
        <f t="shared" si="7"/>
        <v>6.9999999999999951E-2</v>
      </c>
      <c r="J55">
        <v>6</v>
      </c>
      <c r="Q55">
        <v>6</v>
      </c>
      <c r="R55">
        <f>Q55-J55</f>
        <v>0</v>
      </c>
      <c r="V55">
        <v>0.5</v>
      </c>
    </row>
    <row r="56" spans="1:22">
      <c r="A56" s="75"/>
      <c r="B56" s="73" t="s">
        <v>100</v>
      </c>
      <c r="C56" s="13">
        <v>0.9285714285714286</v>
      </c>
      <c r="D56" s="9">
        <v>12</v>
      </c>
      <c r="F56" s="42" t="s">
        <v>47</v>
      </c>
      <c r="G56" s="13">
        <v>1</v>
      </c>
      <c r="H56" s="13">
        <v>0.96</v>
      </c>
      <c r="I56" s="138">
        <f t="shared" si="7"/>
        <v>-4.0000000000000036E-2</v>
      </c>
      <c r="J56">
        <v>30</v>
      </c>
      <c r="Q56">
        <v>15</v>
      </c>
      <c r="R56">
        <f>Q56-J56</f>
        <v>-15</v>
      </c>
      <c r="V56">
        <v>0.6166666666666667</v>
      </c>
    </row>
    <row r="57" spans="1:22">
      <c r="V57">
        <v>0</v>
      </c>
    </row>
    <row r="58" spans="1:22">
      <c r="V58">
        <v>0.41666666666666669</v>
      </c>
    </row>
    <row r="59" spans="1:22">
      <c r="V59">
        <v>0.9375</v>
      </c>
    </row>
    <row r="60" spans="1:22">
      <c r="V60">
        <v>1</v>
      </c>
    </row>
    <row r="61" spans="1:22">
      <c r="V61">
        <v>1</v>
      </c>
    </row>
    <row r="62" spans="1:22">
      <c r="V62">
        <v>0.9642857142857143</v>
      </c>
    </row>
  </sheetData>
  <autoFilter ref="A29:D43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F1" workbookViewId="0">
      <selection activeCell="L8" sqref="L8"/>
    </sheetView>
  </sheetViews>
  <sheetFormatPr baseColWidth="10" defaultRowHeight="15" x14ac:dyDescent="0"/>
  <cols>
    <col min="1" max="2" width="14.1640625" customWidth="1"/>
    <col min="11" max="11" width="11.83203125" bestFit="1" customWidth="1"/>
    <col min="12" max="12" width="11.33203125" bestFit="1" customWidth="1"/>
  </cols>
  <sheetData>
    <row r="1" spans="1:21">
      <c r="A1" s="140" t="s">
        <v>118</v>
      </c>
      <c r="B1" s="140">
        <v>2008</v>
      </c>
      <c r="C1">
        <v>2009</v>
      </c>
      <c r="E1">
        <v>2012</v>
      </c>
      <c r="F1">
        <v>2013</v>
      </c>
      <c r="J1" s="140" t="s">
        <v>118</v>
      </c>
      <c r="K1" s="140" t="s">
        <v>130</v>
      </c>
      <c r="L1" s="140" t="s">
        <v>131</v>
      </c>
      <c r="N1" s="140" t="s">
        <v>132</v>
      </c>
      <c r="O1" s="140" t="s">
        <v>133</v>
      </c>
      <c r="Q1" s="140" t="s">
        <v>134</v>
      </c>
      <c r="R1" s="140" t="s">
        <v>137</v>
      </c>
      <c r="S1" s="140" t="s">
        <v>135</v>
      </c>
      <c r="T1" s="140" t="s">
        <v>136</v>
      </c>
    </row>
    <row r="2" spans="1:21">
      <c r="A2" t="s">
        <v>114</v>
      </c>
      <c r="C2">
        <v>0.33</v>
      </c>
      <c r="E2">
        <v>0.433</v>
      </c>
      <c r="H2" s="141"/>
      <c r="J2" t="s">
        <v>117</v>
      </c>
      <c r="K2">
        <v>0.65</v>
      </c>
      <c r="L2">
        <v>30</v>
      </c>
      <c r="M2" t="s">
        <v>117</v>
      </c>
      <c r="O2">
        <v>18</v>
      </c>
      <c r="Q2">
        <v>0.73</v>
      </c>
      <c r="R2">
        <f t="shared" ref="R2:R18" si="0">AVERAGE(N2,Q2)</f>
        <v>0.73</v>
      </c>
      <c r="S2">
        <v>12</v>
      </c>
      <c r="T2">
        <f t="shared" ref="T2:T12" si="1">AVERAGE(O2,S2)</f>
        <v>15</v>
      </c>
    </row>
    <row r="3" spans="1:21">
      <c r="A3" t="s">
        <v>115</v>
      </c>
      <c r="C3">
        <v>0.70499999999999996</v>
      </c>
      <c r="E3">
        <f>0.52/3</f>
        <v>0.17333333333333334</v>
      </c>
      <c r="H3" s="141"/>
      <c r="J3" t="s">
        <v>34</v>
      </c>
      <c r="K3">
        <f>0.905/5</f>
        <v>0.18099999999999999</v>
      </c>
      <c r="L3">
        <v>30</v>
      </c>
      <c r="M3" t="s">
        <v>34</v>
      </c>
      <c r="N3">
        <f>1.205/3</f>
        <v>0.40166666666666667</v>
      </c>
      <c r="O3">
        <v>18</v>
      </c>
      <c r="Q3">
        <f>0.73/3</f>
        <v>0.24333333333333332</v>
      </c>
      <c r="R3">
        <f t="shared" si="0"/>
        <v>0.32250000000000001</v>
      </c>
      <c r="S3">
        <v>12</v>
      </c>
      <c r="T3">
        <f t="shared" si="1"/>
        <v>15</v>
      </c>
    </row>
    <row r="4" spans="1:21">
      <c r="A4" t="s">
        <v>116</v>
      </c>
      <c r="C4">
        <v>0.22</v>
      </c>
      <c r="E4">
        <v>0</v>
      </c>
      <c r="F4">
        <f>0.11/3</f>
        <v>3.6666666666666667E-2</v>
      </c>
      <c r="H4" s="141"/>
      <c r="J4" t="s">
        <v>115</v>
      </c>
      <c r="K4">
        <v>0.70499999999999996</v>
      </c>
      <c r="L4">
        <v>30</v>
      </c>
      <c r="M4" t="s">
        <v>115</v>
      </c>
      <c r="N4">
        <f>0.52/3</f>
        <v>0.17333333333333334</v>
      </c>
      <c r="O4">
        <v>27</v>
      </c>
      <c r="R4">
        <f t="shared" si="0"/>
        <v>0.17333333333333334</v>
      </c>
      <c r="S4">
        <v>12</v>
      </c>
      <c r="T4">
        <f t="shared" si="1"/>
        <v>19.5</v>
      </c>
    </row>
    <row r="5" spans="1:21">
      <c r="A5" t="s">
        <v>128</v>
      </c>
      <c r="B5">
        <v>0.26</v>
      </c>
      <c r="E5">
        <v>0.33</v>
      </c>
      <c r="F5">
        <v>0.36</v>
      </c>
      <c r="H5" s="141"/>
      <c r="J5" t="s">
        <v>116</v>
      </c>
      <c r="K5">
        <v>0.22</v>
      </c>
      <c r="L5">
        <v>30</v>
      </c>
      <c r="M5" t="s">
        <v>116</v>
      </c>
      <c r="N5">
        <v>0</v>
      </c>
      <c r="Q5">
        <f>0.11/3</f>
        <v>3.6666666666666667E-2</v>
      </c>
      <c r="R5">
        <f t="shared" si="0"/>
        <v>1.8333333333333333E-2</v>
      </c>
      <c r="S5">
        <v>12</v>
      </c>
      <c r="T5">
        <f t="shared" si="1"/>
        <v>12</v>
      </c>
    </row>
    <row r="6" spans="1:21">
      <c r="A6" t="s">
        <v>119</v>
      </c>
      <c r="B6">
        <f>1.205/5</f>
        <v>0.24100000000000002</v>
      </c>
      <c r="E6">
        <f>1.402/5</f>
        <v>0.28039999999999998</v>
      </c>
      <c r="F6">
        <v>0.43</v>
      </c>
      <c r="H6" s="141"/>
      <c r="J6" t="s">
        <v>35</v>
      </c>
      <c r="K6">
        <f>1.78/5</f>
        <v>0.35599999999999998</v>
      </c>
      <c r="L6">
        <v>33</v>
      </c>
      <c r="M6" t="s">
        <v>35</v>
      </c>
      <c r="N6">
        <f>0.802/4</f>
        <v>0.20050000000000001</v>
      </c>
      <c r="O6">
        <v>33</v>
      </c>
      <c r="Q6">
        <f>0.67/3</f>
        <v>0.22333333333333336</v>
      </c>
      <c r="R6">
        <f t="shared" si="0"/>
        <v>0.2119166666666667</v>
      </c>
      <c r="S6">
        <v>12</v>
      </c>
      <c r="T6">
        <f t="shared" si="1"/>
        <v>22.5</v>
      </c>
    </row>
    <row r="7" spans="1:21">
      <c r="A7" t="s">
        <v>120</v>
      </c>
      <c r="B7">
        <f>1.305/5</f>
        <v>0.26100000000000001</v>
      </c>
      <c r="E7">
        <f>1.3/6</f>
        <v>0.21666666666666667</v>
      </c>
      <c r="F7">
        <v>0.4</v>
      </c>
      <c r="J7" t="s">
        <v>114</v>
      </c>
      <c r="K7">
        <v>0.33</v>
      </c>
      <c r="L7">
        <v>33</v>
      </c>
      <c r="M7" t="s">
        <v>114</v>
      </c>
      <c r="N7">
        <v>0.433</v>
      </c>
      <c r="O7">
        <v>33</v>
      </c>
      <c r="R7">
        <f t="shared" si="0"/>
        <v>0.433</v>
      </c>
      <c r="S7">
        <v>12</v>
      </c>
      <c r="T7">
        <f t="shared" si="1"/>
        <v>22.5</v>
      </c>
    </row>
    <row r="8" spans="1:21">
      <c r="A8" t="s">
        <v>121</v>
      </c>
      <c r="B8">
        <v>2.5000000000000001E-2</v>
      </c>
      <c r="E8">
        <f>0.21/3</f>
        <v>6.9999999999999993E-2</v>
      </c>
      <c r="F8">
        <f>0.73/3</f>
        <v>0.24333333333333332</v>
      </c>
      <c r="J8" t="s">
        <v>128</v>
      </c>
      <c r="K8">
        <v>0.26</v>
      </c>
      <c r="M8" t="s">
        <v>128</v>
      </c>
      <c r="N8">
        <v>0.33</v>
      </c>
      <c r="O8">
        <v>9</v>
      </c>
      <c r="Q8">
        <v>0.36</v>
      </c>
      <c r="R8">
        <f t="shared" si="0"/>
        <v>0.34499999999999997</v>
      </c>
      <c r="S8">
        <v>24</v>
      </c>
      <c r="T8">
        <f t="shared" si="1"/>
        <v>16.5</v>
      </c>
    </row>
    <row r="9" spans="1:21">
      <c r="A9" t="s">
        <v>122</v>
      </c>
      <c r="B9">
        <v>1.6</v>
      </c>
      <c r="E9">
        <v>0.45</v>
      </c>
      <c r="F9">
        <f>3.4/3</f>
        <v>1.1333333333333333</v>
      </c>
      <c r="J9" t="s">
        <v>119</v>
      </c>
      <c r="K9">
        <f>1.205/5</f>
        <v>0.24100000000000002</v>
      </c>
      <c r="M9" t="s">
        <v>119</v>
      </c>
      <c r="N9">
        <f>1.402/5</f>
        <v>0.28039999999999998</v>
      </c>
      <c r="O9">
        <v>6</v>
      </c>
      <c r="Q9">
        <v>0.43</v>
      </c>
      <c r="R9">
        <f t="shared" si="0"/>
        <v>0.35519999999999996</v>
      </c>
      <c r="S9">
        <v>3</v>
      </c>
      <c r="T9">
        <f t="shared" si="1"/>
        <v>4.5</v>
      </c>
    </row>
    <row r="10" spans="1:21">
      <c r="A10" t="s">
        <v>34</v>
      </c>
      <c r="B10">
        <f>0.905/5</f>
        <v>0.18099999999999999</v>
      </c>
      <c r="E10">
        <f>1.205/3</f>
        <v>0.40166666666666667</v>
      </c>
      <c r="F10">
        <f>0.73/3</f>
        <v>0.24333333333333332</v>
      </c>
      <c r="J10" t="s">
        <v>120</v>
      </c>
      <c r="K10">
        <f>1.305/5</f>
        <v>0.26100000000000001</v>
      </c>
      <c r="M10" t="s">
        <v>120</v>
      </c>
      <c r="N10">
        <f>1.3/6</f>
        <v>0.21666666666666667</v>
      </c>
      <c r="O10">
        <v>15</v>
      </c>
      <c r="Q10">
        <v>0.4</v>
      </c>
      <c r="R10">
        <f t="shared" si="0"/>
        <v>0.30833333333333335</v>
      </c>
      <c r="S10">
        <v>18</v>
      </c>
      <c r="T10">
        <f t="shared" si="1"/>
        <v>16.5</v>
      </c>
      <c r="U10">
        <f>AVERAGE(O10,S10)</f>
        <v>16.5</v>
      </c>
    </row>
    <row r="11" spans="1:21">
      <c r="A11" t="s">
        <v>35</v>
      </c>
      <c r="B11">
        <f>1.78/5</f>
        <v>0.35599999999999998</v>
      </c>
      <c r="E11">
        <f>0.802/4</f>
        <v>0.20050000000000001</v>
      </c>
      <c r="F11">
        <f>0.67/3</f>
        <v>0.22333333333333336</v>
      </c>
      <c r="J11" t="s">
        <v>113</v>
      </c>
      <c r="K11">
        <f>6.05/5</f>
        <v>1.21</v>
      </c>
      <c r="M11" t="s">
        <v>113</v>
      </c>
      <c r="N11">
        <v>0.3</v>
      </c>
      <c r="O11">
        <v>6</v>
      </c>
      <c r="Q11" t="s">
        <v>50</v>
      </c>
      <c r="R11">
        <f t="shared" si="0"/>
        <v>0.3</v>
      </c>
      <c r="S11">
        <v>6</v>
      </c>
      <c r="T11">
        <f t="shared" si="1"/>
        <v>6</v>
      </c>
    </row>
    <row r="12" spans="1:21">
      <c r="A12" t="s">
        <v>117</v>
      </c>
      <c r="C12">
        <v>0.65</v>
      </c>
      <c r="E12">
        <v>0.66</v>
      </c>
      <c r="F12">
        <v>0.73</v>
      </c>
      <c r="H12" s="141"/>
      <c r="J12" t="s">
        <v>125</v>
      </c>
      <c r="K12">
        <f>0.65/5</f>
        <v>0.13</v>
      </c>
      <c r="M12" t="s">
        <v>125</v>
      </c>
      <c r="N12">
        <f>1.05/3</f>
        <v>0.35000000000000003</v>
      </c>
      <c r="Q12">
        <f>0.63/3</f>
        <v>0.21</v>
      </c>
      <c r="R12">
        <f t="shared" si="0"/>
        <v>0.28000000000000003</v>
      </c>
      <c r="S12">
        <v>12</v>
      </c>
      <c r="T12">
        <f t="shared" si="1"/>
        <v>12</v>
      </c>
    </row>
    <row r="13" spans="1:21">
      <c r="A13" t="s">
        <v>113</v>
      </c>
      <c r="C13">
        <f>6.05/5</f>
        <v>1.21</v>
      </c>
      <c r="E13">
        <v>0.3</v>
      </c>
      <c r="F13" t="s">
        <v>50</v>
      </c>
      <c r="J13" t="s">
        <v>124</v>
      </c>
      <c r="K13">
        <v>1.1000000000000001</v>
      </c>
      <c r="M13" t="s">
        <v>124</v>
      </c>
      <c r="N13">
        <v>1.4</v>
      </c>
      <c r="O13">
        <v>24</v>
      </c>
      <c r="Q13">
        <v>1.9</v>
      </c>
      <c r="R13">
        <f t="shared" si="0"/>
        <v>1.65</v>
      </c>
      <c r="S13">
        <v>18</v>
      </c>
    </row>
    <row r="14" spans="1:21">
      <c r="A14" t="s">
        <v>123</v>
      </c>
      <c r="B14">
        <v>2.2000000000000002</v>
      </c>
      <c r="E14">
        <v>2.6</v>
      </c>
      <c r="F14">
        <v>2.2000000000000002</v>
      </c>
      <c r="J14" t="s">
        <v>121</v>
      </c>
      <c r="K14">
        <v>2.5000000000000001E-2</v>
      </c>
      <c r="M14" t="s">
        <v>121</v>
      </c>
      <c r="N14">
        <f>0.21/3</f>
        <v>6.9999999999999993E-2</v>
      </c>
      <c r="O14">
        <v>18</v>
      </c>
      <c r="Q14">
        <f>0.73/3</f>
        <v>0.24333333333333332</v>
      </c>
      <c r="R14">
        <f t="shared" si="0"/>
        <v>0.15666666666666665</v>
      </c>
      <c r="S14">
        <v>3</v>
      </c>
      <c r="T14">
        <f>AVERAGE(O14,S14)</f>
        <v>10.5</v>
      </c>
    </row>
    <row r="15" spans="1:21">
      <c r="A15" t="s">
        <v>124</v>
      </c>
      <c r="B15">
        <v>1.1000000000000001</v>
      </c>
      <c r="E15">
        <v>1.4</v>
      </c>
      <c r="F15">
        <v>1.9</v>
      </c>
      <c r="J15" t="s">
        <v>122</v>
      </c>
      <c r="K15">
        <v>1.6</v>
      </c>
      <c r="M15" t="s">
        <v>122</v>
      </c>
      <c r="N15">
        <v>0.45</v>
      </c>
      <c r="Q15">
        <f>3.4/3</f>
        <v>1.1333333333333333</v>
      </c>
      <c r="R15">
        <f t="shared" si="0"/>
        <v>0.79166666666666663</v>
      </c>
      <c r="S15">
        <v>3</v>
      </c>
      <c r="T15">
        <f>AVERAGE(O15,S15)</f>
        <v>3</v>
      </c>
      <c r="U15">
        <f>AVERAGE(O15,S15)</f>
        <v>3</v>
      </c>
    </row>
    <row r="16" spans="1:21">
      <c r="A16" t="s">
        <v>125</v>
      </c>
      <c r="B16">
        <f>0.65/5</f>
        <v>0.13</v>
      </c>
      <c r="E16">
        <f>1.05/3</f>
        <v>0.35000000000000003</v>
      </c>
      <c r="F16">
        <f>0.63/3</f>
        <v>0.21</v>
      </c>
      <c r="J16" t="s">
        <v>123</v>
      </c>
      <c r="K16">
        <v>2.2000000000000002</v>
      </c>
      <c r="M16" t="s">
        <v>123</v>
      </c>
      <c r="N16">
        <v>2.6</v>
      </c>
      <c r="Q16">
        <v>2.2000000000000002</v>
      </c>
      <c r="R16">
        <f t="shared" si="0"/>
        <v>2.4000000000000004</v>
      </c>
      <c r="S16">
        <v>15</v>
      </c>
    </row>
    <row r="17" spans="1:20">
      <c r="A17" t="s">
        <v>126</v>
      </c>
      <c r="B17">
        <f>0.45/5</f>
        <v>0.09</v>
      </c>
      <c r="E17">
        <f>0.605/6</f>
        <v>0.10083333333333333</v>
      </c>
      <c r="F17">
        <f>0.35/3</f>
        <v>0.11666666666666665</v>
      </c>
      <c r="J17" t="s">
        <v>127</v>
      </c>
      <c r="K17">
        <v>0.1</v>
      </c>
      <c r="M17" t="s">
        <v>127</v>
      </c>
      <c r="N17">
        <v>0.4</v>
      </c>
      <c r="R17">
        <f t="shared" si="0"/>
        <v>0.4</v>
      </c>
    </row>
    <row r="18" spans="1:20">
      <c r="A18" t="s">
        <v>127</v>
      </c>
      <c r="B18">
        <v>0.1</v>
      </c>
      <c r="E18">
        <v>0.4</v>
      </c>
      <c r="J18" t="s">
        <v>126</v>
      </c>
      <c r="K18">
        <f>0.45/5</f>
        <v>0.09</v>
      </c>
      <c r="M18" t="s">
        <v>126</v>
      </c>
      <c r="N18">
        <f>0.605/6</f>
        <v>0.10083333333333333</v>
      </c>
      <c r="Q18">
        <f>0.35/3</f>
        <v>0.11666666666666665</v>
      </c>
      <c r="R18">
        <f t="shared" si="0"/>
        <v>0.10874999999999999</v>
      </c>
      <c r="S18">
        <v>18</v>
      </c>
      <c r="T18">
        <f>AVERAGE(O18,S18)</f>
        <v>18</v>
      </c>
    </row>
    <row r="20" spans="1:20">
      <c r="A20" t="s">
        <v>129</v>
      </c>
    </row>
    <row r="21" spans="1:20">
      <c r="A21" t="s">
        <v>114</v>
      </c>
      <c r="D21">
        <v>33</v>
      </c>
      <c r="E21">
        <v>33</v>
      </c>
      <c r="F21">
        <v>12</v>
      </c>
    </row>
    <row r="22" spans="1:20">
      <c r="A22" t="s">
        <v>115</v>
      </c>
      <c r="D22">
        <v>30</v>
      </c>
      <c r="E22">
        <v>27</v>
      </c>
      <c r="F22">
        <v>12</v>
      </c>
    </row>
    <row r="23" spans="1:20">
      <c r="A23" t="s">
        <v>116</v>
      </c>
      <c r="D23">
        <v>30</v>
      </c>
      <c r="F23">
        <v>12</v>
      </c>
      <c r="J23" t="s">
        <v>114</v>
      </c>
      <c r="K23">
        <v>0.33</v>
      </c>
      <c r="L23">
        <v>33</v>
      </c>
      <c r="M23">
        <v>0.433</v>
      </c>
      <c r="N23">
        <v>33</v>
      </c>
    </row>
    <row r="24" spans="1:20">
      <c r="A24" t="s">
        <v>128</v>
      </c>
      <c r="E24">
        <v>9</v>
      </c>
      <c r="F24">
        <v>24</v>
      </c>
      <c r="J24" t="s">
        <v>115</v>
      </c>
      <c r="K24">
        <v>0.70499999999999996</v>
      </c>
      <c r="L24">
        <v>30</v>
      </c>
      <c r="M24">
        <f>0.52/3</f>
        <v>0.17333333333333334</v>
      </c>
      <c r="N24">
        <v>27</v>
      </c>
    </row>
    <row r="25" spans="1:20">
      <c r="A25" t="s">
        <v>119</v>
      </c>
      <c r="E25">
        <v>6</v>
      </c>
      <c r="F25">
        <v>3</v>
      </c>
      <c r="J25" t="s">
        <v>116</v>
      </c>
      <c r="K25">
        <v>0.22</v>
      </c>
      <c r="L25">
        <v>30</v>
      </c>
    </row>
    <row r="26" spans="1:20">
      <c r="A26" t="s">
        <v>120</v>
      </c>
      <c r="E26">
        <v>15</v>
      </c>
      <c r="F26">
        <v>18</v>
      </c>
      <c r="J26" t="s">
        <v>34</v>
      </c>
      <c r="K26">
        <f>0.905/5</f>
        <v>0.18099999999999999</v>
      </c>
      <c r="L26">
        <v>30</v>
      </c>
      <c r="M26">
        <f>1.205/3</f>
        <v>0.40166666666666667</v>
      </c>
      <c r="N26">
        <v>18</v>
      </c>
    </row>
    <row r="27" spans="1:20">
      <c r="A27" t="s">
        <v>121</v>
      </c>
      <c r="E27">
        <v>18</v>
      </c>
      <c r="F27">
        <v>3</v>
      </c>
      <c r="J27" t="s">
        <v>35</v>
      </c>
      <c r="K27">
        <f>1.78/5</f>
        <v>0.35599999999999998</v>
      </c>
      <c r="L27">
        <v>33</v>
      </c>
      <c r="M27">
        <f>0.802/4</f>
        <v>0.20050000000000001</v>
      </c>
      <c r="N27">
        <v>33</v>
      </c>
    </row>
    <row r="28" spans="1:20">
      <c r="A28" t="s">
        <v>122</v>
      </c>
      <c r="B28" s="140"/>
      <c r="F28">
        <v>3</v>
      </c>
      <c r="H28" s="142"/>
      <c r="J28" t="s">
        <v>117</v>
      </c>
      <c r="K28">
        <v>0.65</v>
      </c>
      <c r="L28">
        <v>30</v>
      </c>
      <c r="M28">
        <v>0.66</v>
      </c>
      <c r="N28">
        <v>18</v>
      </c>
    </row>
    <row r="29" spans="1:20">
      <c r="A29" t="s">
        <v>34</v>
      </c>
      <c r="D29">
        <v>30</v>
      </c>
      <c r="E29">
        <v>18</v>
      </c>
      <c r="F29">
        <v>12</v>
      </c>
    </row>
    <row r="30" spans="1:20">
      <c r="A30" t="s">
        <v>35</v>
      </c>
      <c r="D30">
        <v>33</v>
      </c>
      <c r="E30">
        <v>33</v>
      </c>
      <c r="F30">
        <v>12</v>
      </c>
    </row>
    <row r="31" spans="1:20">
      <c r="A31" t="s">
        <v>117</v>
      </c>
      <c r="D31">
        <v>30</v>
      </c>
      <c r="E31">
        <v>18</v>
      </c>
      <c r="F31">
        <v>12</v>
      </c>
    </row>
    <row r="32" spans="1:20">
      <c r="A32" t="s">
        <v>113</v>
      </c>
      <c r="E32">
        <v>6</v>
      </c>
      <c r="F32">
        <v>6</v>
      </c>
    </row>
    <row r="33" spans="1:20">
      <c r="A33" t="s">
        <v>123</v>
      </c>
      <c r="F33">
        <v>15</v>
      </c>
    </row>
    <row r="34" spans="1:20">
      <c r="A34" t="s">
        <v>124</v>
      </c>
      <c r="E34">
        <v>24</v>
      </c>
      <c r="F34">
        <v>18</v>
      </c>
    </row>
    <row r="35" spans="1:20">
      <c r="A35" t="s">
        <v>125</v>
      </c>
      <c r="F35">
        <v>12</v>
      </c>
    </row>
    <row r="36" spans="1:20">
      <c r="A36" t="s">
        <v>126</v>
      </c>
      <c r="F36">
        <v>18</v>
      </c>
    </row>
    <row r="37" spans="1:20">
      <c r="A37" t="s">
        <v>127</v>
      </c>
    </row>
    <row r="45" spans="1:20">
      <c r="J45" s="140" t="s">
        <v>118</v>
      </c>
      <c r="K45" s="140" t="s">
        <v>130</v>
      </c>
      <c r="L45" s="140" t="s">
        <v>131</v>
      </c>
      <c r="N45" s="140" t="s">
        <v>132</v>
      </c>
      <c r="O45" s="140" t="s">
        <v>133</v>
      </c>
      <c r="Q45" s="140" t="s">
        <v>134</v>
      </c>
      <c r="R45" s="140" t="s">
        <v>137</v>
      </c>
      <c r="S45" s="140" t="s">
        <v>135</v>
      </c>
      <c r="T45" s="140" t="s">
        <v>136</v>
      </c>
    </row>
    <row r="46" spans="1:20">
      <c r="J46" t="s">
        <v>128</v>
      </c>
      <c r="K46">
        <v>0.26</v>
      </c>
      <c r="M46" t="s">
        <v>128</v>
      </c>
      <c r="N46">
        <v>0.33</v>
      </c>
      <c r="O46">
        <v>9</v>
      </c>
      <c r="Q46">
        <v>0.36</v>
      </c>
      <c r="R46">
        <f t="shared" ref="R46:R62" si="2">AVERAGE(N46,Q46)</f>
        <v>0.34499999999999997</v>
      </c>
      <c r="S46">
        <v>24</v>
      </c>
      <c r="T46">
        <f t="shared" ref="T46:T53" si="3">AVERAGE(O46,S46)</f>
        <v>16.5</v>
      </c>
    </row>
    <row r="47" spans="1:20">
      <c r="J47" t="s">
        <v>119</v>
      </c>
      <c r="K47">
        <f>1.205/5</f>
        <v>0.24100000000000002</v>
      </c>
      <c r="M47" t="s">
        <v>119</v>
      </c>
      <c r="N47">
        <f>1.402/5</f>
        <v>0.28039999999999998</v>
      </c>
      <c r="O47">
        <v>6</v>
      </c>
      <c r="Q47">
        <v>0.43</v>
      </c>
      <c r="R47">
        <f t="shared" si="2"/>
        <v>0.35519999999999996</v>
      </c>
      <c r="S47">
        <v>3</v>
      </c>
      <c r="T47">
        <f t="shared" si="3"/>
        <v>4.5</v>
      </c>
    </row>
    <row r="48" spans="1:20">
      <c r="J48" t="s">
        <v>120</v>
      </c>
      <c r="K48">
        <f>1.305/5</f>
        <v>0.26100000000000001</v>
      </c>
      <c r="M48" t="s">
        <v>120</v>
      </c>
      <c r="N48">
        <f>1.3/6</f>
        <v>0.21666666666666667</v>
      </c>
      <c r="O48">
        <v>15</v>
      </c>
      <c r="Q48">
        <v>0.4</v>
      </c>
      <c r="R48">
        <f t="shared" si="2"/>
        <v>0.30833333333333335</v>
      </c>
      <c r="S48">
        <v>18</v>
      </c>
      <c r="T48">
        <f t="shared" si="3"/>
        <v>16.5</v>
      </c>
    </row>
    <row r="49" spans="10:20">
      <c r="J49" t="s">
        <v>117</v>
      </c>
      <c r="K49">
        <v>0.65</v>
      </c>
      <c r="L49">
        <v>30</v>
      </c>
      <c r="M49" t="s">
        <v>117</v>
      </c>
      <c r="Q49">
        <v>0.73</v>
      </c>
      <c r="R49">
        <f t="shared" si="2"/>
        <v>0.73</v>
      </c>
      <c r="S49">
        <v>12</v>
      </c>
      <c r="T49">
        <f t="shared" si="3"/>
        <v>12</v>
      </c>
    </row>
    <row r="50" spans="10:20">
      <c r="J50" t="s">
        <v>34</v>
      </c>
      <c r="K50">
        <f>0.905/5</f>
        <v>0.18099999999999999</v>
      </c>
      <c r="L50">
        <v>30</v>
      </c>
      <c r="M50" t="s">
        <v>34</v>
      </c>
      <c r="N50">
        <f>1.205/3</f>
        <v>0.40166666666666667</v>
      </c>
      <c r="O50">
        <v>18</v>
      </c>
      <c r="Q50">
        <f>0.73/3</f>
        <v>0.24333333333333332</v>
      </c>
      <c r="R50">
        <f t="shared" si="2"/>
        <v>0.32250000000000001</v>
      </c>
      <c r="S50">
        <v>12</v>
      </c>
      <c r="T50">
        <f t="shared" si="3"/>
        <v>15</v>
      </c>
    </row>
    <row r="51" spans="10:20">
      <c r="J51" t="s">
        <v>35</v>
      </c>
      <c r="K51">
        <f>1.78/5</f>
        <v>0.35599999999999998</v>
      </c>
      <c r="L51">
        <v>33</v>
      </c>
      <c r="M51" t="s">
        <v>35</v>
      </c>
      <c r="N51">
        <f>0.802/4</f>
        <v>0.20050000000000001</v>
      </c>
      <c r="O51">
        <v>33</v>
      </c>
      <c r="Q51">
        <f>0.67/3</f>
        <v>0.22333333333333336</v>
      </c>
      <c r="R51">
        <f t="shared" si="2"/>
        <v>0.2119166666666667</v>
      </c>
      <c r="S51">
        <v>12</v>
      </c>
      <c r="T51">
        <f t="shared" si="3"/>
        <v>22.5</v>
      </c>
    </row>
    <row r="52" spans="10:20">
      <c r="J52" t="s">
        <v>113</v>
      </c>
      <c r="K52">
        <f>6.05/5</f>
        <v>1.21</v>
      </c>
      <c r="M52" t="s">
        <v>113</v>
      </c>
      <c r="N52">
        <v>0.3</v>
      </c>
      <c r="O52">
        <v>6</v>
      </c>
      <c r="Q52" t="s">
        <v>50</v>
      </c>
      <c r="R52">
        <f t="shared" si="2"/>
        <v>0.3</v>
      </c>
      <c r="S52">
        <v>6</v>
      </c>
      <c r="T52">
        <f t="shared" si="3"/>
        <v>6</v>
      </c>
    </row>
    <row r="53" spans="10:20">
      <c r="J53" t="s">
        <v>125</v>
      </c>
      <c r="K53">
        <f>0.65/5</f>
        <v>0.13</v>
      </c>
      <c r="M53" t="s">
        <v>125</v>
      </c>
      <c r="N53">
        <f>1.05/3</f>
        <v>0.35000000000000003</v>
      </c>
      <c r="Q53">
        <f>0.63/3</f>
        <v>0.21</v>
      </c>
      <c r="R53">
        <f t="shared" si="2"/>
        <v>0.28000000000000003</v>
      </c>
      <c r="S53">
        <v>12</v>
      </c>
      <c r="T53">
        <f t="shared" si="3"/>
        <v>12</v>
      </c>
    </row>
    <row r="54" spans="10:20">
      <c r="J54" t="s">
        <v>124</v>
      </c>
      <c r="K54">
        <v>1.1000000000000001</v>
      </c>
      <c r="M54" t="s">
        <v>124</v>
      </c>
      <c r="N54">
        <v>1.4</v>
      </c>
      <c r="O54">
        <v>24</v>
      </c>
      <c r="Q54">
        <v>1.9</v>
      </c>
      <c r="R54">
        <f t="shared" si="2"/>
        <v>1.65</v>
      </c>
      <c r="S54">
        <v>18</v>
      </c>
    </row>
    <row r="55" spans="10:20">
      <c r="J55" t="s">
        <v>121</v>
      </c>
      <c r="K55">
        <v>2.5000000000000001E-2</v>
      </c>
      <c r="M55" t="s">
        <v>121</v>
      </c>
      <c r="N55">
        <f>0.21/3</f>
        <v>6.9999999999999993E-2</v>
      </c>
      <c r="O55">
        <v>18</v>
      </c>
      <c r="Q55">
        <f>0.73/3</f>
        <v>0.24333333333333332</v>
      </c>
      <c r="R55">
        <f t="shared" si="2"/>
        <v>0.15666666666666665</v>
      </c>
      <c r="S55">
        <v>3</v>
      </c>
      <c r="T55">
        <f>AVERAGE(O55,S55)</f>
        <v>10.5</v>
      </c>
    </row>
    <row r="56" spans="10:20">
      <c r="J56" t="s">
        <v>122</v>
      </c>
      <c r="K56">
        <v>1.6</v>
      </c>
      <c r="M56" t="s">
        <v>122</v>
      </c>
      <c r="N56">
        <v>0.45</v>
      </c>
      <c r="Q56">
        <f>3.4/3</f>
        <v>1.1333333333333333</v>
      </c>
      <c r="R56">
        <f t="shared" si="2"/>
        <v>0.79166666666666663</v>
      </c>
      <c r="S56">
        <v>3</v>
      </c>
      <c r="T56">
        <f>AVERAGE(O56,S56)</f>
        <v>3</v>
      </c>
    </row>
    <row r="57" spans="10:20">
      <c r="J57" t="s">
        <v>123</v>
      </c>
      <c r="K57">
        <v>2.2000000000000002</v>
      </c>
      <c r="M57" t="s">
        <v>123</v>
      </c>
      <c r="N57">
        <v>2.6</v>
      </c>
      <c r="Q57">
        <v>2.2000000000000002</v>
      </c>
      <c r="R57">
        <f t="shared" si="2"/>
        <v>2.4000000000000004</v>
      </c>
      <c r="S57">
        <v>15</v>
      </c>
    </row>
    <row r="58" spans="10:20">
      <c r="J58" t="s">
        <v>127</v>
      </c>
      <c r="K58">
        <v>0.1</v>
      </c>
      <c r="M58" t="s">
        <v>127</v>
      </c>
      <c r="N58">
        <v>0.4</v>
      </c>
      <c r="R58">
        <f t="shared" si="2"/>
        <v>0.4</v>
      </c>
    </row>
    <row r="59" spans="10:20">
      <c r="J59" t="s">
        <v>114</v>
      </c>
      <c r="K59">
        <v>0.33</v>
      </c>
      <c r="L59">
        <v>33</v>
      </c>
      <c r="M59" t="s">
        <v>114</v>
      </c>
      <c r="N59">
        <v>0.433</v>
      </c>
      <c r="O59">
        <v>33</v>
      </c>
      <c r="R59">
        <f t="shared" si="2"/>
        <v>0.433</v>
      </c>
      <c r="S59">
        <v>12</v>
      </c>
      <c r="T59">
        <f>AVERAGE(O59,S59)</f>
        <v>22.5</v>
      </c>
    </row>
    <row r="60" spans="10:20">
      <c r="J60" t="s">
        <v>115</v>
      </c>
      <c r="K60">
        <v>0.70499999999999996</v>
      </c>
      <c r="L60">
        <v>30</v>
      </c>
      <c r="M60" t="s">
        <v>115</v>
      </c>
      <c r="N60">
        <f>0.52/3</f>
        <v>0.17333333333333334</v>
      </c>
      <c r="O60">
        <v>27</v>
      </c>
      <c r="R60">
        <f t="shared" si="2"/>
        <v>0.17333333333333334</v>
      </c>
      <c r="S60">
        <v>12</v>
      </c>
      <c r="T60">
        <f>AVERAGE(O60,S60)</f>
        <v>19.5</v>
      </c>
    </row>
    <row r="61" spans="10:20">
      <c r="J61" t="s">
        <v>116</v>
      </c>
      <c r="K61">
        <v>0.22</v>
      </c>
      <c r="L61">
        <v>30</v>
      </c>
      <c r="M61" t="s">
        <v>116</v>
      </c>
      <c r="N61">
        <v>0</v>
      </c>
      <c r="Q61">
        <f>0.11/3</f>
        <v>3.6666666666666667E-2</v>
      </c>
      <c r="R61">
        <f t="shared" si="2"/>
        <v>1.8333333333333333E-2</v>
      </c>
      <c r="S61">
        <v>12</v>
      </c>
      <c r="T61">
        <f>AVERAGE(O61,S61)</f>
        <v>12</v>
      </c>
    </row>
    <row r="62" spans="10:20">
      <c r="J62" t="s">
        <v>126</v>
      </c>
      <c r="K62">
        <f>0.45/5</f>
        <v>0.09</v>
      </c>
      <c r="M62" t="s">
        <v>126</v>
      </c>
      <c r="N62">
        <f>0.605/6</f>
        <v>0.10083333333333333</v>
      </c>
      <c r="Q62">
        <f>0.35/3</f>
        <v>0.11666666666666665</v>
      </c>
      <c r="R62">
        <f t="shared" si="2"/>
        <v>0.10874999999999999</v>
      </c>
      <c r="S62">
        <v>18</v>
      </c>
      <c r="T62">
        <f>AVERAGE(O62,S62)</f>
        <v>18</v>
      </c>
    </row>
  </sheetData>
  <autoFilter ref="J1:T18">
    <sortState ref="J2:T18">
      <sortCondition ref="L1:L18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111"/>
  <sheetViews>
    <sheetView topLeftCell="B1" workbookViewId="0">
      <selection activeCell="C2" sqref="C2:C17"/>
    </sheetView>
  </sheetViews>
  <sheetFormatPr baseColWidth="10" defaultRowHeight="15" x14ac:dyDescent="0"/>
  <cols>
    <col min="3" max="3" width="13.83203125" customWidth="1"/>
    <col min="4" max="4" width="14.33203125" customWidth="1"/>
    <col min="5" max="5" width="10.83203125" customWidth="1"/>
    <col min="6" max="6" width="16.33203125" customWidth="1"/>
    <col min="7" max="7" width="10.83203125" customWidth="1"/>
    <col min="13" max="13" width="11.83203125" bestFit="1" customWidth="1"/>
    <col min="14" max="14" width="15.6640625" customWidth="1"/>
    <col min="16" max="16" width="14.6640625" customWidth="1"/>
    <col min="19" max="19" width="20.6640625" customWidth="1"/>
    <col min="20" max="20" width="15.83203125" customWidth="1"/>
  </cols>
  <sheetData>
    <row r="1" spans="3:25">
      <c r="D1" s="149" t="s">
        <v>103</v>
      </c>
      <c r="E1" s="149">
        <v>2010</v>
      </c>
      <c r="F1" s="149">
        <v>2012</v>
      </c>
      <c r="G1" s="149">
        <v>2013</v>
      </c>
      <c r="H1" s="150">
        <v>2010</v>
      </c>
      <c r="I1" s="150">
        <v>2012</v>
      </c>
      <c r="J1" s="150">
        <v>2013</v>
      </c>
      <c r="K1" t="s">
        <v>156</v>
      </c>
      <c r="L1" s="140"/>
      <c r="M1" s="140"/>
      <c r="N1" s="140"/>
      <c r="P1" s="149" t="s">
        <v>118</v>
      </c>
      <c r="Q1" s="149">
        <v>2007</v>
      </c>
      <c r="R1" s="149">
        <v>2008</v>
      </c>
      <c r="S1" s="149">
        <v>2009</v>
      </c>
      <c r="T1" s="150">
        <v>2012</v>
      </c>
      <c r="U1" s="150">
        <v>2013</v>
      </c>
      <c r="V1" s="150" t="s">
        <v>137</v>
      </c>
      <c r="X1" s="140" t="s">
        <v>136</v>
      </c>
    </row>
    <row r="2" spans="3:25">
      <c r="C2" t="s">
        <v>128</v>
      </c>
      <c r="D2">
        <v>8</v>
      </c>
      <c r="E2" s="155"/>
      <c r="F2">
        <v>6</v>
      </c>
      <c r="G2">
        <v>15</v>
      </c>
      <c r="I2">
        <v>0.33</v>
      </c>
      <c r="J2">
        <v>0.66</v>
      </c>
      <c r="K2">
        <f>AVERAGE(Q2:S2)</f>
        <v>0.26</v>
      </c>
      <c r="M2">
        <v>0.33</v>
      </c>
      <c r="N2">
        <v>0.36</v>
      </c>
      <c r="P2" t="s">
        <v>128</v>
      </c>
      <c r="R2">
        <v>0.26</v>
      </c>
      <c r="T2">
        <v>0.33</v>
      </c>
      <c r="U2">
        <v>0.36</v>
      </c>
      <c r="V2">
        <f t="shared" ref="V2:V18" si="0">AVERAGE(T2,U2)</f>
        <v>0.34499999999999997</v>
      </c>
      <c r="X2">
        <f>AVERAGE(F2,G2)</f>
        <v>10.5</v>
      </c>
    </row>
    <row r="3" spans="3:25">
      <c r="C3" t="s">
        <v>119</v>
      </c>
      <c r="D3">
        <v>17</v>
      </c>
      <c r="E3" s="155"/>
      <c r="F3">
        <v>0</v>
      </c>
      <c r="G3">
        <v>3</v>
      </c>
      <c r="I3">
        <v>0.16</v>
      </c>
      <c r="J3">
        <v>1</v>
      </c>
      <c r="K3">
        <f t="shared" ref="K3:K12" si="1">AVERAGE(Q3:S3)</f>
        <v>0.22999999999999998</v>
      </c>
      <c r="M3">
        <f>1.402/5</f>
        <v>0.28039999999999998</v>
      </c>
      <c r="N3">
        <v>0.43</v>
      </c>
      <c r="P3" t="s">
        <v>119</v>
      </c>
      <c r="Q3">
        <v>0.21</v>
      </c>
      <c r="R3">
        <v>0.25</v>
      </c>
      <c r="T3">
        <f>1.402/5</f>
        <v>0.28039999999999998</v>
      </c>
      <c r="U3">
        <v>0.43</v>
      </c>
      <c r="V3">
        <f t="shared" si="0"/>
        <v>0.35519999999999996</v>
      </c>
      <c r="X3">
        <f>AVERAGE(S73,T73)</f>
        <v>4.5</v>
      </c>
    </row>
    <row r="4" spans="3:25">
      <c r="C4" t="s">
        <v>120</v>
      </c>
      <c r="D4">
        <v>26</v>
      </c>
      <c r="E4" s="155"/>
      <c r="F4">
        <v>9</v>
      </c>
      <c r="G4">
        <v>12</v>
      </c>
      <c r="I4">
        <v>0.16</v>
      </c>
      <c r="J4">
        <v>0.33</v>
      </c>
      <c r="K4">
        <f t="shared" si="1"/>
        <v>0.29000000000000004</v>
      </c>
      <c r="M4">
        <f>1.3/6</f>
        <v>0.21666666666666667</v>
      </c>
      <c r="N4">
        <v>0.4</v>
      </c>
      <c r="P4" t="s">
        <v>120</v>
      </c>
      <c r="Q4">
        <v>0.31</v>
      </c>
      <c r="R4">
        <v>0.27</v>
      </c>
      <c r="T4">
        <f>1.3/6</f>
        <v>0.21666666666666667</v>
      </c>
      <c r="U4">
        <v>0.4</v>
      </c>
      <c r="V4">
        <f t="shared" si="0"/>
        <v>0.30833333333333335</v>
      </c>
    </row>
    <row r="5" spans="3:25">
      <c r="C5" t="s">
        <v>117</v>
      </c>
      <c r="D5">
        <v>25</v>
      </c>
      <c r="E5" s="155">
        <v>27</v>
      </c>
      <c r="F5">
        <v>18</v>
      </c>
      <c r="G5">
        <v>9</v>
      </c>
      <c r="I5">
        <v>1</v>
      </c>
      <c r="J5">
        <v>1</v>
      </c>
      <c r="K5" s="156">
        <f>AVERAGE(Q5:S5)</f>
        <v>1.8</v>
      </c>
      <c r="L5" s="156"/>
      <c r="M5" s="156"/>
      <c r="N5" s="156">
        <v>0.73</v>
      </c>
      <c r="P5" t="s">
        <v>117</v>
      </c>
      <c r="S5">
        <v>1.8</v>
      </c>
      <c r="U5">
        <v>0.73</v>
      </c>
      <c r="V5">
        <f t="shared" si="0"/>
        <v>0.73</v>
      </c>
      <c r="X5">
        <f t="shared" ref="X5:X12" si="2">AVERAGE(S74,T74)</f>
        <v>12</v>
      </c>
    </row>
    <row r="6" spans="3:25">
      <c r="C6" t="s">
        <v>34</v>
      </c>
      <c r="D6">
        <v>19</v>
      </c>
      <c r="E6" s="155"/>
      <c r="F6">
        <v>3</v>
      </c>
      <c r="G6">
        <v>6</v>
      </c>
      <c r="I6">
        <v>0.66</v>
      </c>
      <c r="J6">
        <v>0.33</v>
      </c>
      <c r="K6">
        <f t="shared" si="1"/>
        <v>0.19</v>
      </c>
      <c r="M6">
        <f>1.205/3</f>
        <v>0.40166666666666667</v>
      </c>
      <c r="N6">
        <f>0.73/3</f>
        <v>0.24333333333333332</v>
      </c>
      <c r="P6" t="s">
        <v>34</v>
      </c>
      <c r="S6">
        <v>0.19</v>
      </c>
      <c r="T6">
        <f>1.205/3</f>
        <v>0.40166666666666667</v>
      </c>
      <c r="U6">
        <f>0.73/3</f>
        <v>0.24333333333333332</v>
      </c>
      <c r="V6">
        <f t="shared" si="0"/>
        <v>0.32250000000000001</v>
      </c>
      <c r="X6">
        <f t="shared" si="2"/>
        <v>12</v>
      </c>
    </row>
    <row r="7" spans="3:25">
      <c r="C7" t="s">
        <v>35</v>
      </c>
      <c r="D7">
        <v>20</v>
      </c>
      <c r="E7" s="155"/>
      <c r="F7">
        <v>6</v>
      </c>
      <c r="G7">
        <v>0</v>
      </c>
      <c r="I7">
        <v>0.5</v>
      </c>
      <c r="J7">
        <v>0.33</v>
      </c>
      <c r="K7">
        <f t="shared" si="1"/>
        <v>0.36</v>
      </c>
      <c r="M7">
        <f>0.802/4</f>
        <v>0.20050000000000001</v>
      </c>
      <c r="N7">
        <f>0.67/3</f>
        <v>0.22333333333333336</v>
      </c>
      <c r="P7" t="s">
        <v>35</v>
      </c>
      <c r="S7">
        <v>0.36</v>
      </c>
      <c r="T7">
        <f>0.802/4</f>
        <v>0.20050000000000001</v>
      </c>
      <c r="U7">
        <f>0.67/3</f>
        <v>0.22333333333333336</v>
      </c>
      <c r="V7">
        <f t="shared" si="0"/>
        <v>0.2119166666666667</v>
      </c>
      <c r="X7">
        <f t="shared" si="2"/>
        <v>3</v>
      </c>
    </row>
    <row r="8" spans="3:25">
      <c r="C8" t="s">
        <v>113</v>
      </c>
      <c r="D8">
        <v>9</v>
      </c>
      <c r="E8" s="155"/>
      <c r="F8">
        <v>6</v>
      </c>
      <c r="G8">
        <v>0</v>
      </c>
      <c r="I8">
        <v>0</v>
      </c>
      <c r="K8">
        <f t="shared" si="1"/>
        <v>0.16</v>
      </c>
      <c r="M8">
        <v>0.3</v>
      </c>
      <c r="P8" t="s">
        <v>113</v>
      </c>
      <c r="S8">
        <v>0.16</v>
      </c>
      <c r="T8">
        <v>0.3</v>
      </c>
      <c r="V8">
        <f t="shared" si="0"/>
        <v>0.3</v>
      </c>
      <c r="X8">
        <f t="shared" si="2"/>
        <v>13.5</v>
      </c>
    </row>
    <row r="9" spans="3:25">
      <c r="C9" t="s">
        <v>125</v>
      </c>
      <c r="D9">
        <v>20</v>
      </c>
      <c r="E9" s="155"/>
      <c r="G9">
        <v>3</v>
      </c>
      <c r="I9">
        <v>0.33</v>
      </c>
      <c r="J9">
        <v>0</v>
      </c>
      <c r="K9">
        <f t="shared" si="1"/>
        <v>0.125</v>
      </c>
      <c r="M9">
        <f>1.05/3</f>
        <v>0.35000000000000003</v>
      </c>
      <c r="N9">
        <f>0.63/3</f>
        <v>0.21</v>
      </c>
      <c r="P9" t="s">
        <v>125</v>
      </c>
      <c r="Q9">
        <v>0.12</v>
      </c>
      <c r="R9">
        <v>0.13</v>
      </c>
      <c r="T9">
        <f>1.05/3</f>
        <v>0.35000000000000003</v>
      </c>
      <c r="U9">
        <f>0.63/3</f>
        <v>0.21</v>
      </c>
      <c r="V9">
        <f t="shared" si="0"/>
        <v>0.28000000000000003</v>
      </c>
      <c r="X9">
        <f t="shared" si="2"/>
        <v>10.5</v>
      </c>
    </row>
    <row r="10" spans="3:25">
      <c r="C10" t="s">
        <v>124</v>
      </c>
      <c r="D10">
        <v>8</v>
      </c>
      <c r="E10" s="155"/>
      <c r="F10">
        <v>18</v>
      </c>
      <c r="G10">
        <v>6</v>
      </c>
      <c r="I10">
        <v>1</v>
      </c>
      <c r="J10">
        <v>1</v>
      </c>
      <c r="K10">
        <f>AVERAGE(Q10:S10)</f>
        <v>0.93</v>
      </c>
      <c r="M10">
        <v>1.4</v>
      </c>
      <c r="N10">
        <v>1.9</v>
      </c>
      <c r="P10" t="s">
        <v>124</v>
      </c>
      <c r="Q10">
        <v>0.76</v>
      </c>
      <c r="R10">
        <v>1.1000000000000001</v>
      </c>
      <c r="T10">
        <v>1.4</v>
      </c>
      <c r="U10">
        <v>1.9</v>
      </c>
      <c r="V10">
        <f t="shared" si="0"/>
        <v>1.65</v>
      </c>
      <c r="X10">
        <f t="shared" si="2"/>
        <v>1.5</v>
      </c>
      <c r="Y10">
        <f>AVERAGE(S80,T80)</f>
        <v>16.5</v>
      </c>
    </row>
    <row r="11" spans="3:25">
      <c r="C11" t="s">
        <v>121</v>
      </c>
      <c r="D11">
        <v>18</v>
      </c>
      <c r="E11" s="146"/>
      <c r="F11">
        <v>9</v>
      </c>
      <c r="G11">
        <v>0</v>
      </c>
      <c r="I11">
        <v>0</v>
      </c>
      <c r="J11">
        <v>0.33</v>
      </c>
      <c r="K11">
        <f t="shared" si="1"/>
        <v>2.5000000000000001E-2</v>
      </c>
      <c r="M11">
        <f>0.21/3</f>
        <v>6.9999999999999993E-2</v>
      </c>
      <c r="N11">
        <f>0.73/3</f>
        <v>0.24333333333333332</v>
      </c>
      <c r="P11" t="s">
        <v>121</v>
      </c>
      <c r="R11">
        <v>2.5000000000000001E-2</v>
      </c>
      <c r="T11">
        <f>0.21/3</f>
        <v>6.9999999999999993E-2</v>
      </c>
      <c r="U11">
        <f>0.73/3</f>
        <v>0.24333333333333332</v>
      </c>
      <c r="V11">
        <f t="shared" si="0"/>
        <v>0.15666666666666665</v>
      </c>
      <c r="X11">
        <f t="shared" si="2"/>
        <v>16.5</v>
      </c>
    </row>
    <row r="12" spans="3:25">
      <c r="C12" t="s">
        <v>122</v>
      </c>
      <c r="D12">
        <v>12</v>
      </c>
      <c r="E12" s="146"/>
      <c r="G12">
        <v>0</v>
      </c>
      <c r="I12">
        <v>0.5</v>
      </c>
      <c r="J12">
        <v>1</v>
      </c>
      <c r="K12">
        <f t="shared" si="1"/>
        <v>2</v>
      </c>
      <c r="M12">
        <v>0.45</v>
      </c>
      <c r="N12">
        <f>3.4/3</f>
        <v>1.1333333333333333</v>
      </c>
      <c r="P12" t="s">
        <v>122</v>
      </c>
      <c r="Q12">
        <v>2.4</v>
      </c>
      <c r="R12">
        <v>1.6</v>
      </c>
      <c r="T12">
        <v>0.45</v>
      </c>
      <c r="U12">
        <f>3.4/3</f>
        <v>1.1333333333333333</v>
      </c>
      <c r="V12">
        <f t="shared" si="0"/>
        <v>0.79166666666666663</v>
      </c>
      <c r="X12">
        <f t="shared" si="2"/>
        <v>2</v>
      </c>
    </row>
    <row r="13" spans="3:25">
      <c r="C13" t="s">
        <v>123</v>
      </c>
      <c r="D13">
        <v>18</v>
      </c>
      <c r="E13" s="146"/>
      <c r="G13">
        <v>6</v>
      </c>
      <c r="I13">
        <v>1</v>
      </c>
      <c r="J13">
        <v>1</v>
      </c>
      <c r="K13">
        <f>AVERAGE(Q19:S19)</f>
        <v>1.3050000000000002</v>
      </c>
      <c r="M13">
        <v>0.4</v>
      </c>
      <c r="X13" t="e">
        <f>AVERAGE(T82,U82)</f>
        <v>#DIV/0!</v>
      </c>
    </row>
    <row r="14" spans="3:25">
      <c r="C14" t="s">
        <v>114</v>
      </c>
      <c r="D14">
        <v>23</v>
      </c>
      <c r="E14">
        <v>21</v>
      </c>
      <c r="F14">
        <v>21</v>
      </c>
      <c r="G14">
        <v>6</v>
      </c>
      <c r="I14">
        <v>0.5</v>
      </c>
      <c r="J14">
        <v>1</v>
      </c>
      <c r="K14">
        <f>AVERAGE(Q15:S15)</f>
        <v>0.33700000000000002</v>
      </c>
      <c r="M14">
        <v>0.433</v>
      </c>
      <c r="P14" t="s">
        <v>127</v>
      </c>
      <c r="R14">
        <v>0.08</v>
      </c>
      <c r="T14">
        <v>0.4</v>
      </c>
      <c r="V14">
        <f t="shared" si="0"/>
        <v>0.4</v>
      </c>
    </row>
    <row r="15" spans="3:25">
      <c r="C15" t="s">
        <v>115</v>
      </c>
      <c r="D15">
        <v>20</v>
      </c>
      <c r="E15">
        <v>24</v>
      </c>
      <c r="F15">
        <v>18</v>
      </c>
      <c r="G15">
        <v>6</v>
      </c>
      <c r="I15">
        <v>0</v>
      </c>
      <c r="J15">
        <v>0.33</v>
      </c>
      <c r="K15">
        <f t="shared" ref="K15:K17" si="3">AVERAGE(Q16:S16)</f>
        <v>0.15</v>
      </c>
      <c r="M15">
        <f>0.52/3</f>
        <v>0.17333333333333334</v>
      </c>
      <c r="P15" t="s">
        <v>114</v>
      </c>
      <c r="S15">
        <v>0.33700000000000002</v>
      </c>
      <c r="T15">
        <v>0.433</v>
      </c>
      <c r="V15">
        <f t="shared" si="0"/>
        <v>0.433</v>
      </c>
      <c r="X15" t="e">
        <f>AVERAGE(T84,U84)</f>
        <v>#DIV/0!</v>
      </c>
      <c r="Y15" t="e">
        <f>AVERAGE(T85,U85)</f>
        <v>#DIV/0!</v>
      </c>
    </row>
    <row r="16" spans="3:25">
      <c r="C16" t="s">
        <v>116</v>
      </c>
      <c r="D16">
        <v>10</v>
      </c>
      <c r="E16">
        <v>18</v>
      </c>
      <c r="F16" s="142">
        <v>21</v>
      </c>
      <c r="G16">
        <v>3</v>
      </c>
      <c r="I16">
        <v>0.33</v>
      </c>
      <c r="J16">
        <v>0</v>
      </c>
      <c r="K16">
        <f t="shared" si="3"/>
        <v>0.06</v>
      </c>
      <c r="N16">
        <f>0.11/3</f>
        <v>3.6666666666666667E-2</v>
      </c>
      <c r="P16" t="s">
        <v>115</v>
      </c>
      <c r="S16">
        <v>0.15</v>
      </c>
      <c r="T16">
        <f>0.52/3</f>
        <v>0.17333333333333334</v>
      </c>
      <c r="V16">
        <f t="shared" si="0"/>
        <v>0.17333333333333334</v>
      </c>
      <c r="X16" t="e">
        <f>AVERAGE(T85,U85)</f>
        <v>#DIV/0!</v>
      </c>
    </row>
    <row r="17" spans="3:24">
      <c r="C17" t="s">
        <v>126</v>
      </c>
      <c r="D17">
        <v>4</v>
      </c>
      <c r="E17" s="146"/>
      <c r="G17">
        <v>12</v>
      </c>
      <c r="I17">
        <v>0.33</v>
      </c>
      <c r="J17">
        <v>0.33</v>
      </c>
      <c r="K17">
        <f t="shared" si="3"/>
        <v>9.5000000000000001E-2</v>
      </c>
      <c r="M17">
        <f>0.605/6</f>
        <v>0.10083333333333333</v>
      </c>
      <c r="N17">
        <f>0.35/3</f>
        <v>0.11666666666666665</v>
      </c>
      <c r="P17" t="s">
        <v>116</v>
      </c>
      <c r="S17">
        <v>0.06</v>
      </c>
      <c r="U17">
        <f>0.11/3</f>
        <v>3.6666666666666667E-2</v>
      </c>
      <c r="V17">
        <f t="shared" si="0"/>
        <v>3.6666666666666667E-2</v>
      </c>
    </row>
    <row r="18" spans="3:24">
      <c r="P18" t="s">
        <v>126</v>
      </c>
      <c r="R18">
        <v>9.5000000000000001E-2</v>
      </c>
      <c r="T18">
        <f>0.605/6</f>
        <v>0.10083333333333333</v>
      </c>
      <c r="U18">
        <f>0.35/3</f>
        <v>0.11666666666666665</v>
      </c>
      <c r="V18">
        <f t="shared" si="0"/>
        <v>0.10874999999999999</v>
      </c>
    </row>
    <row r="19" spans="3:24">
      <c r="P19" s="155" t="s">
        <v>123</v>
      </c>
      <c r="Q19" s="155">
        <v>0.41</v>
      </c>
      <c r="R19" s="155">
        <v>2.2000000000000002</v>
      </c>
      <c r="S19" s="155"/>
      <c r="T19" s="155">
        <v>2.6</v>
      </c>
      <c r="U19" s="155">
        <v>2.2000000000000002</v>
      </c>
      <c r="V19" s="155">
        <f>AVERAGE(T19,U19)</f>
        <v>2.4000000000000004</v>
      </c>
    </row>
    <row r="21" spans="3:24">
      <c r="P21" s="145">
        <v>0.25</v>
      </c>
      <c r="Q21">
        <f>QUARTILE(Q2:Q18,2)</f>
        <v>0.31</v>
      </c>
      <c r="R21">
        <f>QUARTILE(R2:R18,2)</f>
        <v>0.25</v>
      </c>
      <c r="S21">
        <f>QUARTILE(S2:S18,2)</f>
        <v>0.19</v>
      </c>
      <c r="T21">
        <f>QUARTILE(T2:T18,2)</f>
        <v>0.315</v>
      </c>
      <c r="U21">
        <f>QUARTILE(U2:U18,2)</f>
        <v>0.30166666666666664</v>
      </c>
    </row>
    <row r="22" spans="3:24">
      <c r="P22" t="s">
        <v>146</v>
      </c>
      <c r="Q22">
        <f>QUARTILE(Q2:Q18,4)</f>
        <v>2.4</v>
      </c>
      <c r="R22">
        <f>QUARTILE(R2:R18,4)</f>
        <v>1.6</v>
      </c>
      <c r="S22">
        <f>QUARTILE(S2:S18,4)</f>
        <v>1.8</v>
      </c>
      <c r="T22">
        <f>QUARTILE(T2:T18,4)</f>
        <v>1.4</v>
      </c>
      <c r="U22">
        <f>QUARTILE(U2:U18,4)</f>
        <v>1.9</v>
      </c>
    </row>
    <row r="23" spans="3:24">
      <c r="P23" t="s">
        <v>145</v>
      </c>
      <c r="Q23">
        <f>QUARTILE(Q2:Q18,1)</f>
        <v>0.21</v>
      </c>
      <c r="R23">
        <f>QUARTILE(R2:R18,1)</f>
        <v>9.5000000000000001E-2</v>
      </c>
      <c r="S23">
        <f>QUARTILE(S2:S18,1)</f>
        <v>0.155</v>
      </c>
      <c r="T23">
        <f>QUARTILE(T2:T18,1)</f>
        <v>0.20454166666666668</v>
      </c>
      <c r="U23">
        <f>QUARTILE(U2:U18,1)</f>
        <v>0.22000000000000003</v>
      </c>
    </row>
    <row r="24" spans="3:24">
      <c r="P24" s="145">
        <v>0.75</v>
      </c>
      <c r="Q24">
        <f>QUARTILE(Q2:Q18,3)</f>
        <v>0.76</v>
      </c>
      <c r="R24">
        <f>QUARTILE(R2:R18,3)</f>
        <v>0.27</v>
      </c>
      <c r="S24">
        <f>QUARTILE(S2:S18,3)</f>
        <v>0.34850000000000003</v>
      </c>
      <c r="T24">
        <f>QUARTILE(T2:T18,3)</f>
        <v>0.40125</v>
      </c>
      <c r="U24">
        <f>QUARTILE(U2:U18,3)</f>
        <v>0.505</v>
      </c>
    </row>
    <row r="25" spans="3:24">
      <c r="X25" t="e">
        <f>AVERAGE(T88,U88)</f>
        <v>#DIV/0!</v>
      </c>
    </row>
    <row r="26" spans="3:24">
      <c r="P26" s="140" t="s">
        <v>139</v>
      </c>
      <c r="Q26" s="148">
        <f>AVERAGE(Q2:Q18)</f>
        <v>0.76</v>
      </c>
      <c r="R26" s="148">
        <f>AVERAGE(R2:R18)</f>
        <v>0.42333333333333339</v>
      </c>
      <c r="S26" s="148">
        <f>AVERAGE(S2:S18)</f>
        <v>0.43671428571428578</v>
      </c>
      <c r="T26" s="148">
        <f>AVERAGE(T2:T18)</f>
        <v>0.36474285714285715</v>
      </c>
      <c r="U26" s="148">
        <f>AVERAGE(U2:U18)</f>
        <v>0.50222222222222224</v>
      </c>
      <c r="V26" s="148">
        <f>AVERAGE(V2:V18)</f>
        <v>0.41268958333333333</v>
      </c>
    </row>
    <row r="27" spans="3:24">
      <c r="P27" t="s">
        <v>138</v>
      </c>
      <c r="Q27">
        <f>MEDIAN(Q2:Q19)</f>
        <v>0.36</v>
      </c>
      <c r="R27">
        <f>MEDIAN(R2:R19)</f>
        <v>0.255</v>
      </c>
      <c r="S27">
        <f>MEDIAN(S2:S19)</f>
        <v>0.19</v>
      </c>
      <c r="T27">
        <f>MEDIAN(T2:T19)</f>
        <v>0.33</v>
      </c>
      <c r="U27">
        <f>MEDIAN(U2:U19)</f>
        <v>0.36</v>
      </c>
      <c r="V27">
        <f>MEDIAN(V2:V19)</f>
        <v>0.32250000000000001</v>
      </c>
    </row>
    <row r="28" spans="3:24">
      <c r="P28" t="s">
        <v>162</v>
      </c>
      <c r="Q28">
        <v>0.56000000000000005</v>
      </c>
      <c r="R28">
        <v>0.56000000000000005</v>
      </c>
      <c r="S28">
        <v>0.56000000000000005</v>
      </c>
      <c r="T28">
        <v>0.56000000000000005</v>
      </c>
      <c r="U28">
        <v>0.56000000000000005</v>
      </c>
      <c r="V28">
        <v>0.56000000000000005</v>
      </c>
    </row>
    <row r="29" spans="3:24">
      <c r="T29">
        <v>27</v>
      </c>
    </row>
    <row r="31" spans="3:24">
      <c r="T31">
        <v>18</v>
      </c>
    </row>
    <row r="32" spans="3:24">
      <c r="T32">
        <v>33</v>
      </c>
    </row>
    <row r="33" spans="20:20">
      <c r="T33">
        <v>18</v>
      </c>
    </row>
    <row r="49" spans="4:24">
      <c r="D49" s="140" t="s">
        <v>118</v>
      </c>
      <c r="E49" s="140"/>
      <c r="G49" s="140" t="s">
        <v>133</v>
      </c>
      <c r="H49" s="140"/>
      <c r="I49" s="140"/>
      <c r="J49" s="140"/>
      <c r="K49" s="140" t="s">
        <v>135</v>
      </c>
      <c r="L49" s="140"/>
      <c r="M49" s="140" t="s">
        <v>130</v>
      </c>
      <c r="N49" s="140" t="s">
        <v>131</v>
      </c>
    </row>
    <row r="50" spans="4:24">
      <c r="D50" t="s">
        <v>128</v>
      </c>
      <c r="G50">
        <v>9</v>
      </c>
      <c r="K50">
        <v>24</v>
      </c>
      <c r="M50">
        <v>0.26</v>
      </c>
      <c r="T50" s="140" t="s">
        <v>132</v>
      </c>
      <c r="U50" s="140" t="s">
        <v>134</v>
      </c>
      <c r="V50" s="140" t="s">
        <v>137</v>
      </c>
    </row>
    <row r="51" spans="4:24">
      <c r="D51" t="s">
        <v>119</v>
      </c>
      <c r="G51">
        <v>6</v>
      </c>
      <c r="K51">
        <v>3</v>
      </c>
      <c r="M51">
        <f>1.205/5</f>
        <v>0.24100000000000002</v>
      </c>
      <c r="P51" t="s">
        <v>128</v>
      </c>
      <c r="T51">
        <v>0.33</v>
      </c>
      <c r="U51">
        <v>0.36</v>
      </c>
      <c r="V51">
        <f t="shared" ref="V51:V67" si="4">AVERAGE(T51,U51)</f>
        <v>0.34499999999999997</v>
      </c>
    </row>
    <row r="52" spans="4:24">
      <c r="D52" t="s">
        <v>120</v>
      </c>
      <c r="G52">
        <v>15</v>
      </c>
      <c r="K52">
        <v>18</v>
      </c>
      <c r="M52">
        <f>1.305/5</f>
        <v>0.26100000000000001</v>
      </c>
      <c r="P52" t="s">
        <v>119</v>
      </c>
      <c r="T52">
        <f>1.402/5</f>
        <v>0.28039999999999998</v>
      </c>
      <c r="U52">
        <v>0.43</v>
      </c>
      <c r="V52">
        <f t="shared" si="4"/>
        <v>0.35519999999999996</v>
      </c>
      <c r="X52" s="140" t="s">
        <v>136</v>
      </c>
    </row>
    <row r="53" spans="4:24">
      <c r="D53" t="s">
        <v>117</v>
      </c>
      <c r="K53">
        <v>12</v>
      </c>
      <c r="M53">
        <v>0.65</v>
      </c>
      <c r="N53">
        <v>30</v>
      </c>
      <c r="P53" t="s">
        <v>120</v>
      </c>
      <c r="T53">
        <f>1.3/6</f>
        <v>0.21666666666666667</v>
      </c>
      <c r="U53">
        <v>0.4</v>
      </c>
      <c r="V53">
        <f t="shared" si="4"/>
        <v>0.30833333333333335</v>
      </c>
      <c r="X53">
        <f t="shared" ref="X53:X60" si="5">AVERAGE(G50,K50)</f>
        <v>16.5</v>
      </c>
    </row>
    <row r="54" spans="4:24">
      <c r="D54" t="s">
        <v>34</v>
      </c>
      <c r="G54">
        <v>18</v>
      </c>
      <c r="K54">
        <v>12</v>
      </c>
      <c r="M54">
        <f>0.905/5</f>
        <v>0.18099999999999999</v>
      </c>
      <c r="N54">
        <v>30</v>
      </c>
      <c r="P54" t="s">
        <v>117</v>
      </c>
      <c r="U54">
        <v>0.73</v>
      </c>
      <c r="V54">
        <f t="shared" si="4"/>
        <v>0.73</v>
      </c>
      <c r="X54">
        <f t="shared" si="5"/>
        <v>4.5</v>
      </c>
    </row>
    <row r="55" spans="4:24">
      <c r="D55" t="s">
        <v>35</v>
      </c>
      <c r="G55">
        <v>33</v>
      </c>
      <c r="K55">
        <v>12</v>
      </c>
      <c r="M55">
        <f>1.78/5</f>
        <v>0.35599999999999998</v>
      </c>
      <c r="N55">
        <v>33</v>
      </c>
      <c r="P55" t="s">
        <v>34</v>
      </c>
      <c r="T55">
        <f>1.205/3</f>
        <v>0.40166666666666667</v>
      </c>
      <c r="U55">
        <f>0.73/3</f>
        <v>0.24333333333333332</v>
      </c>
      <c r="V55">
        <f t="shared" si="4"/>
        <v>0.32250000000000001</v>
      </c>
      <c r="X55">
        <f t="shared" si="5"/>
        <v>16.5</v>
      </c>
    </row>
    <row r="56" spans="4:24">
      <c r="D56" t="s">
        <v>113</v>
      </c>
      <c r="G56">
        <v>6</v>
      </c>
      <c r="K56">
        <v>6</v>
      </c>
      <c r="M56">
        <f>6.05/5</f>
        <v>1.21</v>
      </c>
      <c r="P56" t="s">
        <v>35</v>
      </c>
      <c r="T56">
        <f>0.802/4</f>
        <v>0.20050000000000001</v>
      </c>
      <c r="U56">
        <f>0.67/3</f>
        <v>0.22333333333333336</v>
      </c>
      <c r="V56">
        <f t="shared" si="4"/>
        <v>0.2119166666666667</v>
      </c>
      <c r="X56">
        <f t="shared" si="5"/>
        <v>12</v>
      </c>
    </row>
    <row r="57" spans="4:24">
      <c r="D57" t="s">
        <v>125</v>
      </c>
      <c r="K57">
        <v>12</v>
      </c>
      <c r="M57">
        <f>0.65/5</f>
        <v>0.13</v>
      </c>
      <c r="P57" t="s">
        <v>113</v>
      </c>
      <c r="T57">
        <v>0.3</v>
      </c>
      <c r="V57">
        <f t="shared" si="4"/>
        <v>0.3</v>
      </c>
      <c r="X57">
        <f t="shared" si="5"/>
        <v>15</v>
      </c>
    </row>
    <row r="58" spans="4:24">
      <c r="D58" t="s">
        <v>124</v>
      </c>
      <c r="G58">
        <v>24</v>
      </c>
      <c r="K58">
        <v>18</v>
      </c>
      <c r="M58">
        <v>1.1000000000000001</v>
      </c>
      <c r="P58" t="s">
        <v>125</v>
      </c>
      <c r="T58">
        <f>1.05/3</f>
        <v>0.35000000000000003</v>
      </c>
      <c r="U58">
        <f>0.63/3</f>
        <v>0.21</v>
      </c>
      <c r="V58">
        <f t="shared" si="4"/>
        <v>0.28000000000000003</v>
      </c>
      <c r="X58">
        <f t="shared" si="5"/>
        <v>22.5</v>
      </c>
    </row>
    <row r="59" spans="4:24">
      <c r="D59" t="s">
        <v>121</v>
      </c>
      <c r="G59">
        <v>18</v>
      </c>
      <c r="K59">
        <v>3</v>
      </c>
      <c r="M59">
        <v>2.5000000000000001E-2</v>
      </c>
      <c r="P59" t="s">
        <v>124</v>
      </c>
      <c r="T59">
        <v>1.4</v>
      </c>
      <c r="U59">
        <v>1.9</v>
      </c>
      <c r="V59">
        <f t="shared" si="4"/>
        <v>1.65</v>
      </c>
      <c r="X59">
        <f t="shared" si="5"/>
        <v>6</v>
      </c>
    </row>
    <row r="60" spans="4:24">
      <c r="D60" t="s">
        <v>122</v>
      </c>
      <c r="K60">
        <v>3</v>
      </c>
      <c r="M60">
        <v>1.6</v>
      </c>
      <c r="P60" t="s">
        <v>121</v>
      </c>
      <c r="T60">
        <f>0.21/3</f>
        <v>6.9999999999999993E-2</v>
      </c>
      <c r="U60">
        <f>0.73/3</f>
        <v>0.24333333333333332</v>
      </c>
      <c r="V60">
        <f t="shared" si="4"/>
        <v>0.15666666666666665</v>
      </c>
      <c r="X60">
        <f t="shared" si="5"/>
        <v>12</v>
      </c>
    </row>
    <row r="61" spans="4:24">
      <c r="D61" t="s">
        <v>123</v>
      </c>
      <c r="K61">
        <v>15</v>
      </c>
      <c r="M61">
        <v>2.2000000000000002</v>
      </c>
      <c r="P61" t="s">
        <v>122</v>
      </c>
      <c r="T61">
        <v>0.45</v>
      </c>
      <c r="U61">
        <f>3.4/3</f>
        <v>1.1333333333333333</v>
      </c>
      <c r="V61">
        <f t="shared" si="4"/>
        <v>0.79166666666666663</v>
      </c>
    </row>
    <row r="62" spans="4:24">
      <c r="D62" t="s">
        <v>127</v>
      </c>
      <c r="M62">
        <v>0.1</v>
      </c>
      <c r="P62" t="s">
        <v>123</v>
      </c>
      <c r="T62">
        <v>2.6</v>
      </c>
      <c r="U62">
        <v>2.2000000000000002</v>
      </c>
      <c r="V62">
        <f t="shared" si="4"/>
        <v>2.4000000000000004</v>
      </c>
      <c r="X62">
        <f>AVERAGE(G59,K59)</f>
        <v>10.5</v>
      </c>
    </row>
    <row r="63" spans="4:24">
      <c r="D63" t="s">
        <v>114</v>
      </c>
      <c r="G63">
        <v>33</v>
      </c>
      <c r="K63">
        <v>12</v>
      </c>
      <c r="M63">
        <v>0.33</v>
      </c>
      <c r="N63">
        <v>33</v>
      </c>
      <c r="P63" t="s">
        <v>127</v>
      </c>
      <c r="T63">
        <v>0.4</v>
      </c>
      <c r="V63">
        <f t="shared" si="4"/>
        <v>0.4</v>
      </c>
      <c r="X63">
        <f>AVERAGE(G60,K60)</f>
        <v>3</v>
      </c>
    </row>
    <row r="64" spans="4:24">
      <c r="D64" t="s">
        <v>115</v>
      </c>
      <c r="G64">
        <v>27</v>
      </c>
      <c r="K64">
        <v>12</v>
      </c>
      <c r="M64">
        <v>0.70499999999999996</v>
      </c>
      <c r="N64">
        <v>30</v>
      </c>
      <c r="P64" t="s">
        <v>114</v>
      </c>
      <c r="T64">
        <v>0.433</v>
      </c>
      <c r="V64">
        <f t="shared" si="4"/>
        <v>0.433</v>
      </c>
    </row>
    <row r="65" spans="4:24">
      <c r="D65" t="s">
        <v>116</v>
      </c>
      <c r="K65">
        <v>12</v>
      </c>
      <c r="M65">
        <v>0.22</v>
      </c>
      <c r="N65">
        <v>30</v>
      </c>
      <c r="P65" t="s">
        <v>115</v>
      </c>
      <c r="T65">
        <f>0.52/3</f>
        <v>0.17333333333333334</v>
      </c>
      <c r="V65">
        <f t="shared" si="4"/>
        <v>0.17333333333333334</v>
      </c>
    </row>
    <row r="66" spans="4:24">
      <c r="D66" t="s">
        <v>126</v>
      </c>
      <c r="K66">
        <v>18</v>
      </c>
      <c r="M66">
        <f>0.45/5</f>
        <v>0.09</v>
      </c>
      <c r="P66" t="s">
        <v>116</v>
      </c>
      <c r="T66">
        <v>0</v>
      </c>
      <c r="U66">
        <f>0.11/3</f>
        <v>3.6666666666666667E-2</v>
      </c>
      <c r="V66">
        <f t="shared" si="4"/>
        <v>1.8333333333333333E-2</v>
      </c>
      <c r="X66">
        <f>AVERAGE(G63,K63)</f>
        <v>22.5</v>
      </c>
    </row>
    <row r="67" spans="4:24">
      <c r="P67" t="s">
        <v>126</v>
      </c>
      <c r="T67">
        <f>0.605/6</f>
        <v>0.10083333333333333</v>
      </c>
      <c r="U67">
        <f>0.35/3</f>
        <v>0.11666666666666665</v>
      </c>
      <c r="V67">
        <f t="shared" si="4"/>
        <v>0.10874999999999999</v>
      </c>
      <c r="X67">
        <f>AVERAGE(G64,K64)</f>
        <v>19.5</v>
      </c>
    </row>
    <row r="68" spans="4:24">
      <c r="X68">
        <f>AVERAGE(G65,K65)</f>
        <v>12</v>
      </c>
    </row>
    <row r="69" spans="4:24">
      <c r="X69">
        <f>AVERAGE(G66,K66)</f>
        <v>18</v>
      </c>
    </row>
    <row r="73" spans="4:24">
      <c r="E73" t="s">
        <v>115</v>
      </c>
      <c r="G73">
        <v>0.70499999999999996</v>
      </c>
      <c r="L73">
        <f>0.52/3</f>
        <v>0.17333333333333334</v>
      </c>
      <c r="O73" s="141"/>
      <c r="Q73" t="s">
        <v>34</v>
      </c>
      <c r="R73">
        <v>19</v>
      </c>
      <c r="S73">
        <v>3</v>
      </c>
      <c r="T73">
        <v>6</v>
      </c>
      <c r="W73">
        <f>0.905/5</f>
        <v>0.18099999999999999</v>
      </c>
    </row>
    <row r="74" spans="4:24">
      <c r="E74" t="s">
        <v>116</v>
      </c>
      <c r="G74">
        <v>0.22</v>
      </c>
      <c r="L74">
        <v>0</v>
      </c>
      <c r="M74">
        <f>0.11/3</f>
        <v>3.6666666666666667E-2</v>
      </c>
      <c r="O74" s="141"/>
      <c r="Q74" t="s">
        <v>115</v>
      </c>
      <c r="R74">
        <v>20</v>
      </c>
      <c r="S74">
        <v>18</v>
      </c>
      <c r="T74">
        <v>6</v>
      </c>
      <c r="W74">
        <v>0.70499999999999996</v>
      </c>
    </row>
    <row r="75" spans="4:24">
      <c r="E75" t="s">
        <v>128</v>
      </c>
      <c r="F75">
        <v>0.26</v>
      </c>
      <c r="L75">
        <v>0.33</v>
      </c>
      <c r="M75">
        <v>0.36</v>
      </c>
      <c r="O75" s="141"/>
      <c r="Q75" t="s">
        <v>116</v>
      </c>
      <c r="R75">
        <v>10</v>
      </c>
      <c r="S75" s="144">
        <v>21</v>
      </c>
      <c r="T75">
        <v>3</v>
      </c>
      <c r="W75">
        <v>0.22</v>
      </c>
    </row>
    <row r="76" spans="4:24">
      <c r="E76" t="s">
        <v>119</v>
      </c>
      <c r="F76">
        <f>1.205/5</f>
        <v>0.24100000000000002</v>
      </c>
      <c r="L76">
        <f>1.402/5</f>
        <v>0.28039999999999998</v>
      </c>
      <c r="M76">
        <v>0.43</v>
      </c>
      <c r="O76" s="141"/>
      <c r="Q76" t="s">
        <v>35</v>
      </c>
      <c r="R76">
        <v>20</v>
      </c>
      <c r="S76">
        <v>6</v>
      </c>
      <c r="T76">
        <v>0</v>
      </c>
      <c r="W76">
        <f>1.78/5</f>
        <v>0.35599999999999998</v>
      </c>
    </row>
    <row r="77" spans="4:24">
      <c r="E77" t="s">
        <v>120</v>
      </c>
      <c r="F77">
        <f>1.305/5</f>
        <v>0.26100000000000001</v>
      </c>
      <c r="L77">
        <f>1.3/6</f>
        <v>0.21666666666666667</v>
      </c>
      <c r="M77">
        <v>0.4</v>
      </c>
      <c r="Q77" t="s">
        <v>114</v>
      </c>
      <c r="R77">
        <v>23</v>
      </c>
      <c r="S77">
        <v>21</v>
      </c>
      <c r="T77">
        <v>6</v>
      </c>
      <c r="W77">
        <v>0.33</v>
      </c>
    </row>
    <row r="78" spans="4:24">
      <c r="E78" t="s">
        <v>121</v>
      </c>
      <c r="F78">
        <v>2.5000000000000001E-2</v>
      </c>
      <c r="L78">
        <f>0.21/3</f>
        <v>6.9999999999999993E-2</v>
      </c>
      <c r="M78">
        <f>0.73/3</f>
        <v>0.24333333333333332</v>
      </c>
      <c r="Q78" t="s">
        <v>128</v>
      </c>
      <c r="R78">
        <v>8</v>
      </c>
      <c r="S78">
        <v>6</v>
      </c>
      <c r="T78">
        <v>15</v>
      </c>
      <c r="W78">
        <v>0.26</v>
      </c>
    </row>
    <row r="79" spans="4:24">
      <c r="E79" t="s">
        <v>122</v>
      </c>
      <c r="F79">
        <v>1.6</v>
      </c>
      <c r="L79">
        <v>0.45</v>
      </c>
      <c r="M79">
        <f>3.4/3</f>
        <v>1.1333333333333333</v>
      </c>
      <c r="Q79" t="s">
        <v>119</v>
      </c>
      <c r="R79">
        <v>17</v>
      </c>
      <c r="S79">
        <v>0</v>
      </c>
      <c r="T79">
        <v>3</v>
      </c>
      <c r="W79">
        <f>1.205/5</f>
        <v>0.24100000000000002</v>
      </c>
    </row>
    <row r="80" spans="4:24">
      <c r="E80" t="s">
        <v>34</v>
      </c>
      <c r="F80">
        <f>0.905/5</f>
        <v>0.18099999999999999</v>
      </c>
      <c r="L80">
        <f>1.205/3</f>
        <v>0.40166666666666667</v>
      </c>
      <c r="M80">
        <f>0.73/3</f>
        <v>0.24333333333333332</v>
      </c>
      <c r="Q80" t="s">
        <v>120</v>
      </c>
      <c r="R80">
        <v>30</v>
      </c>
      <c r="S80">
        <v>15</v>
      </c>
      <c r="T80">
        <v>18</v>
      </c>
      <c r="W80">
        <f>1.305/5</f>
        <v>0.26100000000000001</v>
      </c>
    </row>
    <row r="81" spans="5:23">
      <c r="E81" t="s">
        <v>35</v>
      </c>
      <c r="F81">
        <f>1.78/5</f>
        <v>0.35599999999999998</v>
      </c>
      <c r="L81">
        <f>0.802/4</f>
        <v>0.20050000000000001</v>
      </c>
      <c r="M81">
        <f>0.67/3</f>
        <v>0.22333333333333336</v>
      </c>
      <c r="Q81" t="s">
        <v>113</v>
      </c>
      <c r="R81">
        <v>9</v>
      </c>
      <c r="S81">
        <v>3</v>
      </c>
      <c r="T81">
        <v>1</v>
      </c>
      <c r="W81">
        <f>6.05/5</f>
        <v>1.21</v>
      </c>
    </row>
    <row r="82" spans="5:23">
      <c r="E82" t="s">
        <v>117</v>
      </c>
      <c r="G82">
        <v>0.65</v>
      </c>
      <c r="L82">
        <v>0.66</v>
      </c>
      <c r="M82">
        <v>0.73</v>
      </c>
      <c r="O82" s="141"/>
      <c r="Q82" s="144" t="s">
        <v>125</v>
      </c>
      <c r="W82">
        <f>0.65/5</f>
        <v>0.13</v>
      </c>
    </row>
    <row r="83" spans="5:23">
      <c r="E83" t="s">
        <v>113</v>
      </c>
      <c r="G83">
        <f>6.05/5</f>
        <v>1.21</v>
      </c>
      <c r="L83">
        <v>0.3</v>
      </c>
      <c r="M83" t="s">
        <v>50</v>
      </c>
      <c r="Q83" s="144" t="s">
        <v>124</v>
      </c>
      <c r="W83">
        <v>1.1000000000000001</v>
      </c>
    </row>
    <row r="84" spans="5:23">
      <c r="E84" t="s">
        <v>123</v>
      </c>
      <c r="F84">
        <v>2.2000000000000002</v>
      </c>
      <c r="L84">
        <v>2.6</v>
      </c>
      <c r="M84">
        <v>2.2000000000000002</v>
      </c>
      <c r="Q84" s="144" t="s">
        <v>121</v>
      </c>
      <c r="W84">
        <v>2.5000000000000001E-2</v>
      </c>
    </row>
    <row r="85" spans="5:23">
      <c r="E85" t="s">
        <v>124</v>
      </c>
      <c r="F85">
        <v>1.1000000000000001</v>
      </c>
      <c r="L85">
        <v>1.4</v>
      </c>
      <c r="M85">
        <v>1.9</v>
      </c>
      <c r="Q85" s="144" t="s">
        <v>122</v>
      </c>
      <c r="W85">
        <v>1.6</v>
      </c>
    </row>
    <row r="86" spans="5:23">
      <c r="E86" t="s">
        <v>125</v>
      </c>
      <c r="F86">
        <f>0.65/5</f>
        <v>0.13</v>
      </c>
      <c r="L86">
        <f>1.05/3</f>
        <v>0.35000000000000003</v>
      </c>
      <c r="M86">
        <f>0.63/3</f>
        <v>0.21</v>
      </c>
      <c r="Q86" s="144" t="s">
        <v>123</v>
      </c>
      <c r="W86">
        <v>2.2000000000000002</v>
      </c>
    </row>
    <row r="87" spans="5:23">
      <c r="E87" t="s">
        <v>126</v>
      </c>
      <c r="F87">
        <f>0.45/5</f>
        <v>0.09</v>
      </c>
      <c r="L87">
        <f>0.605/6</f>
        <v>0.10083333333333333</v>
      </c>
      <c r="M87">
        <f>0.35/3</f>
        <v>0.11666666666666665</v>
      </c>
      <c r="Q87" s="144" t="s">
        <v>127</v>
      </c>
      <c r="W87">
        <v>0.1</v>
      </c>
    </row>
    <row r="88" spans="5:23">
      <c r="E88" t="s">
        <v>127</v>
      </c>
      <c r="F88">
        <v>0.1</v>
      </c>
      <c r="L88">
        <v>0.4</v>
      </c>
      <c r="Q88" s="144" t="s">
        <v>126</v>
      </c>
      <c r="W88">
        <f>0.45/5</f>
        <v>0.09</v>
      </c>
    </row>
    <row r="89" spans="5:23">
      <c r="Q89" s="144"/>
    </row>
    <row r="90" spans="5:23">
      <c r="Q90" s="144"/>
    </row>
    <row r="91" spans="5:23">
      <c r="Q91" s="144"/>
    </row>
    <row r="92" spans="5:23">
      <c r="Q92" s="144"/>
    </row>
    <row r="94" spans="5:23">
      <c r="E94" t="s">
        <v>129</v>
      </c>
    </row>
    <row r="95" spans="5:23">
      <c r="E95" t="s">
        <v>114</v>
      </c>
      <c r="K95">
        <v>33</v>
      </c>
      <c r="L95">
        <v>33</v>
      </c>
      <c r="M95">
        <v>12</v>
      </c>
    </row>
    <row r="96" spans="5:23">
      <c r="E96" t="s">
        <v>115</v>
      </c>
      <c r="K96">
        <v>30</v>
      </c>
      <c r="L96">
        <v>27</v>
      </c>
      <c r="M96">
        <v>12</v>
      </c>
    </row>
    <row r="97" spans="5:24">
      <c r="E97" t="s">
        <v>116</v>
      </c>
      <c r="K97">
        <v>30</v>
      </c>
      <c r="M97">
        <v>12</v>
      </c>
      <c r="Q97" t="s">
        <v>114</v>
      </c>
      <c r="W97">
        <v>0.33</v>
      </c>
      <c r="X97">
        <v>33</v>
      </c>
    </row>
    <row r="98" spans="5:24">
      <c r="E98" t="s">
        <v>128</v>
      </c>
      <c r="L98">
        <v>9</v>
      </c>
      <c r="M98">
        <v>24</v>
      </c>
      <c r="Q98" t="s">
        <v>115</v>
      </c>
      <c r="W98">
        <v>0.70499999999999996</v>
      </c>
      <c r="X98">
        <v>30</v>
      </c>
    </row>
    <row r="99" spans="5:24">
      <c r="E99" t="s">
        <v>119</v>
      </c>
      <c r="L99">
        <v>6</v>
      </c>
      <c r="M99">
        <v>3</v>
      </c>
      <c r="Q99" t="s">
        <v>116</v>
      </c>
      <c r="W99">
        <v>0.22</v>
      </c>
      <c r="X99">
        <v>30</v>
      </c>
    </row>
    <row r="100" spans="5:24">
      <c r="E100" t="s">
        <v>120</v>
      </c>
      <c r="L100">
        <v>15</v>
      </c>
      <c r="M100">
        <v>18</v>
      </c>
      <c r="Q100" t="s">
        <v>34</v>
      </c>
      <c r="W100">
        <f>0.905/5</f>
        <v>0.18099999999999999</v>
      </c>
      <c r="X100">
        <v>30</v>
      </c>
    </row>
    <row r="101" spans="5:24">
      <c r="E101" t="s">
        <v>121</v>
      </c>
      <c r="L101">
        <v>18</v>
      </c>
      <c r="M101">
        <v>3</v>
      </c>
      <c r="Q101" t="s">
        <v>35</v>
      </c>
      <c r="W101">
        <f>1.78/5</f>
        <v>0.35599999999999998</v>
      </c>
      <c r="X101">
        <v>33</v>
      </c>
    </row>
    <row r="102" spans="5:24">
      <c r="E102" t="s">
        <v>122</v>
      </c>
      <c r="F102" s="140"/>
      <c r="M102">
        <v>3</v>
      </c>
      <c r="O102" s="142"/>
      <c r="Q102" t="s">
        <v>117</v>
      </c>
      <c r="W102">
        <v>0.65</v>
      </c>
      <c r="X102">
        <v>30</v>
      </c>
    </row>
    <row r="103" spans="5:24">
      <c r="E103" t="s">
        <v>34</v>
      </c>
      <c r="K103">
        <v>30</v>
      </c>
      <c r="L103">
        <v>18</v>
      </c>
      <c r="M103">
        <v>12</v>
      </c>
      <c r="S103" s="140">
        <v>2010</v>
      </c>
    </row>
    <row r="104" spans="5:24">
      <c r="E104" t="s">
        <v>35</v>
      </c>
      <c r="K104">
        <v>33</v>
      </c>
      <c r="L104">
        <v>33</v>
      </c>
      <c r="M104">
        <v>12</v>
      </c>
    </row>
    <row r="105" spans="5:24">
      <c r="E105" t="s">
        <v>117</v>
      </c>
      <c r="K105">
        <v>30</v>
      </c>
      <c r="L105">
        <v>18</v>
      </c>
      <c r="M105">
        <v>12</v>
      </c>
    </row>
    <row r="106" spans="5:24">
      <c r="E106" t="s">
        <v>113</v>
      </c>
      <c r="L106">
        <v>6</v>
      </c>
      <c r="M106">
        <v>6</v>
      </c>
      <c r="S106">
        <v>24</v>
      </c>
    </row>
    <row r="107" spans="5:24">
      <c r="E107" t="s">
        <v>123</v>
      </c>
      <c r="M107">
        <v>15</v>
      </c>
      <c r="S107">
        <v>18</v>
      </c>
    </row>
    <row r="108" spans="5:24">
      <c r="E108" t="s">
        <v>124</v>
      </c>
      <c r="L108">
        <v>24</v>
      </c>
      <c r="M108">
        <v>18</v>
      </c>
    </row>
    <row r="109" spans="5:24">
      <c r="E109" t="s">
        <v>125</v>
      </c>
      <c r="M109">
        <v>12</v>
      </c>
      <c r="S109">
        <v>21</v>
      </c>
    </row>
    <row r="110" spans="5:24">
      <c r="E110" t="s">
        <v>126</v>
      </c>
      <c r="M110">
        <v>18</v>
      </c>
    </row>
    <row r="111" spans="5:24">
      <c r="E111" t="s">
        <v>127</v>
      </c>
    </row>
  </sheetData>
  <autoFilter ref="C1:G17">
    <sortState ref="C2:G17">
      <sortCondition ref="C1:C17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" workbookViewId="0">
      <selection activeCell="E44" sqref="E44"/>
    </sheetView>
  </sheetViews>
  <sheetFormatPr baseColWidth="10" defaultRowHeight="15" x14ac:dyDescent="0"/>
  <cols>
    <col min="1" max="1" width="14.83203125" customWidth="1"/>
  </cols>
  <sheetData>
    <row r="1" spans="1:8">
      <c r="B1" t="s">
        <v>103</v>
      </c>
      <c r="C1">
        <v>2010</v>
      </c>
      <c r="D1">
        <v>2012</v>
      </c>
      <c r="E1">
        <v>2013</v>
      </c>
    </row>
    <row r="2" spans="1:8">
      <c r="A2" t="s">
        <v>114</v>
      </c>
      <c r="B2">
        <v>22</v>
      </c>
      <c r="C2">
        <v>24</v>
      </c>
      <c r="D2">
        <v>21</v>
      </c>
      <c r="E2">
        <v>6</v>
      </c>
      <c r="G2" s="143"/>
    </row>
    <row r="3" spans="1:8">
      <c r="A3" t="s">
        <v>115</v>
      </c>
      <c r="B3">
        <v>20</v>
      </c>
      <c r="C3">
        <v>18</v>
      </c>
      <c r="D3">
        <v>18</v>
      </c>
      <c r="E3">
        <v>6</v>
      </c>
      <c r="F3" s="143"/>
      <c r="G3" s="143"/>
    </row>
    <row r="4" spans="1:8">
      <c r="A4" t="s">
        <v>116</v>
      </c>
      <c r="B4">
        <v>10</v>
      </c>
      <c r="C4">
        <v>21</v>
      </c>
      <c r="D4" s="142">
        <v>15</v>
      </c>
      <c r="E4">
        <v>3</v>
      </c>
      <c r="F4" s="143"/>
      <c r="G4" s="143"/>
    </row>
    <row r="5" spans="1:8">
      <c r="A5" t="s">
        <v>128</v>
      </c>
      <c r="B5">
        <v>13</v>
      </c>
      <c r="C5" s="146">
        <f>AVERAGE(B5,D5)</f>
        <v>9.5</v>
      </c>
      <c r="D5">
        <v>6</v>
      </c>
      <c r="E5">
        <v>15</v>
      </c>
      <c r="F5" s="143"/>
      <c r="G5" s="143"/>
    </row>
    <row r="6" spans="1:8">
      <c r="A6" t="s">
        <v>119</v>
      </c>
      <c r="B6">
        <v>17</v>
      </c>
      <c r="C6" s="146">
        <f t="shared" ref="C6:C17" si="0">AVERAGE(B6,D6)</f>
        <v>8.5</v>
      </c>
      <c r="D6">
        <v>0</v>
      </c>
      <c r="E6">
        <v>3</v>
      </c>
      <c r="F6" s="143"/>
      <c r="G6" s="143"/>
    </row>
    <row r="7" spans="1:8">
      <c r="A7" t="s">
        <v>120</v>
      </c>
      <c r="B7">
        <v>26</v>
      </c>
      <c r="C7" s="146">
        <f t="shared" si="0"/>
        <v>17.5</v>
      </c>
      <c r="D7">
        <v>9</v>
      </c>
      <c r="E7">
        <v>12</v>
      </c>
      <c r="F7" s="143"/>
      <c r="G7" s="143"/>
    </row>
    <row r="8" spans="1:8">
      <c r="A8" t="s">
        <v>121</v>
      </c>
      <c r="B8">
        <v>15</v>
      </c>
      <c r="C8" s="146"/>
      <c r="D8">
        <v>9</v>
      </c>
      <c r="E8">
        <v>0</v>
      </c>
      <c r="F8" s="143"/>
      <c r="G8" s="143"/>
    </row>
    <row r="9" spans="1:8">
      <c r="A9" t="s">
        <v>122</v>
      </c>
      <c r="C9" s="146"/>
      <c r="E9">
        <v>0</v>
      </c>
      <c r="F9" s="143"/>
      <c r="G9" s="143"/>
    </row>
    <row r="10" spans="1:8">
      <c r="A10" t="s">
        <v>34</v>
      </c>
      <c r="B10">
        <v>27</v>
      </c>
      <c r="C10" s="146">
        <f t="shared" si="0"/>
        <v>19.5</v>
      </c>
      <c r="D10">
        <v>12</v>
      </c>
      <c r="E10">
        <v>9</v>
      </c>
      <c r="F10" s="143"/>
      <c r="G10" s="143" t="s">
        <v>153</v>
      </c>
    </row>
    <row r="11" spans="1:8">
      <c r="A11" t="s">
        <v>35</v>
      </c>
      <c r="B11">
        <v>20</v>
      </c>
      <c r="C11" s="146">
        <f t="shared" si="0"/>
        <v>13</v>
      </c>
      <c r="D11">
        <v>6</v>
      </c>
      <c r="E11">
        <v>0</v>
      </c>
      <c r="F11" s="143"/>
      <c r="G11" t="s">
        <v>157</v>
      </c>
      <c r="H11" t="s">
        <v>158</v>
      </c>
    </row>
    <row r="12" spans="1:8">
      <c r="A12" t="s">
        <v>117</v>
      </c>
      <c r="B12">
        <v>25</v>
      </c>
      <c r="C12" s="146">
        <f t="shared" si="0"/>
        <v>21.5</v>
      </c>
      <c r="D12">
        <v>18</v>
      </c>
      <c r="E12">
        <v>9</v>
      </c>
      <c r="F12">
        <v>1993</v>
      </c>
      <c r="G12" s="140">
        <v>390.7</v>
      </c>
    </row>
    <row r="13" spans="1:8">
      <c r="A13" t="s">
        <v>113</v>
      </c>
      <c r="B13">
        <v>15</v>
      </c>
      <c r="C13" s="146">
        <f t="shared" si="0"/>
        <v>10.5</v>
      </c>
      <c r="D13">
        <v>6</v>
      </c>
      <c r="E13">
        <v>6</v>
      </c>
      <c r="F13">
        <v>1994</v>
      </c>
      <c r="G13" s="140">
        <v>270.3</v>
      </c>
    </row>
    <row r="14" spans="1:8">
      <c r="A14" t="s">
        <v>123</v>
      </c>
      <c r="C14" s="146"/>
      <c r="E14">
        <v>6</v>
      </c>
      <c r="F14">
        <v>1995</v>
      </c>
      <c r="G14" s="140">
        <v>306.10000000000002</v>
      </c>
    </row>
    <row r="15" spans="1:8">
      <c r="A15" t="s">
        <v>124</v>
      </c>
      <c r="B15">
        <v>8</v>
      </c>
      <c r="C15" s="146">
        <f t="shared" si="0"/>
        <v>13</v>
      </c>
      <c r="D15">
        <v>18</v>
      </c>
      <c r="E15">
        <v>6</v>
      </c>
      <c r="F15">
        <v>1996</v>
      </c>
      <c r="G15" s="140">
        <v>280.60000000000002</v>
      </c>
    </row>
    <row r="16" spans="1:8">
      <c r="A16" t="s">
        <v>125</v>
      </c>
      <c r="B16">
        <v>20</v>
      </c>
      <c r="C16" s="146">
        <f t="shared" si="0"/>
        <v>20</v>
      </c>
      <c r="E16">
        <v>3</v>
      </c>
      <c r="F16">
        <v>1997</v>
      </c>
      <c r="G16" s="140">
        <v>612.1</v>
      </c>
    </row>
    <row r="17" spans="1:8">
      <c r="A17" t="s">
        <v>126</v>
      </c>
      <c r="B17">
        <v>11</v>
      </c>
      <c r="C17" s="146">
        <f t="shared" si="0"/>
        <v>11</v>
      </c>
      <c r="E17">
        <v>18</v>
      </c>
      <c r="F17">
        <v>1998</v>
      </c>
      <c r="G17" s="140">
        <v>308.5</v>
      </c>
    </row>
    <row r="18" spans="1:8">
      <c r="F18">
        <v>1999</v>
      </c>
      <c r="G18" s="140">
        <v>454.4</v>
      </c>
    </row>
    <row r="19" spans="1:8">
      <c r="F19">
        <v>2000</v>
      </c>
      <c r="G19" s="140">
        <v>306.2</v>
      </c>
    </row>
    <row r="20" spans="1:8">
      <c r="A20" s="145">
        <v>0.25</v>
      </c>
      <c r="B20">
        <f>QUARTILE(B2:B17,1)</f>
        <v>13.5</v>
      </c>
      <c r="C20">
        <f>QUARTILE(C2:C17,1)</f>
        <v>11</v>
      </c>
      <c r="D20">
        <f>QUARTILE(D2:D17,1)</f>
        <v>6</v>
      </c>
      <c r="E20">
        <f>QUARTILE(E2:E17,1)</f>
        <v>3</v>
      </c>
      <c r="F20">
        <v>2001</v>
      </c>
      <c r="G20" s="140">
        <v>228.6</v>
      </c>
    </row>
    <row r="21" spans="1:8">
      <c r="A21" t="s">
        <v>140</v>
      </c>
      <c r="B21">
        <f>MIN(B2:B17)</f>
        <v>8</v>
      </c>
      <c r="C21">
        <f>MIN(C2:C17)</f>
        <v>8.5</v>
      </c>
      <c r="D21">
        <f>MIN(D2:D17)</f>
        <v>0</v>
      </c>
      <c r="E21">
        <f>MIN(E2:E17)</f>
        <v>0</v>
      </c>
      <c r="F21">
        <v>2002</v>
      </c>
      <c r="G21" s="140">
        <v>112.2</v>
      </c>
    </row>
    <row r="22" spans="1:8">
      <c r="A22" s="145" t="s">
        <v>141</v>
      </c>
      <c r="B22">
        <f>MAX(B2:B17)</f>
        <v>27</v>
      </c>
      <c r="C22">
        <f>MAX(C2:C17)</f>
        <v>24</v>
      </c>
      <c r="D22">
        <f>MAX(D2:D17)</f>
        <v>21</v>
      </c>
      <c r="E22">
        <f>MAX(E2:E17)</f>
        <v>18</v>
      </c>
      <c r="F22">
        <v>2003</v>
      </c>
      <c r="G22" s="140">
        <v>140.5</v>
      </c>
    </row>
    <row r="23" spans="1:8">
      <c r="A23" s="145">
        <v>0.75</v>
      </c>
      <c r="B23">
        <f>QUARTILE(B2:B17,3)</f>
        <v>21.5</v>
      </c>
      <c r="C23">
        <f>QUARTILE(C2:C17,3)</f>
        <v>20</v>
      </c>
      <c r="D23">
        <f>QUARTILE(D2:D17,3)</f>
        <v>18</v>
      </c>
      <c r="E23">
        <f>QUARTILE(E2:E17,3)</f>
        <v>9</v>
      </c>
      <c r="F23">
        <v>2004</v>
      </c>
      <c r="G23" s="140">
        <v>114.8</v>
      </c>
    </row>
    <row r="24" spans="1:8">
      <c r="F24">
        <v>2005</v>
      </c>
      <c r="G24" s="140">
        <v>213.6</v>
      </c>
    </row>
    <row r="25" spans="1:8">
      <c r="F25">
        <v>2006</v>
      </c>
      <c r="G25" s="140">
        <v>122.4</v>
      </c>
    </row>
    <row r="26" spans="1:8">
      <c r="F26">
        <v>2007</v>
      </c>
      <c r="G26" s="140">
        <v>113.7</v>
      </c>
    </row>
    <row r="27" spans="1:8">
      <c r="F27">
        <v>2008</v>
      </c>
      <c r="G27" s="140">
        <v>246.5</v>
      </c>
    </row>
    <row r="28" spans="1:8">
      <c r="A28" t="s">
        <v>139</v>
      </c>
      <c r="B28">
        <f>AVERAGE(B4:B23)</f>
        <v>17.3125</v>
      </c>
      <c r="C28">
        <f>AVERAGE(C4:C23)</f>
        <v>15.233333333333333</v>
      </c>
      <c r="D28">
        <f>AVERAGE(D4:D23)</f>
        <v>10.285714285714286</v>
      </c>
      <c r="E28">
        <f>AVERAGE(E4:E23)</f>
        <v>6.666666666666667</v>
      </c>
      <c r="F28">
        <v>2009</v>
      </c>
      <c r="G28" s="140">
        <v>290.10000000000002</v>
      </c>
    </row>
    <row r="29" spans="1:8">
      <c r="A29" t="s">
        <v>138</v>
      </c>
      <c r="B29">
        <f>QUARTILE(B2:B17,2)</f>
        <v>18.5</v>
      </c>
      <c r="C29">
        <f>QUARTILE(C2:C17,2)</f>
        <v>17.5</v>
      </c>
      <c r="D29">
        <f>QUARTILE(D2:D17,2)</f>
        <v>10.5</v>
      </c>
      <c r="E29">
        <f>QUARTILE(E2:E17,2)</f>
        <v>6</v>
      </c>
      <c r="F29">
        <v>2010</v>
      </c>
      <c r="G29" s="140">
        <v>389.9</v>
      </c>
      <c r="H29">
        <v>1474</v>
      </c>
    </row>
    <row r="30" spans="1:8">
      <c r="A30" t="s">
        <v>154</v>
      </c>
      <c r="B30">
        <v>374.6</v>
      </c>
      <c r="C30">
        <v>389.9</v>
      </c>
      <c r="D30">
        <v>112</v>
      </c>
      <c r="E30">
        <v>220</v>
      </c>
      <c r="F30">
        <v>2011</v>
      </c>
      <c r="G30" s="140">
        <v>485.6</v>
      </c>
      <c r="H30">
        <v>2421</v>
      </c>
    </row>
    <row r="31" spans="1:8">
      <c r="A31" t="s">
        <v>155</v>
      </c>
      <c r="B31">
        <v>374.6</v>
      </c>
      <c r="C31">
        <f>G28</f>
        <v>290.10000000000002</v>
      </c>
      <c r="D31">
        <f>G30</f>
        <v>485.6</v>
      </c>
      <c r="E31">
        <f>G31</f>
        <v>112</v>
      </c>
      <c r="F31">
        <v>2012</v>
      </c>
      <c r="G31" s="140">
        <v>112</v>
      </c>
      <c r="H31">
        <v>546</v>
      </c>
    </row>
    <row r="32" spans="1:8">
      <c r="A32" t="s">
        <v>154</v>
      </c>
      <c r="B32">
        <v>1524</v>
      </c>
      <c r="C32">
        <v>1474</v>
      </c>
      <c r="D32">
        <v>2421</v>
      </c>
      <c r="E32">
        <v>546</v>
      </c>
      <c r="F32">
        <v>2013</v>
      </c>
      <c r="G32" s="140">
        <v>220</v>
      </c>
      <c r="H32">
        <v>1124</v>
      </c>
    </row>
    <row r="33" spans="1:7">
      <c r="A33" t="s">
        <v>161</v>
      </c>
      <c r="B33">
        <v>80</v>
      </c>
      <c r="C33">
        <v>146</v>
      </c>
      <c r="D33">
        <v>23</v>
      </c>
      <c r="E33">
        <v>13</v>
      </c>
      <c r="F33">
        <v>2014</v>
      </c>
      <c r="G33" s="140">
        <v>522.20000000000005</v>
      </c>
    </row>
    <row r="34" spans="1:7">
      <c r="A34" t="s">
        <v>159</v>
      </c>
      <c r="B34">
        <v>744</v>
      </c>
      <c r="C34">
        <v>701</v>
      </c>
      <c r="D34">
        <v>374</v>
      </c>
      <c r="E34">
        <v>433</v>
      </c>
    </row>
    <row r="35" spans="1:7">
      <c r="A35" t="s">
        <v>160</v>
      </c>
      <c r="B35">
        <f>B34-B33</f>
        <v>664</v>
      </c>
      <c r="C35">
        <f t="shared" ref="C35:E35" si="1">C34-C33</f>
        <v>555</v>
      </c>
      <c r="D35">
        <f t="shared" si="1"/>
        <v>351</v>
      </c>
      <c r="E35">
        <f t="shared" si="1"/>
        <v>420</v>
      </c>
    </row>
    <row r="36" spans="1:7">
      <c r="D36" s="143"/>
    </row>
    <row r="37" spans="1:7">
      <c r="D37" s="143"/>
    </row>
    <row r="38" spans="1:7">
      <c r="D38" s="143"/>
    </row>
    <row r="39" spans="1:7">
      <c r="D39" s="143"/>
    </row>
    <row r="40" spans="1:7">
      <c r="D40" s="143"/>
    </row>
    <row r="41" spans="1:7">
      <c r="D41" s="143"/>
    </row>
    <row r="42" spans="1:7">
      <c r="D42" s="143"/>
      <c r="F42" s="143"/>
    </row>
    <row r="43" spans="1:7">
      <c r="D43" s="143"/>
    </row>
    <row r="44" spans="1:7">
      <c r="D44" s="143"/>
    </row>
    <row r="45" spans="1:7">
      <c r="D45" s="143"/>
    </row>
    <row r="46" spans="1:7">
      <c r="D46" s="143"/>
    </row>
    <row r="47" spans="1:7">
      <c r="D47" s="143"/>
    </row>
    <row r="48" spans="1:7">
      <c r="D48" s="143"/>
      <c r="E48" s="143"/>
      <c r="F48" s="143"/>
    </row>
    <row r="49" spans="4:6">
      <c r="D49" s="143"/>
    </row>
    <row r="50" spans="4:6">
      <c r="D50" s="143"/>
    </row>
    <row r="51" spans="4:6">
      <c r="D51" s="143"/>
    </row>
    <row r="52" spans="4:6">
      <c r="D52" s="143"/>
      <c r="E52" s="143"/>
      <c r="F52" s="14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142</v>
      </c>
      <c r="B1" t="s">
        <v>143</v>
      </c>
    </row>
    <row r="2" spans="1:2">
      <c r="B2" t="s">
        <v>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T269"/>
  <sheetViews>
    <sheetView topLeftCell="C80" workbookViewId="0">
      <selection activeCell="O249" sqref="O249:O269"/>
    </sheetView>
  </sheetViews>
  <sheetFormatPr baseColWidth="10" defaultRowHeight="15" x14ac:dyDescent="0"/>
  <sheetData>
    <row r="2" spans="2:9">
      <c r="B2" t="s">
        <v>148</v>
      </c>
      <c r="C2" t="s">
        <v>147</v>
      </c>
      <c r="D2" t="s">
        <v>1</v>
      </c>
      <c r="E2" t="s">
        <v>149</v>
      </c>
      <c r="F2" t="s">
        <v>150</v>
      </c>
      <c r="G2" t="s">
        <v>151</v>
      </c>
    </row>
    <row r="3" spans="2:9" hidden="1">
      <c r="B3" s="151">
        <v>33970</v>
      </c>
      <c r="C3" s="147">
        <f t="shared" ref="C3:C8" si="0">MONTH(B3)</f>
        <v>1</v>
      </c>
      <c r="D3" s="147">
        <f t="shared" ref="D3:D8" si="1">YEAR(B3)</f>
        <v>1993</v>
      </c>
      <c r="F3">
        <v>0.35</v>
      </c>
    </row>
    <row r="4" spans="2:9" hidden="1">
      <c r="B4" s="151">
        <v>34001</v>
      </c>
      <c r="C4" s="147">
        <f t="shared" si="0"/>
        <v>2</v>
      </c>
      <c r="D4" s="147">
        <f t="shared" si="1"/>
        <v>1993</v>
      </c>
      <c r="F4">
        <v>1.0900000000000001</v>
      </c>
    </row>
    <row r="5" spans="2:9" hidden="1">
      <c r="B5" s="151">
        <v>34029</v>
      </c>
      <c r="C5" s="147">
        <f t="shared" si="0"/>
        <v>3</v>
      </c>
      <c r="D5" s="147">
        <f t="shared" si="1"/>
        <v>1993</v>
      </c>
      <c r="F5">
        <v>0.3</v>
      </c>
    </row>
    <row r="6" spans="2:9" hidden="1">
      <c r="B6" s="151">
        <v>34060</v>
      </c>
      <c r="C6" s="147">
        <f t="shared" si="0"/>
        <v>4</v>
      </c>
      <c r="D6" s="147">
        <f t="shared" si="1"/>
        <v>1993</v>
      </c>
      <c r="F6">
        <v>1.86</v>
      </c>
    </row>
    <row r="7" spans="2:9" hidden="1">
      <c r="B7" s="151">
        <v>34090</v>
      </c>
      <c r="C7" s="147">
        <f t="shared" si="0"/>
        <v>5</v>
      </c>
      <c r="D7" s="147">
        <f t="shared" si="1"/>
        <v>1993</v>
      </c>
      <c r="F7">
        <v>2.67</v>
      </c>
    </row>
    <row r="8" spans="2:9" ht="16">
      <c r="B8" s="151">
        <v>34121</v>
      </c>
      <c r="C8" s="147">
        <f t="shared" si="0"/>
        <v>6</v>
      </c>
      <c r="D8" s="147">
        <f t="shared" si="1"/>
        <v>1993</v>
      </c>
      <c r="E8" s="152">
        <v>62</v>
      </c>
      <c r="F8" s="152">
        <v>4.72</v>
      </c>
      <c r="G8">
        <v>10.99</v>
      </c>
    </row>
    <row r="9" spans="2:9" ht="16" hidden="1">
      <c r="B9" s="151">
        <v>34151</v>
      </c>
      <c r="C9" s="147">
        <f t="shared" ref="C9:C72" si="2">MONTH(B9)</f>
        <v>7</v>
      </c>
      <c r="D9" s="147"/>
      <c r="E9" s="153">
        <v>67</v>
      </c>
      <c r="F9" s="153">
        <v>4.54</v>
      </c>
      <c r="I9" s="152"/>
    </row>
    <row r="10" spans="2:9" ht="16" hidden="1">
      <c r="B10" s="151">
        <v>34182</v>
      </c>
      <c r="C10" s="147">
        <f t="shared" si="2"/>
        <v>8</v>
      </c>
      <c r="D10" s="147"/>
      <c r="E10" s="152">
        <v>68</v>
      </c>
      <c r="F10" s="152">
        <v>1.39</v>
      </c>
      <c r="I10" s="153"/>
    </row>
    <row r="11" spans="2:9" ht="16" hidden="1">
      <c r="B11" s="151">
        <v>34213</v>
      </c>
      <c r="C11" s="147">
        <f t="shared" si="2"/>
        <v>9</v>
      </c>
      <c r="D11" s="147"/>
      <c r="E11" s="153">
        <v>56</v>
      </c>
      <c r="F11" s="153">
        <v>1.8</v>
      </c>
      <c r="I11" s="152"/>
    </row>
    <row r="12" spans="2:9" ht="16" hidden="1">
      <c r="B12" s="151">
        <v>34243</v>
      </c>
      <c r="C12" s="147">
        <f t="shared" si="2"/>
        <v>10</v>
      </c>
      <c r="D12" s="147"/>
      <c r="E12" s="152">
        <v>46</v>
      </c>
      <c r="F12" s="152">
        <v>0.38</v>
      </c>
      <c r="I12" s="153"/>
    </row>
    <row r="13" spans="2:9" ht="16" hidden="1">
      <c r="B13" s="151">
        <v>34274</v>
      </c>
      <c r="C13" s="147">
        <f t="shared" si="2"/>
        <v>11</v>
      </c>
      <c r="D13" s="147"/>
      <c r="E13" s="153">
        <v>28</v>
      </c>
      <c r="F13" s="153">
        <v>1.02</v>
      </c>
      <c r="I13" s="152"/>
    </row>
    <row r="14" spans="2:9" ht="16" hidden="1">
      <c r="B14" s="151">
        <v>34304</v>
      </c>
      <c r="C14" s="147">
        <f t="shared" si="2"/>
        <v>12</v>
      </c>
      <c r="D14" s="147"/>
      <c r="E14" s="152">
        <v>28</v>
      </c>
      <c r="F14" s="152">
        <v>0.55000000000000004</v>
      </c>
    </row>
    <row r="15" spans="2:9" ht="16" hidden="1">
      <c r="B15" s="151">
        <v>34335</v>
      </c>
      <c r="C15" s="147">
        <f t="shared" si="2"/>
        <v>1</v>
      </c>
      <c r="D15" s="147"/>
      <c r="E15" s="153">
        <v>16</v>
      </c>
      <c r="F15" s="153">
        <v>0.34</v>
      </c>
    </row>
    <row r="16" spans="2:9" ht="16" hidden="1">
      <c r="B16" s="151">
        <v>34366</v>
      </c>
      <c r="C16" s="147">
        <f t="shared" si="2"/>
        <v>2</v>
      </c>
      <c r="D16" s="147"/>
      <c r="E16" s="152">
        <v>15</v>
      </c>
      <c r="F16" s="152">
        <v>0.56999999999999995</v>
      </c>
    </row>
    <row r="17" spans="2:7" ht="16" hidden="1">
      <c r="B17" s="151">
        <v>34394</v>
      </c>
      <c r="C17" s="147">
        <f t="shared" si="2"/>
        <v>3</v>
      </c>
      <c r="D17" s="147"/>
      <c r="E17" s="153">
        <v>38</v>
      </c>
      <c r="F17" s="153">
        <v>0.26</v>
      </c>
    </row>
    <row r="18" spans="2:7" ht="16" hidden="1">
      <c r="B18" s="151">
        <v>34425</v>
      </c>
      <c r="C18" s="147">
        <f t="shared" si="2"/>
        <v>4</v>
      </c>
      <c r="D18" s="147"/>
      <c r="E18" s="152">
        <v>44</v>
      </c>
      <c r="F18" s="152">
        <v>1.79</v>
      </c>
    </row>
    <row r="19" spans="2:7" ht="16" hidden="1">
      <c r="B19" s="151">
        <v>34455</v>
      </c>
      <c r="C19" s="147">
        <f t="shared" si="2"/>
        <v>5</v>
      </c>
      <c r="D19" s="147"/>
      <c r="E19" s="153">
        <v>60</v>
      </c>
      <c r="F19" s="153">
        <v>0.83</v>
      </c>
    </row>
    <row r="20" spans="2:7" ht="16">
      <c r="B20" s="151">
        <v>34486</v>
      </c>
      <c r="C20" s="147">
        <f t="shared" si="2"/>
        <v>6</v>
      </c>
      <c r="D20" s="147">
        <f>YEAR(B20)</f>
        <v>1994</v>
      </c>
      <c r="E20" s="152">
        <v>68</v>
      </c>
      <c r="F20" s="152">
        <v>1.92</v>
      </c>
      <c r="G20">
        <v>5.71</v>
      </c>
    </row>
    <row r="21" spans="2:7" ht="16" hidden="1">
      <c r="B21" s="151">
        <v>34516</v>
      </c>
      <c r="C21" s="147">
        <f t="shared" si="2"/>
        <v>7</v>
      </c>
      <c r="D21" s="147"/>
      <c r="E21" s="153">
        <v>70</v>
      </c>
      <c r="F21" s="153">
        <v>2.04</v>
      </c>
    </row>
    <row r="22" spans="2:7" ht="16" hidden="1">
      <c r="B22" s="151">
        <v>34547</v>
      </c>
      <c r="C22" s="147">
        <f t="shared" si="2"/>
        <v>8</v>
      </c>
      <c r="D22" s="147"/>
      <c r="E22" s="152">
        <v>72</v>
      </c>
      <c r="F22" s="152">
        <v>3.03</v>
      </c>
    </row>
    <row r="23" spans="2:7" ht="16" hidden="1">
      <c r="B23" s="151">
        <v>34578</v>
      </c>
      <c r="C23" s="147">
        <f t="shared" si="2"/>
        <v>9</v>
      </c>
      <c r="D23" s="147"/>
      <c r="E23" s="153">
        <v>62</v>
      </c>
      <c r="F23" s="153">
        <v>0.69</v>
      </c>
    </row>
    <row r="24" spans="2:7" ht="16" hidden="1">
      <c r="B24" s="151">
        <v>34608</v>
      </c>
      <c r="C24" s="147">
        <f t="shared" si="2"/>
        <v>10</v>
      </c>
      <c r="D24" s="147"/>
      <c r="E24" s="152">
        <v>49</v>
      </c>
      <c r="F24" s="152">
        <v>1.92</v>
      </c>
    </row>
    <row r="25" spans="2:7" ht="16" hidden="1">
      <c r="B25" s="151">
        <v>34639</v>
      </c>
      <c r="C25" s="147">
        <f t="shared" si="2"/>
        <v>11</v>
      </c>
      <c r="D25" s="147"/>
      <c r="E25" s="153">
        <v>33</v>
      </c>
      <c r="F25" s="153">
        <v>0.42</v>
      </c>
    </row>
    <row r="26" spans="2:7" ht="16" hidden="1">
      <c r="B26" s="151">
        <v>34669</v>
      </c>
      <c r="C26" s="147">
        <f t="shared" si="2"/>
        <v>12</v>
      </c>
      <c r="D26" s="147"/>
      <c r="E26" s="152">
        <v>27</v>
      </c>
      <c r="F26" s="152">
        <v>0.25</v>
      </c>
    </row>
    <row r="27" spans="2:7" ht="16" hidden="1">
      <c r="B27" s="151">
        <v>34700</v>
      </c>
      <c r="C27" s="147">
        <f t="shared" si="2"/>
        <v>1</v>
      </c>
      <c r="D27" s="147"/>
      <c r="E27" s="153">
        <v>24</v>
      </c>
      <c r="F27" s="153">
        <v>0.24</v>
      </c>
    </row>
    <row r="28" spans="2:7" ht="16" hidden="1">
      <c r="B28" s="151">
        <v>34731</v>
      </c>
      <c r="C28" s="147">
        <f t="shared" si="2"/>
        <v>2</v>
      </c>
      <c r="D28" s="147"/>
      <c r="E28" s="152">
        <v>30</v>
      </c>
      <c r="F28" s="152">
        <v>0.87</v>
      </c>
    </row>
    <row r="29" spans="2:7" ht="16" hidden="1">
      <c r="B29" s="151">
        <v>34759</v>
      </c>
      <c r="C29" s="147">
        <f t="shared" si="2"/>
        <v>3</v>
      </c>
      <c r="D29" s="147"/>
      <c r="E29" s="153">
        <v>31</v>
      </c>
      <c r="F29" s="153">
        <v>1.3</v>
      </c>
    </row>
    <row r="30" spans="2:7" ht="16" hidden="1">
      <c r="B30" s="151">
        <v>34790</v>
      </c>
      <c r="C30" s="147">
        <f t="shared" si="2"/>
        <v>4</v>
      </c>
      <c r="D30" s="147"/>
      <c r="E30" s="152">
        <v>40</v>
      </c>
      <c r="F30" s="152">
        <v>1.9</v>
      </c>
    </row>
    <row r="31" spans="2:7" ht="16" hidden="1">
      <c r="B31" s="151">
        <v>34820</v>
      </c>
      <c r="C31" s="147">
        <f t="shared" si="2"/>
        <v>5</v>
      </c>
      <c r="D31" s="147"/>
      <c r="E31" s="153">
        <v>52</v>
      </c>
      <c r="F31" s="153">
        <v>5.2</v>
      </c>
    </row>
    <row r="32" spans="2:7" ht="16">
      <c r="B32" s="151">
        <v>34851</v>
      </c>
      <c r="C32" s="147">
        <f t="shared" si="2"/>
        <v>6</v>
      </c>
      <c r="D32" s="147">
        <f>YEAR(B32)</f>
        <v>1995</v>
      </c>
      <c r="E32" s="152">
        <v>64</v>
      </c>
      <c r="F32" s="152">
        <v>2.69</v>
      </c>
      <c r="G32">
        <v>12.2</v>
      </c>
    </row>
    <row r="33" spans="2:7" ht="16" hidden="1">
      <c r="B33" s="151">
        <v>34881</v>
      </c>
      <c r="C33" s="147">
        <f t="shared" si="2"/>
        <v>7</v>
      </c>
      <c r="D33" s="147"/>
      <c r="E33" s="153">
        <v>72</v>
      </c>
      <c r="F33" s="153">
        <v>1.17</v>
      </c>
    </row>
    <row r="34" spans="2:7" ht="16" hidden="1">
      <c r="B34" s="151">
        <v>34912</v>
      </c>
      <c r="C34" s="147">
        <f t="shared" si="2"/>
        <v>8</v>
      </c>
      <c r="D34" s="147"/>
      <c r="E34" s="152">
        <v>76</v>
      </c>
      <c r="F34" s="152">
        <v>0.11</v>
      </c>
    </row>
    <row r="35" spans="2:7" ht="16" hidden="1">
      <c r="B35" s="151">
        <v>34943</v>
      </c>
      <c r="C35" s="147">
        <f t="shared" si="2"/>
        <v>9</v>
      </c>
      <c r="D35" s="147"/>
      <c r="E35" s="153">
        <v>61</v>
      </c>
      <c r="F35" s="153">
        <v>0.83</v>
      </c>
    </row>
    <row r="36" spans="2:7" ht="16" hidden="1">
      <c r="B36" s="151">
        <v>34973</v>
      </c>
      <c r="C36" s="147">
        <f t="shared" si="2"/>
        <v>10</v>
      </c>
      <c r="D36" s="147"/>
      <c r="E36" s="152">
        <v>47</v>
      </c>
      <c r="F36" s="152">
        <v>2.4700000000000002</v>
      </c>
    </row>
    <row r="37" spans="2:7" ht="16" hidden="1">
      <c r="B37" s="151">
        <v>35004</v>
      </c>
      <c r="C37" s="147">
        <f t="shared" si="2"/>
        <v>11</v>
      </c>
      <c r="D37" s="147"/>
      <c r="E37" s="153">
        <v>31</v>
      </c>
      <c r="F37" s="153">
        <v>0.61</v>
      </c>
    </row>
    <row r="38" spans="2:7" ht="16" hidden="1">
      <c r="B38" s="151">
        <v>35034</v>
      </c>
      <c r="C38" s="147">
        <f t="shared" si="2"/>
        <v>12</v>
      </c>
      <c r="D38" s="147"/>
      <c r="E38" s="152">
        <v>22</v>
      </c>
      <c r="F38" s="152">
        <v>0.1</v>
      </c>
    </row>
    <row r="39" spans="2:7" ht="16" hidden="1">
      <c r="B39" s="151">
        <v>35065</v>
      </c>
      <c r="C39" s="147">
        <f t="shared" si="2"/>
        <v>1</v>
      </c>
      <c r="D39" s="147"/>
      <c r="E39" s="153">
        <v>13</v>
      </c>
      <c r="F39" s="153">
        <v>0.8</v>
      </c>
    </row>
    <row r="40" spans="2:7" ht="16" hidden="1">
      <c r="B40" s="151">
        <v>35096</v>
      </c>
      <c r="C40" s="147">
        <f t="shared" si="2"/>
        <v>2</v>
      </c>
      <c r="D40" s="147"/>
      <c r="E40" s="152">
        <v>25</v>
      </c>
      <c r="F40" s="152">
        <v>0.14000000000000001</v>
      </c>
    </row>
    <row r="41" spans="2:7" ht="16" hidden="1">
      <c r="B41" s="151">
        <v>35125</v>
      </c>
      <c r="C41" s="147">
        <f t="shared" si="2"/>
        <v>3</v>
      </c>
      <c r="D41" s="147"/>
      <c r="E41" s="153">
        <v>24</v>
      </c>
      <c r="F41" s="153">
        <v>0.89</v>
      </c>
    </row>
    <row r="42" spans="2:7" ht="16" hidden="1">
      <c r="B42" s="151">
        <v>35156</v>
      </c>
      <c r="C42" s="147">
        <f t="shared" si="2"/>
        <v>4</v>
      </c>
      <c r="D42" s="147"/>
      <c r="E42" s="152">
        <v>44</v>
      </c>
      <c r="F42" s="152">
        <v>1.28</v>
      </c>
    </row>
    <row r="43" spans="2:7" ht="16" hidden="1">
      <c r="B43" s="151">
        <v>35186</v>
      </c>
      <c r="C43" s="147">
        <f t="shared" si="2"/>
        <v>5</v>
      </c>
      <c r="D43" s="147"/>
      <c r="E43" s="153">
        <v>52</v>
      </c>
      <c r="F43" s="153">
        <v>5.1100000000000003</v>
      </c>
    </row>
    <row r="44" spans="2:7" ht="16">
      <c r="B44" s="151">
        <v>35217</v>
      </c>
      <c r="C44" s="147">
        <f t="shared" si="2"/>
        <v>6</v>
      </c>
      <c r="D44" s="147">
        <f>YEAR(B44)</f>
        <v>1996</v>
      </c>
      <c r="E44" s="152">
        <v>68</v>
      </c>
      <c r="F44" s="152">
        <v>1.1499999999999999</v>
      </c>
      <c r="G44">
        <v>9.3699999999999992</v>
      </c>
    </row>
    <row r="45" spans="2:7" ht="16" hidden="1">
      <c r="B45" s="151">
        <v>35247</v>
      </c>
      <c r="C45" s="147">
        <f t="shared" si="2"/>
        <v>7</v>
      </c>
      <c r="D45" s="147"/>
      <c r="E45" s="153">
        <v>72</v>
      </c>
      <c r="F45" s="153">
        <v>1.98</v>
      </c>
    </row>
    <row r="46" spans="2:7" ht="16" hidden="1">
      <c r="B46" s="151">
        <v>35278</v>
      </c>
      <c r="C46" s="147">
        <f t="shared" si="2"/>
        <v>8</v>
      </c>
      <c r="D46" s="147"/>
      <c r="E46" s="152">
        <v>74</v>
      </c>
      <c r="F46" s="152">
        <v>0.99</v>
      </c>
    </row>
    <row r="47" spans="2:7" ht="16" hidden="1">
      <c r="B47" s="151">
        <v>35309</v>
      </c>
      <c r="C47" s="147">
        <f t="shared" si="2"/>
        <v>9</v>
      </c>
      <c r="D47" s="147"/>
      <c r="E47" s="153">
        <v>60</v>
      </c>
      <c r="F47" s="153">
        <v>3.13</v>
      </c>
    </row>
    <row r="48" spans="2:7" ht="16" hidden="1">
      <c r="B48" s="151">
        <v>35339</v>
      </c>
      <c r="C48" s="147">
        <f t="shared" si="2"/>
        <v>10</v>
      </c>
      <c r="D48" s="147"/>
      <c r="E48" s="152"/>
      <c r="F48" s="152"/>
    </row>
    <row r="49" spans="2:7" ht="16" hidden="1">
      <c r="B49" s="151">
        <v>35370</v>
      </c>
      <c r="C49" s="147">
        <f t="shared" si="2"/>
        <v>11</v>
      </c>
      <c r="D49" s="147"/>
      <c r="E49" s="153">
        <v>22</v>
      </c>
      <c r="F49" s="153">
        <v>0.55000000000000004</v>
      </c>
    </row>
    <row r="50" spans="2:7" ht="16" hidden="1">
      <c r="B50" s="151">
        <v>35400</v>
      </c>
      <c r="C50" s="147">
        <f t="shared" si="2"/>
        <v>12</v>
      </c>
      <c r="D50" s="147"/>
      <c r="E50" s="152">
        <v>12</v>
      </c>
      <c r="F50" s="152">
        <v>1.1000000000000001</v>
      </c>
    </row>
    <row r="51" spans="2:7" ht="16" hidden="1">
      <c r="B51" s="151">
        <v>35431</v>
      </c>
      <c r="C51" s="147">
        <f t="shared" si="2"/>
        <v>1</v>
      </c>
      <c r="D51" s="147"/>
      <c r="E51" s="153">
        <v>14</v>
      </c>
      <c r="F51" s="153">
        <v>1.28</v>
      </c>
    </row>
    <row r="52" spans="2:7" ht="16" hidden="1">
      <c r="B52" s="151">
        <v>35462</v>
      </c>
      <c r="C52" s="147">
        <f t="shared" si="2"/>
        <v>2</v>
      </c>
      <c r="D52" s="147"/>
      <c r="E52" s="152">
        <v>28</v>
      </c>
      <c r="F52" s="152">
        <v>0.71</v>
      </c>
    </row>
    <row r="53" spans="2:7" ht="16" hidden="1">
      <c r="B53" s="151">
        <v>35490</v>
      </c>
      <c r="C53" s="147">
        <f t="shared" si="2"/>
        <v>3</v>
      </c>
      <c r="D53" s="147"/>
      <c r="E53" s="153">
        <v>35</v>
      </c>
      <c r="F53" s="153">
        <v>0.5</v>
      </c>
    </row>
    <row r="54" spans="2:7" ht="16" hidden="1">
      <c r="B54" s="151">
        <v>35521</v>
      </c>
      <c r="C54" s="147">
        <f t="shared" si="2"/>
        <v>4</v>
      </c>
      <c r="D54" s="147"/>
      <c r="E54" s="152">
        <v>40</v>
      </c>
      <c r="F54" s="152">
        <v>2.7</v>
      </c>
    </row>
    <row r="55" spans="2:7" ht="16" hidden="1">
      <c r="B55" s="151">
        <v>35551</v>
      </c>
      <c r="C55" s="147">
        <f t="shared" si="2"/>
        <v>5</v>
      </c>
      <c r="D55" s="147"/>
      <c r="E55" s="153">
        <v>53</v>
      </c>
      <c r="F55" s="153">
        <v>3.34</v>
      </c>
    </row>
    <row r="56" spans="2:7" ht="16">
      <c r="B56" s="151">
        <v>35582</v>
      </c>
      <c r="C56" s="147">
        <f t="shared" si="2"/>
        <v>6</v>
      </c>
      <c r="D56" s="147">
        <f>YEAR(B56)</f>
        <v>1997</v>
      </c>
      <c r="E56" s="152">
        <v>68</v>
      </c>
      <c r="F56" s="152">
        <v>6.32</v>
      </c>
      <c r="G56">
        <v>14.85</v>
      </c>
    </row>
    <row r="57" spans="2:7" ht="16" hidden="1">
      <c r="B57" s="151">
        <v>35612</v>
      </c>
      <c r="C57" s="147">
        <f t="shared" si="2"/>
        <v>7</v>
      </c>
      <c r="D57" s="147"/>
      <c r="E57" s="153">
        <v>72</v>
      </c>
      <c r="F57" s="153">
        <v>6.44</v>
      </c>
    </row>
    <row r="58" spans="2:7" ht="16" hidden="1">
      <c r="B58" s="151">
        <v>35643</v>
      </c>
      <c r="C58" s="147">
        <f t="shared" si="2"/>
        <v>8</v>
      </c>
      <c r="D58" s="147"/>
      <c r="E58" s="152">
        <v>70</v>
      </c>
      <c r="F58" s="152">
        <v>1.99</v>
      </c>
    </row>
    <row r="59" spans="2:7" ht="16" hidden="1">
      <c r="B59" s="151">
        <v>35674</v>
      </c>
      <c r="C59" s="147">
        <f t="shared" si="2"/>
        <v>9</v>
      </c>
      <c r="D59" s="147"/>
      <c r="E59" s="153">
        <v>63</v>
      </c>
      <c r="F59" s="153">
        <v>0.67</v>
      </c>
    </row>
    <row r="60" spans="2:7" ht="16" hidden="1">
      <c r="B60" s="151">
        <v>35704</v>
      </c>
      <c r="C60" s="147">
        <f t="shared" si="2"/>
        <v>10</v>
      </c>
      <c r="D60" s="147"/>
      <c r="E60" s="152">
        <v>48</v>
      </c>
      <c r="F60" s="152">
        <v>1.85</v>
      </c>
    </row>
    <row r="61" spans="2:7" ht="16" hidden="1">
      <c r="B61" s="151">
        <v>35735</v>
      </c>
      <c r="C61" s="147">
        <f t="shared" si="2"/>
        <v>11</v>
      </c>
      <c r="D61" s="147"/>
      <c r="E61" s="153">
        <v>31</v>
      </c>
      <c r="F61" s="153">
        <v>0.28000000000000003</v>
      </c>
    </row>
    <row r="62" spans="2:7" ht="16" hidden="1">
      <c r="B62" s="151">
        <v>35765</v>
      </c>
      <c r="C62" s="147">
        <f t="shared" si="2"/>
        <v>12</v>
      </c>
      <c r="D62" s="147"/>
      <c r="E62" s="152">
        <v>29</v>
      </c>
      <c r="F62" s="152">
        <v>0.06</v>
      </c>
    </row>
    <row r="63" spans="2:7" ht="16" hidden="1">
      <c r="B63" s="151">
        <v>35796</v>
      </c>
      <c r="C63" s="147">
        <f t="shared" si="2"/>
        <v>1</v>
      </c>
      <c r="D63" s="147"/>
      <c r="E63" s="153">
        <v>20</v>
      </c>
      <c r="F63" s="153">
        <v>0.34</v>
      </c>
    </row>
    <row r="64" spans="2:7" ht="16" hidden="1">
      <c r="B64" s="151">
        <v>35827</v>
      </c>
      <c r="C64" s="147">
        <f t="shared" si="2"/>
        <v>2</v>
      </c>
      <c r="D64" s="147"/>
      <c r="E64" s="152">
        <v>35</v>
      </c>
      <c r="F64" s="152">
        <v>0.54</v>
      </c>
    </row>
    <row r="65" spans="2:7" ht="16" hidden="1">
      <c r="B65" s="151">
        <v>35855</v>
      </c>
      <c r="C65" s="147">
        <f t="shared" si="2"/>
        <v>3</v>
      </c>
      <c r="D65" s="147"/>
      <c r="E65" s="153">
        <v>26</v>
      </c>
      <c r="F65" s="153">
        <v>2.73</v>
      </c>
    </row>
    <row r="66" spans="2:7" ht="16" hidden="1">
      <c r="B66" s="151">
        <v>35886</v>
      </c>
      <c r="C66" s="147">
        <f t="shared" si="2"/>
        <v>4</v>
      </c>
      <c r="D66" s="147"/>
      <c r="E66" s="152">
        <v>46</v>
      </c>
      <c r="F66" s="152">
        <v>0.23</v>
      </c>
    </row>
    <row r="67" spans="2:7" ht="16" hidden="1">
      <c r="B67" s="151">
        <v>35916</v>
      </c>
      <c r="C67" s="147">
        <f t="shared" si="2"/>
        <v>5</v>
      </c>
      <c r="D67" s="147"/>
      <c r="E67" s="153">
        <v>58</v>
      </c>
      <c r="F67" s="153">
        <v>3.04</v>
      </c>
    </row>
    <row r="68" spans="2:7" ht="16">
      <c r="B68" s="151">
        <v>35947</v>
      </c>
      <c r="C68" s="147">
        <f t="shared" si="2"/>
        <v>6</v>
      </c>
      <c r="D68" s="147">
        <f>YEAR(B68)</f>
        <v>1998</v>
      </c>
      <c r="E68" s="152">
        <v>61</v>
      </c>
      <c r="F68" s="152">
        <v>3.42</v>
      </c>
      <c r="G68">
        <v>10.3</v>
      </c>
    </row>
    <row r="69" spans="2:7" ht="16" hidden="1">
      <c r="B69" s="151">
        <v>35977</v>
      </c>
      <c r="C69" s="147">
        <f t="shared" si="2"/>
        <v>7</v>
      </c>
      <c r="D69" s="147"/>
      <c r="E69" s="153">
        <v>74</v>
      </c>
      <c r="F69" s="153">
        <v>2.31</v>
      </c>
    </row>
    <row r="70" spans="2:7" ht="16" hidden="1">
      <c r="B70" s="151">
        <v>36008</v>
      </c>
      <c r="C70" s="147">
        <f t="shared" si="2"/>
        <v>8</v>
      </c>
      <c r="D70" s="147"/>
      <c r="E70" s="152">
        <v>73</v>
      </c>
      <c r="F70" s="152">
        <v>3.73</v>
      </c>
    </row>
    <row r="71" spans="2:7" ht="16" hidden="1">
      <c r="B71" s="151">
        <v>36039</v>
      </c>
      <c r="C71" s="147">
        <f t="shared" si="2"/>
        <v>9</v>
      </c>
      <c r="D71" s="147"/>
      <c r="E71" s="153">
        <v>68</v>
      </c>
      <c r="F71" s="153">
        <v>0.85</v>
      </c>
    </row>
    <row r="72" spans="2:7" ht="16" hidden="1">
      <c r="B72" s="151">
        <v>36069</v>
      </c>
      <c r="C72" s="147">
        <f t="shared" si="2"/>
        <v>10</v>
      </c>
      <c r="D72" s="147"/>
      <c r="E72" s="152">
        <v>48</v>
      </c>
      <c r="F72" s="152">
        <v>3.52</v>
      </c>
    </row>
    <row r="73" spans="2:7" ht="16" hidden="1">
      <c r="B73" s="151">
        <v>36100</v>
      </c>
      <c r="C73" s="147">
        <f t="shared" ref="C73:C136" si="3">MONTH(B73)</f>
        <v>11</v>
      </c>
      <c r="D73" s="147"/>
      <c r="E73" s="153">
        <v>38</v>
      </c>
      <c r="F73" s="153">
        <v>0.87</v>
      </c>
    </row>
    <row r="74" spans="2:7" ht="16" hidden="1">
      <c r="B74" s="151">
        <v>36130</v>
      </c>
      <c r="C74" s="147">
        <f t="shared" si="3"/>
        <v>12</v>
      </c>
      <c r="D74" s="147"/>
      <c r="E74" s="152">
        <v>26</v>
      </c>
      <c r="F74" s="152">
        <v>0.15</v>
      </c>
    </row>
    <row r="75" spans="2:7" ht="16" hidden="1">
      <c r="B75" s="151">
        <v>36161</v>
      </c>
      <c r="C75" s="147">
        <f t="shared" si="3"/>
        <v>1</v>
      </c>
      <c r="D75" s="147"/>
      <c r="E75" s="153">
        <v>21</v>
      </c>
      <c r="F75" s="153">
        <v>0.66</v>
      </c>
    </row>
    <row r="76" spans="2:7" ht="16" hidden="1">
      <c r="B76" s="151">
        <v>36192</v>
      </c>
      <c r="C76" s="147">
        <f t="shared" si="3"/>
        <v>2</v>
      </c>
      <c r="D76" s="147"/>
      <c r="E76" s="152">
        <v>36</v>
      </c>
      <c r="F76" s="152">
        <v>0.14000000000000001</v>
      </c>
    </row>
    <row r="77" spans="2:7" ht="16" hidden="1">
      <c r="B77" s="151">
        <v>36220</v>
      </c>
      <c r="C77" s="147">
        <f t="shared" si="3"/>
        <v>3</v>
      </c>
      <c r="D77" s="147"/>
      <c r="E77" s="153">
        <v>38</v>
      </c>
      <c r="F77" s="153">
        <v>0.75</v>
      </c>
    </row>
    <row r="78" spans="2:7" ht="16" hidden="1">
      <c r="B78" s="151">
        <v>36251</v>
      </c>
      <c r="C78" s="147">
        <f t="shared" si="3"/>
        <v>4</v>
      </c>
      <c r="D78" s="147"/>
      <c r="E78" s="152">
        <v>44</v>
      </c>
      <c r="F78" s="152">
        <v>2.4900000000000002</v>
      </c>
    </row>
    <row r="79" spans="2:7" ht="16" hidden="1">
      <c r="B79" s="151">
        <v>36281</v>
      </c>
      <c r="C79" s="147">
        <f t="shared" si="3"/>
        <v>5</v>
      </c>
      <c r="D79" s="147"/>
      <c r="E79" s="153">
        <v>56</v>
      </c>
      <c r="F79" s="153">
        <v>2.39</v>
      </c>
    </row>
    <row r="80" spans="2:7" ht="16">
      <c r="B80" s="151">
        <v>36312</v>
      </c>
      <c r="C80" s="147">
        <f t="shared" si="3"/>
        <v>6</v>
      </c>
      <c r="D80" s="147">
        <f>YEAR(B80)</f>
        <v>1999</v>
      </c>
      <c r="E80" s="152">
        <v>66</v>
      </c>
      <c r="F80" s="152">
        <v>4.05</v>
      </c>
      <c r="G80">
        <v>10.48</v>
      </c>
    </row>
    <row r="81" spans="2:7" ht="16" hidden="1">
      <c r="B81" s="151">
        <v>36342</v>
      </c>
      <c r="C81" s="147">
        <f t="shared" si="3"/>
        <v>7</v>
      </c>
      <c r="D81" s="147"/>
      <c r="E81" s="153">
        <v>74</v>
      </c>
      <c r="F81" s="153">
        <v>0.51</v>
      </c>
    </row>
    <row r="82" spans="2:7" ht="16" hidden="1">
      <c r="B82" s="151">
        <v>36373</v>
      </c>
      <c r="C82" s="147">
        <f t="shared" si="3"/>
        <v>8</v>
      </c>
      <c r="D82" s="147"/>
      <c r="E82" s="152">
        <v>72</v>
      </c>
      <c r="F82" s="152">
        <v>2.1</v>
      </c>
    </row>
    <row r="83" spans="2:7" ht="16" hidden="1">
      <c r="B83" s="151">
        <v>36404</v>
      </c>
      <c r="C83" s="147">
        <f t="shared" si="3"/>
        <v>9</v>
      </c>
      <c r="D83" s="147"/>
      <c r="E83" s="153">
        <v>57</v>
      </c>
      <c r="F83" s="153">
        <v>2.4700000000000002</v>
      </c>
    </row>
    <row r="84" spans="2:7" ht="16" hidden="1">
      <c r="B84" s="151">
        <v>36434</v>
      </c>
      <c r="C84" s="147">
        <f t="shared" si="3"/>
        <v>10</v>
      </c>
      <c r="D84" s="147"/>
      <c r="E84" s="152">
        <v>47</v>
      </c>
      <c r="F84" s="152">
        <v>0.14000000000000001</v>
      </c>
    </row>
    <row r="85" spans="2:7" ht="16" hidden="1">
      <c r="B85" s="151">
        <v>36465</v>
      </c>
      <c r="C85" s="147">
        <f t="shared" si="3"/>
        <v>11</v>
      </c>
      <c r="D85" s="147"/>
      <c r="E85" s="153">
        <v>42</v>
      </c>
      <c r="F85" s="153">
        <v>0.23</v>
      </c>
    </row>
    <row r="86" spans="2:7" ht="16" hidden="1">
      <c r="B86" s="151">
        <v>36495</v>
      </c>
      <c r="C86" s="147">
        <f t="shared" si="3"/>
        <v>12</v>
      </c>
      <c r="D86" s="147"/>
      <c r="E86" s="152">
        <v>32</v>
      </c>
      <c r="F86" s="152">
        <v>0.13</v>
      </c>
    </row>
    <row r="87" spans="2:7" ht="16" hidden="1">
      <c r="B87" s="151">
        <v>36526</v>
      </c>
      <c r="C87" s="147">
        <f t="shared" si="3"/>
        <v>1</v>
      </c>
      <c r="D87" s="147"/>
      <c r="E87" s="153">
        <v>23</v>
      </c>
      <c r="F87" s="153">
        <v>0.51</v>
      </c>
    </row>
    <row r="88" spans="2:7" ht="16" hidden="1">
      <c r="B88" s="151">
        <v>36557</v>
      </c>
      <c r="C88" s="147">
        <f t="shared" si="3"/>
        <v>2</v>
      </c>
      <c r="D88" s="147"/>
      <c r="E88" s="152">
        <v>31</v>
      </c>
      <c r="F88" s="152">
        <v>0.68</v>
      </c>
    </row>
    <row r="89" spans="2:7" ht="16" hidden="1">
      <c r="B89" s="151">
        <v>36586</v>
      </c>
      <c r="C89" s="147">
        <f t="shared" si="3"/>
        <v>3</v>
      </c>
      <c r="D89" s="147"/>
      <c r="E89" s="153">
        <v>39</v>
      </c>
      <c r="F89" s="153">
        <v>1.38</v>
      </c>
    </row>
    <row r="90" spans="2:7" ht="16" hidden="1">
      <c r="B90" s="151">
        <v>36617</v>
      </c>
      <c r="C90" s="147">
        <f t="shared" si="3"/>
        <v>4</v>
      </c>
      <c r="D90" s="147"/>
      <c r="E90" s="152">
        <v>44</v>
      </c>
      <c r="F90" s="152">
        <v>3.59</v>
      </c>
    </row>
    <row r="91" spans="2:7" ht="16" hidden="1">
      <c r="B91" s="151">
        <v>36647</v>
      </c>
      <c r="C91" s="147">
        <f t="shared" si="3"/>
        <v>5</v>
      </c>
      <c r="D91" s="147"/>
      <c r="E91" s="153">
        <v>58</v>
      </c>
      <c r="F91" s="153">
        <v>1.01</v>
      </c>
    </row>
    <row r="92" spans="2:7" ht="16">
      <c r="B92" s="151">
        <v>36678</v>
      </c>
      <c r="C92" s="147">
        <f t="shared" si="3"/>
        <v>6</v>
      </c>
      <c r="D92" s="147">
        <f>YEAR(B92)</f>
        <v>2000</v>
      </c>
      <c r="E92" s="152">
        <v>65</v>
      </c>
      <c r="F92" s="152">
        <v>2.1</v>
      </c>
      <c r="G92">
        <v>9.27</v>
      </c>
    </row>
    <row r="93" spans="2:7" ht="16" hidden="1">
      <c r="B93" s="151">
        <v>36708</v>
      </c>
      <c r="C93" s="147">
        <f t="shared" si="3"/>
        <v>7</v>
      </c>
      <c r="D93" s="147"/>
      <c r="E93" s="153">
        <v>75</v>
      </c>
      <c r="F93" s="153">
        <v>1.61</v>
      </c>
    </row>
    <row r="94" spans="2:7" ht="16" hidden="1">
      <c r="B94" s="151">
        <v>36739</v>
      </c>
      <c r="C94" s="147">
        <f t="shared" si="3"/>
        <v>8</v>
      </c>
      <c r="D94" s="147"/>
      <c r="E94" s="152">
        <v>76</v>
      </c>
      <c r="F94" s="152">
        <v>0.28000000000000003</v>
      </c>
    </row>
    <row r="95" spans="2:7" ht="16" hidden="1">
      <c r="B95" s="151">
        <v>36770</v>
      </c>
      <c r="C95" s="147">
        <f t="shared" si="3"/>
        <v>9</v>
      </c>
      <c r="D95" s="147"/>
      <c r="E95" s="153">
        <v>64</v>
      </c>
      <c r="F95" s="153">
        <v>0.2</v>
      </c>
    </row>
    <row r="96" spans="2:7" ht="16" hidden="1">
      <c r="B96" s="151">
        <v>36800</v>
      </c>
      <c r="C96" s="147">
        <f t="shared" si="3"/>
        <v>10</v>
      </c>
      <c r="D96" s="147"/>
      <c r="E96" s="152">
        <v>50</v>
      </c>
      <c r="F96" s="152">
        <v>1.32</v>
      </c>
    </row>
    <row r="97" spans="2:7" ht="16" hidden="1">
      <c r="B97" s="151">
        <v>36831</v>
      </c>
      <c r="C97" s="147">
        <f t="shared" si="3"/>
        <v>11</v>
      </c>
      <c r="D97" s="147"/>
      <c r="E97" s="153">
        <v>27</v>
      </c>
      <c r="F97" s="153">
        <v>1.1499999999999999</v>
      </c>
    </row>
    <row r="98" spans="2:7" ht="16" hidden="1">
      <c r="B98" s="151">
        <v>36861</v>
      </c>
      <c r="C98" s="147">
        <f t="shared" si="3"/>
        <v>12</v>
      </c>
      <c r="D98" s="147"/>
      <c r="E98" s="152">
        <v>13</v>
      </c>
      <c r="F98" s="152">
        <v>0.56999999999999995</v>
      </c>
    </row>
    <row r="99" spans="2:7" ht="16" hidden="1">
      <c r="B99" s="151">
        <v>36892</v>
      </c>
      <c r="C99" s="147">
        <f t="shared" si="3"/>
        <v>1</v>
      </c>
      <c r="D99" s="147"/>
      <c r="E99" s="153">
        <v>26</v>
      </c>
      <c r="F99" s="153">
        <v>0.68</v>
      </c>
    </row>
    <row r="100" spans="2:7" ht="16" hidden="1">
      <c r="B100" s="151">
        <v>36923</v>
      </c>
      <c r="C100" s="147">
        <f t="shared" si="3"/>
        <v>2</v>
      </c>
      <c r="D100" s="147"/>
      <c r="E100" s="152">
        <v>14</v>
      </c>
      <c r="F100" s="152">
        <v>1.17</v>
      </c>
    </row>
    <row r="101" spans="2:7" ht="16" hidden="1">
      <c r="B101" s="151">
        <v>36951</v>
      </c>
      <c r="C101" s="147">
        <f t="shared" si="3"/>
        <v>3</v>
      </c>
      <c r="D101" s="147"/>
      <c r="E101" s="153">
        <v>34</v>
      </c>
      <c r="F101" s="153">
        <v>0.5</v>
      </c>
    </row>
    <row r="102" spans="2:7" ht="16" hidden="1">
      <c r="B102" s="151">
        <v>36982</v>
      </c>
      <c r="C102" s="147">
        <f t="shared" si="3"/>
        <v>4</v>
      </c>
      <c r="D102" s="147"/>
      <c r="E102" s="152">
        <v>46</v>
      </c>
      <c r="F102" s="152">
        <v>2.8</v>
      </c>
    </row>
    <row r="103" spans="2:7" ht="16" hidden="1">
      <c r="B103" s="151">
        <v>37012</v>
      </c>
      <c r="C103" s="147">
        <f t="shared" si="3"/>
        <v>5</v>
      </c>
      <c r="D103" s="147"/>
      <c r="E103" s="153">
        <v>58</v>
      </c>
      <c r="F103" s="153">
        <v>1.66</v>
      </c>
    </row>
    <row r="104" spans="2:7" ht="16">
      <c r="B104" s="151">
        <v>37043</v>
      </c>
      <c r="C104" s="147">
        <f t="shared" si="3"/>
        <v>6</v>
      </c>
      <c r="D104" s="147">
        <f>YEAR(B104)</f>
        <v>2001</v>
      </c>
      <c r="E104" s="152">
        <v>66</v>
      </c>
      <c r="F104" s="152">
        <v>2.21</v>
      </c>
      <c r="G104">
        <v>9.02</v>
      </c>
    </row>
    <row r="105" spans="2:7" ht="16" hidden="1">
      <c r="B105" s="151">
        <v>37073</v>
      </c>
      <c r="C105" s="147">
        <f t="shared" si="3"/>
        <v>7</v>
      </c>
      <c r="D105" s="147"/>
      <c r="E105" s="153">
        <v>76</v>
      </c>
      <c r="F105" s="153">
        <v>4.58</v>
      </c>
    </row>
    <row r="106" spans="2:7" ht="16" hidden="1">
      <c r="B106" s="151">
        <v>37104</v>
      </c>
      <c r="C106" s="147">
        <f t="shared" si="3"/>
        <v>8</v>
      </c>
      <c r="D106" s="147"/>
      <c r="E106" s="152">
        <v>75</v>
      </c>
      <c r="F106" s="152">
        <v>1.0900000000000001</v>
      </c>
    </row>
    <row r="107" spans="2:7" ht="16" hidden="1">
      <c r="B107" s="151">
        <v>37135</v>
      </c>
      <c r="C107" s="147">
        <f t="shared" si="3"/>
        <v>9</v>
      </c>
      <c r="D107" s="147"/>
      <c r="E107" s="153">
        <v>64</v>
      </c>
      <c r="F107" s="153">
        <v>0.97</v>
      </c>
    </row>
    <row r="108" spans="2:7" ht="16" hidden="1">
      <c r="B108" s="151">
        <v>37165</v>
      </c>
      <c r="C108" s="147">
        <f t="shared" si="3"/>
        <v>10</v>
      </c>
      <c r="D108" s="147"/>
      <c r="E108" s="152">
        <v>47</v>
      </c>
      <c r="F108" s="152">
        <v>0.66</v>
      </c>
    </row>
    <row r="109" spans="2:7" ht="16" hidden="1">
      <c r="B109" s="151">
        <v>37196</v>
      </c>
      <c r="C109" s="147">
        <f t="shared" si="3"/>
        <v>11</v>
      </c>
      <c r="D109" s="147"/>
      <c r="E109" s="153">
        <v>39</v>
      </c>
      <c r="F109" s="153">
        <v>0.71</v>
      </c>
    </row>
    <row r="110" spans="2:7" ht="16" hidden="1">
      <c r="B110" s="151">
        <v>37226</v>
      </c>
      <c r="C110" s="147">
        <f t="shared" si="3"/>
        <v>12</v>
      </c>
      <c r="D110" s="147"/>
      <c r="E110" s="152">
        <v>28</v>
      </c>
      <c r="F110" s="152">
        <v>0</v>
      </c>
    </row>
    <row r="111" spans="2:7" ht="16" hidden="1">
      <c r="B111" s="151">
        <v>37257</v>
      </c>
      <c r="C111" s="147">
        <f t="shared" si="3"/>
        <v>1</v>
      </c>
      <c r="D111" s="147"/>
      <c r="E111" s="153">
        <v>26</v>
      </c>
      <c r="F111" s="153">
        <v>0.22</v>
      </c>
    </row>
    <row r="112" spans="2:7" ht="16" hidden="1">
      <c r="B112" s="151">
        <v>37288</v>
      </c>
      <c r="C112" s="147">
        <f t="shared" si="3"/>
        <v>2</v>
      </c>
      <c r="D112" s="147"/>
      <c r="E112" s="152">
        <v>30</v>
      </c>
      <c r="F112" s="152">
        <v>0.19</v>
      </c>
    </row>
    <row r="113" spans="2:7" ht="16" hidden="1">
      <c r="B113" s="151">
        <v>37316</v>
      </c>
      <c r="C113" s="147">
        <f t="shared" si="3"/>
        <v>3</v>
      </c>
      <c r="D113" s="147"/>
      <c r="E113" s="153">
        <v>23</v>
      </c>
      <c r="F113" s="153">
        <v>1.27</v>
      </c>
    </row>
    <row r="114" spans="2:7" ht="16" hidden="1">
      <c r="B114" s="151">
        <v>37347</v>
      </c>
      <c r="C114" s="147">
        <f t="shared" si="3"/>
        <v>4</v>
      </c>
      <c r="D114" s="147"/>
      <c r="E114" s="152">
        <v>45</v>
      </c>
      <c r="F114" s="152">
        <v>1.08</v>
      </c>
    </row>
    <row r="115" spans="2:7" ht="16" hidden="1">
      <c r="B115" s="151">
        <v>37377</v>
      </c>
      <c r="C115" s="147">
        <f t="shared" si="3"/>
        <v>5</v>
      </c>
      <c r="D115" s="147"/>
      <c r="E115" s="153">
        <v>52</v>
      </c>
      <c r="F115" s="153">
        <v>1.95</v>
      </c>
    </row>
    <row r="116" spans="2:7" ht="16">
      <c r="B116" s="151">
        <v>37408</v>
      </c>
      <c r="C116" s="147">
        <f t="shared" si="3"/>
        <v>6</v>
      </c>
      <c r="D116" s="147">
        <f>YEAR(B116)</f>
        <v>2002</v>
      </c>
      <c r="E116" s="152">
        <v>71</v>
      </c>
      <c r="F116" s="152">
        <v>0.35</v>
      </c>
      <c r="G116">
        <v>5.0599999999999996</v>
      </c>
    </row>
    <row r="117" spans="2:7" ht="16" hidden="1">
      <c r="B117" s="151">
        <v>37438</v>
      </c>
      <c r="C117" s="147">
        <f t="shared" si="3"/>
        <v>7</v>
      </c>
      <c r="D117" s="147"/>
      <c r="E117" s="153">
        <v>80</v>
      </c>
      <c r="F117" s="153">
        <v>0.91</v>
      </c>
    </row>
    <row r="118" spans="2:7" ht="16" hidden="1">
      <c r="B118" s="151">
        <v>37469</v>
      </c>
      <c r="C118" s="147">
        <f t="shared" si="3"/>
        <v>8</v>
      </c>
      <c r="D118" s="147"/>
      <c r="E118" s="152">
        <v>72</v>
      </c>
      <c r="F118" s="152">
        <v>1.82</v>
      </c>
    </row>
    <row r="119" spans="2:7" ht="16" hidden="1">
      <c r="B119" s="151">
        <v>37500</v>
      </c>
      <c r="C119" s="147">
        <f t="shared" si="3"/>
        <v>9</v>
      </c>
      <c r="D119" s="147"/>
      <c r="E119" s="153">
        <v>62</v>
      </c>
      <c r="F119" s="153">
        <v>3.46</v>
      </c>
    </row>
    <row r="120" spans="2:7" ht="16" hidden="1">
      <c r="B120" s="151">
        <v>37530</v>
      </c>
      <c r="C120" s="147">
        <f t="shared" si="3"/>
        <v>10</v>
      </c>
      <c r="D120" s="147"/>
      <c r="E120" s="152">
        <v>41</v>
      </c>
      <c r="F120" s="152">
        <v>1.23</v>
      </c>
    </row>
    <row r="121" spans="2:7" ht="16" hidden="1">
      <c r="B121" s="151">
        <v>37561</v>
      </c>
      <c r="C121" s="147">
        <f t="shared" si="3"/>
        <v>11</v>
      </c>
      <c r="D121" s="147"/>
      <c r="E121" s="153">
        <v>36</v>
      </c>
      <c r="F121" s="153">
        <v>0.02</v>
      </c>
    </row>
    <row r="122" spans="2:7" ht="16" hidden="1">
      <c r="B122" s="151">
        <v>37591</v>
      </c>
      <c r="C122" s="147">
        <f t="shared" si="3"/>
        <v>12</v>
      </c>
      <c r="D122" s="147"/>
      <c r="E122" s="152">
        <v>29</v>
      </c>
      <c r="F122" s="152">
        <v>0.14000000000000001</v>
      </c>
    </row>
    <row r="123" spans="2:7" ht="16" hidden="1">
      <c r="B123" s="151">
        <v>37622</v>
      </c>
      <c r="C123" s="147">
        <f t="shared" si="3"/>
        <v>1</v>
      </c>
      <c r="D123" s="147"/>
      <c r="E123" s="153">
        <v>23</v>
      </c>
      <c r="F123" s="153">
        <v>0.33</v>
      </c>
    </row>
    <row r="124" spans="2:7" ht="16" hidden="1">
      <c r="B124" s="151">
        <v>37653</v>
      </c>
      <c r="C124" s="147">
        <f t="shared" si="3"/>
        <v>2</v>
      </c>
      <c r="D124" s="147"/>
      <c r="E124" s="152">
        <v>21</v>
      </c>
      <c r="F124" s="152">
        <v>0.68</v>
      </c>
    </row>
    <row r="125" spans="2:7" ht="16" hidden="1">
      <c r="B125" s="151">
        <v>37681</v>
      </c>
      <c r="C125" s="147">
        <f t="shared" si="3"/>
        <v>3</v>
      </c>
      <c r="D125" s="147"/>
      <c r="E125" s="153">
        <v>34</v>
      </c>
      <c r="F125" s="153">
        <v>1.41</v>
      </c>
    </row>
    <row r="126" spans="2:7" ht="16" hidden="1">
      <c r="B126" s="151">
        <v>37712</v>
      </c>
      <c r="C126" s="147">
        <f t="shared" si="3"/>
        <v>4</v>
      </c>
      <c r="D126" s="147"/>
      <c r="E126" s="152">
        <v>49</v>
      </c>
      <c r="F126" s="152">
        <v>2.02</v>
      </c>
    </row>
    <row r="127" spans="2:7" ht="16" hidden="1">
      <c r="B127" s="151">
        <v>37742</v>
      </c>
      <c r="C127" s="147">
        <f t="shared" si="3"/>
        <v>5</v>
      </c>
      <c r="D127" s="147"/>
      <c r="E127" s="153">
        <v>56</v>
      </c>
      <c r="F127" s="153">
        <v>1.6</v>
      </c>
    </row>
    <row r="128" spans="2:7" ht="16">
      <c r="B128" s="151">
        <v>37773</v>
      </c>
      <c r="C128" s="147">
        <f t="shared" si="3"/>
        <v>6</v>
      </c>
      <c r="D128" s="147">
        <f>YEAR(B128)</f>
        <v>2003</v>
      </c>
      <c r="E128" s="152">
        <v>64</v>
      </c>
      <c r="F128" s="152">
        <v>2.0099999999999998</v>
      </c>
      <c r="G128">
        <v>8.0500000000000007</v>
      </c>
    </row>
    <row r="129" spans="2:7" ht="16" hidden="1">
      <c r="B129" s="151">
        <v>37803</v>
      </c>
      <c r="C129" s="147">
        <f t="shared" si="3"/>
        <v>7</v>
      </c>
      <c r="D129" s="147"/>
      <c r="E129" s="153">
        <v>77</v>
      </c>
      <c r="F129" s="153">
        <v>0.44</v>
      </c>
    </row>
    <row r="130" spans="2:7" ht="16" hidden="1">
      <c r="B130" s="151">
        <v>37834</v>
      </c>
      <c r="C130" s="147">
        <f t="shared" si="3"/>
        <v>8</v>
      </c>
      <c r="D130" s="147"/>
      <c r="E130" s="152"/>
      <c r="F130" s="152">
        <v>0.46</v>
      </c>
    </row>
    <row r="131" spans="2:7" ht="16" hidden="1">
      <c r="B131" s="151">
        <v>37865</v>
      </c>
      <c r="C131" s="147">
        <f t="shared" si="3"/>
        <v>9</v>
      </c>
      <c r="D131" s="147"/>
      <c r="E131" s="153">
        <v>61</v>
      </c>
      <c r="F131" s="153">
        <v>0.89</v>
      </c>
    </row>
    <row r="132" spans="2:7" ht="16" hidden="1">
      <c r="B132" s="151">
        <v>37895</v>
      </c>
      <c r="C132" s="147">
        <f t="shared" si="3"/>
        <v>10</v>
      </c>
      <c r="D132" s="147"/>
      <c r="E132" s="152">
        <v>52</v>
      </c>
      <c r="F132" s="152">
        <v>0.66</v>
      </c>
    </row>
    <row r="133" spans="2:7" ht="16" hidden="1">
      <c r="B133" s="151">
        <v>37926</v>
      </c>
      <c r="C133" s="147">
        <f t="shared" si="3"/>
        <v>11</v>
      </c>
      <c r="D133" s="147"/>
      <c r="E133" s="153">
        <v>27</v>
      </c>
      <c r="F133" s="153">
        <v>0.66</v>
      </c>
    </row>
    <row r="134" spans="2:7" ht="16" hidden="1">
      <c r="B134" s="151">
        <v>37956</v>
      </c>
      <c r="C134" s="147">
        <f t="shared" si="3"/>
        <v>12</v>
      </c>
      <c r="D134" s="147"/>
      <c r="E134" s="152">
        <v>28</v>
      </c>
      <c r="F134" s="152">
        <v>0.08</v>
      </c>
    </row>
    <row r="135" spans="2:7" ht="16" hidden="1">
      <c r="B135" s="151">
        <v>37987</v>
      </c>
      <c r="C135" s="147">
        <f t="shared" si="3"/>
        <v>1</v>
      </c>
      <c r="D135" s="147"/>
      <c r="E135" s="153">
        <v>20</v>
      </c>
      <c r="F135" s="153">
        <v>0.31</v>
      </c>
    </row>
    <row r="136" spans="2:7" ht="16" hidden="1">
      <c r="B136" s="151">
        <v>38018</v>
      </c>
      <c r="C136" s="147">
        <f t="shared" si="3"/>
        <v>2</v>
      </c>
      <c r="D136" s="147"/>
      <c r="E136" s="152">
        <v>26</v>
      </c>
      <c r="F136" s="152">
        <v>0.11</v>
      </c>
    </row>
    <row r="137" spans="2:7" ht="16" hidden="1">
      <c r="B137" s="151">
        <v>38047</v>
      </c>
      <c r="C137" s="147">
        <f t="shared" ref="C137:C200" si="4">MONTH(B137)</f>
        <v>3</v>
      </c>
      <c r="D137" s="147"/>
      <c r="E137" s="153">
        <v>40</v>
      </c>
      <c r="F137" s="153">
        <v>1.22</v>
      </c>
    </row>
    <row r="138" spans="2:7" ht="16" hidden="1">
      <c r="B138" s="151">
        <v>38078</v>
      </c>
      <c r="C138" s="147">
        <f t="shared" si="4"/>
        <v>4</v>
      </c>
      <c r="D138" s="147"/>
      <c r="E138" s="152">
        <v>48</v>
      </c>
      <c r="F138" s="152">
        <v>0.27</v>
      </c>
    </row>
    <row r="139" spans="2:7" ht="16" hidden="1">
      <c r="B139" s="151">
        <v>38108</v>
      </c>
      <c r="C139" s="147">
        <f t="shared" si="4"/>
        <v>5</v>
      </c>
      <c r="D139" s="147"/>
      <c r="E139" s="153">
        <v>57</v>
      </c>
      <c r="F139" s="153">
        <v>1.65</v>
      </c>
    </row>
    <row r="140" spans="2:7" ht="16">
      <c r="B140" s="151">
        <v>38139</v>
      </c>
      <c r="C140" s="147">
        <f t="shared" si="4"/>
        <v>6</v>
      </c>
      <c r="D140" s="147">
        <f>YEAR(B140)</f>
        <v>2004</v>
      </c>
      <c r="E140" s="152">
        <v>62</v>
      </c>
      <c r="F140" s="152">
        <v>1.88</v>
      </c>
      <c r="G140">
        <v>5.44</v>
      </c>
    </row>
    <row r="141" spans="2:7" ht="16" hidden="1">
      <c r="B141" s="151">
        <v>38169</v>
      </c>
      <c r="C141" s="147">
        <f t="shared" si="4"/>
        <v>7</v>
      </c>
      <c r="D141" s="147"/>
      <c r="E141" s="153">
        <v>73</v>
      </c>
      <c r="F141" s="153">
        <v>1.29</v>
      </c>
    </row>
    <row r="142" spans="2:7" ht="16" hidden="1">
      <c r="B142" s="151">
        <v>38200</v>
      </c>
      <c r="C142" s="147">
        <f t="shared" si="4"/>
        <v>8</v>
      </c>
      <c r="D142" s="147"/>
      <c r="E142" s="152">
        <v>66</v>
      </c>
      <c r="F142" s="152">
        <v>0.66</v>
      </c>
    </row>
    <row r="143" spans="2:7" ht="16" hidden="1">
      <c r="B143" s="151">
        <v>38231</v>
      </c>
      <c r="C143" s="147">
        <f t="shared" si="4"/>
        <v>9</v>
      </c>
      <c r="D143" s="147"/>
      <c r="E143" s="153">
        <v>63</v>
      </c>
      <c r="F143" s="153">
        <v>3.96</v>
      </c>
    </row>
    <row r="144" spans="2:7" ht="16" hidden="1">
      <c r="B144" s="151">
        <v>38261</v>
      </c>
      <c r="C144" s="147">
        <f t="shared" si="4"/>
        <v>10</v>
      </c>
      <c r="D144" s="147"/>
      <c r="E144" s="152">
        <v>50</v>
      </c>
      <c r="F144" s="152">
        <v>1.65</v>
      </c>
    </row>
    <row r="145" spans="2:7" ht="16" hidden="1">
      <c r="B145" s="151">
        <v>38292</v>
      </c>
      <c r="C145" s="147">
        <f t="shared" si="4"/>
        <v>11</v>
      </c>
      <c r="D145" s="147"/>
      <c r="E145" s="153">
        <v>37</v>
      </c>
      <c r="F145" s="153">
        <v>0.09</v>
      </c>
    </row>
    <row r="146" spans="2:7" ht="16" hidden="1">
      <c r="B146" s="151">
        <v>38322</v>
      </c>
      <c r="C146" s="147">
        <f t="shared" si="4"/>
        <v>12</v>
      </c>
      <c r="D146" s="147"/>
      <c r="E146" s="152">
        <v>31</v>
      </c>
      <c r="F146" s="152">
        <v>0.04</v>
      </c>
    </row>
    <row r="147" spans="2:7" ht="16" hidden="1">
      <c r="B147" s="151">
        <v>38353</v>
      </c>
      <c r="C147" s="147">
        <f t="shared" si="4"/>
        <v>1</v>
      </c>
      <c r="D147" s="147"/>
      <c r="E147" s="153">
        <v>20</v>
      </c>
      <c r="F147" s="153">
        <v>0.44</v>
      </c>
    </row>
    <row r="148" spans="2:7" ht="16" hidden="1">
      <c r="B148" s="151">
        <v>38384</v>
      </c>
      <c r="C148" s="147">
        <f t="shared" si="4"/>
        <v>2</v>
      </c>
      <c r="D148" s="147"/>
      <c r="E148" s="152">
        <v>32</v>
      </c>
      <c r="F148" s="152">
        <v>0.05</v>
      </c>
    </row>
    <row r="149" spans="2:7" ht="16" hidden="1">
      <c r="B149" s="151">
        <v>38412</v>
      </c>
      <c r="C149" s="147">
        <f t="shared" si="4"/>
        <v>3</v>
      </c>
      <c r="D149" s="147"/>
      <c r="E149" s="153">
        <v>37</v>
      </c>
      <c r="F149" s="153">
        <v>1.1200000000000001</v>
      </c>
    </row>
    <row r="150" spans="2:7" ht="16" hidden="1">
      <c r="B150" s="151">
        <v>38443</v>
      </c>
      <c r="C150" s="147">
        <f t="shared" si="4"/>
        <v>4</v>
      </c>
      <c r="D150" s="147"/>
      <c r="E150" s="152">
        <v>48</v>
      </c>
      <c r="F150" s="152">
        <v>3.16</v>
      </c>
    </row>
    <row r="151" spans="2:7" ht="16" hidden="1">
      <c r="B151" s="151">
        <v>38473</v>
      </c>
      <c r="C151" s="147">
        <f t="shared" si="4"/>
        <v>5</v>
      </c>
      <c r="D151" s="147"/>
      <c r="E151" s="153">
        <v>54</v>
      </c>
      <c r="F151" s="153">
        <v>4.12</v>
      </c>
    </row>
    <row r="152" spans="2:7" ht="16">
      <c r="B152" s="151">
        <v>38504</v>
      </c>
      <c r="C152" s="147">
        <f t="shared" si="4"/>
        <v>6</v>
      </c>
      <c r="D152" s="147">
        <f>YEAR(B152)</f>
        <v>2005</v>
      </c>
      <c r="E152" s="152">
        <v>69</v>
      </c>
      <c r="F152" s="152">
        <v>2.52</v>
      </c>
      <c r="G152">
        <v>11.41</v>
      </c>
    </row>
    <row r="153" spans="2:7" ht="16" hidden="1">
      <c r="B153" s="151">
        <v>38534</v>
      </c>
      <c r="C153" s="147">
        <f t="shared" si="4"/>
        <v>7</v>
      </c>
      <c r="D153" s="147"/>
      <c r="E153" s="153">
        <v>77</v>
      </c>
      <c r="F153" s="153">
        <v>1.19</v>
      </c>
    </row>
    <row r="154" spans="2:7" ht="16" hidden="1">
      <c r="B154" s="151">
        <v>38565</v>
      </c>
      <c r="C154" s="147">
        <f t="shared" si="4"/>
        <v>8</v>
      </c>
      <c r="D154" s="147"/>
      <c r="E154" s="152">
        <v>75</v>
      </c>
      <c r="F154" s="152">
        <v>0.78</v>
      </c>
    </row>
    <row r="155" spans="2:7" ht="16" hidden="1">
      <c r="B155" s="151">
        <v>38596</v>
      </c>
      <c r="C155" s="147">
        <f t="shared" si="4"/>
        <v>9</v>
      </c>
      <c r="D155" s="147"/>
      <c r="E155" s="153">
        <v>66</v>
      </c>
      <c r="F155" s="153">
        <v>1.19</v>
      </c>
    </row>
    <row r="156" spans="2:7" ht="16" hidden="1">
      <c r="B156" s="151">
        <v>38626</v>
      </c>
      <c r="C156" s="147">
        <f t="shared" si="4"/>
        <v>10</v>
      </c>
      <c r="D156" s="147"/>
      <c r="E156" s="152">
        <v>50</v>
      </c>
      <c r="F156" s="152">
        <v>0.64</v>
      </c>
    </row>
    <row r="157" spans="2:7" ht="16" hidden="1">
      <c r="B157" s="151">
        <v>38657</v>
      </c>
      <c r="C157" s="147">
        <f t="shared" si="4"/>
        <v>11</v>
      </c>
      <c r="D157" s="147"/>
      <c r="E157" s="153">
        <v>39</v>
      </c>
      <c r="F157" s="153">
        <v>0.28999999999999998</v>
      </c>
    </row>
    <row r="158" spans="2:7" ht="16" hidden="1">
      <c r="B158" s="151">
        <v>38687</v>
      </c>
      <c r="C158" s="147">
        <f t="shared" si="4"/>
        <v>12</v>
      </c>
      <c r="D158" s="147"/>
      <c r="E158" s="152">
        <v>22</v>
      </c>
      <c r="F158" s="152">
        <v>0.87</v>
      </c>
    </row>
    <row r="159" spans="2:7" ht="16" hidden="1">
      <c r="B159" s="151">
        <v>38718</v>
      </c>
      <c r="C159" s="147">
        <f t="shared" si="4"/>
        <v>1</v>
      </c>
      <c r="D159" s="147"/>
      <c r="E159" s="153">
        <v>35</v>
      </c>
      <c r="F159" s="153">
        <v>0.32</v>
      </c>
    </row>
    <row r="160" spans="2:7" ht="16" hidden="1">
      <c r="B160" s="151">
        <v>38749</v>
      </c>
      <c r="C160" s="147">
        <f t="shared" si="4"/>
        <v>2</v>
      </c>
      <c r="D160" s="147"/>
      <c r="E160" s="152">
        <v>25</v>
      </c>
      <c r="F160" s="152">
        <v>0.38</v>
      </c>
    </row>
    <row r="161" spans="2:7" ht="16" hidden="1">
      <c r="B161" s="151">
        <v>38777</v>
      </c>
      <c r="C161" s="147">
        <f t="shared" si="4"/>
        <v>3</v>
      </c>
      <c r="D161" s="147"/>
      <c r="E161" s="153">
        <v>32</v>
      </c>
      <c r="F161" s="153">
        <v>1.8</v>
      </c>
    </row>
    <row r="162" spans="2:7" ht="16" hidden="1">
      <c r="B162" s="151">
        <v>38808</v>
      </c>
      <c r="C162" s="147">
        <f t="shared" si="4"/>
        <v>4</v>
      </c>
      <c r="D162" s="147"/>
      <c r="E162" s="152">
        <v>50</v>
      </c>
      <c r="F162" s="152">
        <v>2.0499999999999998</v>
      </c>
    </row>
    <row r="163" spans="2:7" ht="16" hidden="1">
      <c r="B163" s="151">
        <v>38838</v>
      </c>
      <c r="C163" s="147">
        <f t="shared" si="4"/>
        <v>5</v>
      </c>
      <c r="D163" s="147"/>
      <c r="E163" s="153">
        <v>59</v>
      </c>
      <c r="F163" s="153">
        <v>0.49</v>
      </c>
    </row>
    <row r="164" spans="2:7" ht="16">
      <c r="B164" s="151">
        <v>38869</v>
      </c>
      <c r="C164" s="147">
        <f t="shared" si="4"/>
        <v>6</v>
      </c>
      <c r="D164" s="147">
        <f>YEAR(B164)</f>
        <v>2006</v>
      </c>
      <c r="E164" s="152">
        <v>71</v>
      </c>
      <c r="F164" s="152">
        <v>0.93</v>
      </c>
      <c r="G164">
        <v>5.97</v>
      </c>
    </row>
    <row r="165" spans="2:7" ht="16" hidden="1">
      <c r="B165" s="151">
        <v>38899</v>
      </c>
      <c r="C165" s="147">
        <f t="shared" si="4"/>
        <v>7</v>
      </c>
      <c r="D165" s="147"/>
      <c r="E165" s="153">
        <v>81</v>
      </c>
      <c r="F165" s="153">
        <v>0.57999999999999996</v>
      </c>
    </row>
    <row r="166" spans="2:7" ht="16" hidden="1">
      <c r="B166" s="151">
        <v>38930</v>
      </c>
      <c r="C166" s="147">
        <f t="shared" si="4"/>
        <v>8</v>
      </c>
      <c r="D166" s="147"/>
      <c r="E166" s="152">
        <v>74</v>
      </c>
      <c r="F166" s="152">
        <v>2.39</v>
      </c>
    </row>
    <row r="167" spans="2:7" ht="16" hidden="1">
      <c r="B167" s="151">
        <v>38961</v>
      </c>
      <c r="C167" s="147">
        <f t="shared" si="4"/>
        <v>9</v>
      </c>
      <c r="D167" s="147"/>
      <c r="E167" s="153">
        <v>58</v>
      </c>
      <c r="F167" s="153">
        <v>2.25</v>
      </c>
    </row>
    <row r="168" spans="2:7" ht="16" hidden="1">
      <c r="B168" s="151">
        <v>38991</v>
      </c>
      <c r="C168" s="147">
        <f t="shared" si="4"/>
        <v>10</v>
      </c>
      <c r="D168" s="147"/>
      <c r="E168" s="152">
        <v>46</v>
      </c>
      <c r="F168" s="152">
        <v>0.52</v>
      </c>
    </row>
    <row r="169" spans="2:7" ht="16" hidden="1">
      <c r="B169" s="151">
        <v>39022</v>
      </c>
      <c r="C169" s="147">
        <f t="shared" si="4"/>
        <v>11</v>
      </c>
      <c r="D169" s="147"/>
      <c r="E169" s="153">
        <v>35</v>
      </c>
      <c r="F169" s="153">
        <v>0.43</v>
      </c>
    </row>
    <row r="170" spans="2:7" ht="16" hidden="1">
      <c r="B170" s="151">
        <v>39052</v>
      </c>
      <c r="C170" s="147">
        <f t="shared" si="4"/>
        <v>12</v>
      </c>
      <c r="D170" s="147"/>
      <c r="E170" s="152">
        <v>27</v>
      </c>
      <c r="F170" s="152">
        <v>0.35</v>
      </c>
    </row>
    <row r="171" spans="2:7" ht="16" hidden="1">
      <c r="B171" s="151">
        <v>39083</v>
      </c>
      <c r="C171" s="147">
        <f t="shared" si="4"/>
        <v>1</v>
      </c>
      <c r="D171" s="147"/>
      <c r="E171" s="153">
        <v>25</v>
      </c>
      <c r="F171" s="153">
        <v>0.04</v>
      </c>
    </row>
    <row r="172" spans="2:7" ht="16" hidden="1">
      <c r="B172" s="151">
        <v>39114</v>
      </c>
      <c r="C172" s="147">
        <f t="shared" si="4"/>
        <v>2</v>
      </c>
      <c r="D172" s="147"/>
      <c r="E172" s="152">
        <v>18</v>
      </c>
      <c r="F172" s="152">
        <v>0.56999999999999995</v>
      </c>
    </row>
    <row r="173" spans="2:7" ht="16" hidden="1">
      <c r="B173" s="151">
        <v>39142</v>
      </c>
      <c r="C173" s="147">
        <f t="shared" si="4"/>
        <v>3</v>
      </c>
      <c r="D173" s="147"/>
      <c r="E173" s="153">
        <v>44</v>
      </c>
      <c r="F173" s="153">
        <v>1.83</v>
      </c>
    </row>
    <row r="174" spans="2:7" ht="16" hidden="1">
      <c r="B174" s="151">
        <v>39173</v>
      </c>
      <c r="C174" s="147">
        <f t="shared" si="4"/>
        <v>4</v>
      </c>
      <c r="D174" s="147"/>
      <c r="E174" s="152">
        <v>44</v>
      </c>
      <c r="F174" s="152">
        <v>1.47</v>
      </c>
    </row>
    <row r="175" spans="2:7" ht="16" hidden="1">
      <c r="B175" s="151">
        <v>39203</v>
      </c>
      <c r="C175" s="147">
        <f t="shared" si="4"/>
        <v>5</v>
      </c>
      <c r="D175" s="147"/>
      <c r="E175" s="153">
        <v>61</v>
      </c>
      <c r="F175" s="153">
        <v>2.31</v>
      </c>
    </row>
    <row r="176" spans="2:7" ht="16">
      <c r="B176" s="151">
        <v>39234</v>
      </c>
      <c r="C176" s="147">
        <f t="shared" si="4"/>
        <v>6</v>
      </c>
      <c r="D176" s="147">
        <f>YEAR(B176)</f>
        <v>2007</v>
      </c>
      <c r="E176" s="152">
        <v>70</v>
      </c>
      <c r="F176" s="152">
        <v>1.59</v>
      </c>
      <c r="G176">
        <v>7.31</v>
      </c>
    </row>
    <row r="177" spans="2:7" ht="16" hidden="1">
      <c r="B177" s="151">
        <v>39264</v>
      </c>
      <c r="C177" s="147">
        <f t="shared" si="4"/>
        <v>7</v>
      </c>
      <c r="D177" s="147"/>
      <c r="E177" s="153">
        <v>80</v>
      </c>
      <c r="F177" s="153">
        <v>0.56999999999999995</v>
      </c>
    </row>
    <row r="178" spans="2:7" ht="16" hidden="1">
      <c r="B178" s="151">
        <v>39295</v>
      </c>
      <c r="C178" s="147">
        <f t="shared" si="4"/>
        <v>8</v>
      </c>
      <c r="D178" s="147"/>
      <c r="E178" s="152">
        <v>75</v>
      </c>
      <c r="F178" s="152">
        <v>2.33</v>
      </c>
    </row>
    <row r="179" spans="2:7" ht="16" hidden="1">
      <c r="B179" s="151">
        <v>39326</v>
      </c>
      <c r="C179" s="147">
        <f t="shared" si="4"/>
        <v>9</v>
      </c>
      <c r="D179" s="147"/>
      <c r="E179" s="153">
        <v>64</v>
      </c>
      <c r="F179" s="153">
        <v>1.1499999999999999</v>
      </c>
    </row>
    <row r="180" spans="2:7" ht="16" hidden="1">
      <c r="B180" s="151">
        <v>39356</v>
      </c>
      <c r="C180" s="147">
        <f t="shared" si="4"/>
        <v>10</v>
      </c>
      <c r="D180" s="147"/>
      <c r="E180" s="152">
        <v>51</v>
      </c>
      <c r="F180" s="152">
        <v>1.74</v>
      </c>
    </row>
    <row r="181" spans="2:7" ht="16" hidden="1">
      <c r="B181" s="151">
        <v>39387</v>
      </c>
      <c r="C181" s="147">
        <f t="shared" si="4"/>
        <v>11</v>
      </c>
      <c r="D181" s="147"/>
      <c r="E181" s="153">
        <v>37</v>
      </c>
      <c r="F181" s="153">
        <v>0.02</v>
      </c>
    </row>
    <row r="182" spans="2:7" ht="16" hidden="1">
      <c r="B182" s="151">
        <v>39417</v>
      </c>
      <c r="C182" s="147">
        <f t="shared" si="4"/>
        <v>12</v>
      </c>
      <c r="D182" s="147"/>
      <c r="E182" s="152">
        <v>21</v>
      </c>
      <c r="F182" s="152">
        <v>0.41</v>
      </c>
    </row>
    <row r="183" spans="2:7" ht="16" hidden="1">
      <c r="B183" s="151">
        <v>39448</v>
      </c>
      <c r="C183" s="147">
        <f t="shared" si="4"/>
        <v>1</v>
      </c>
      <c r="D183" s="147"/>
      <c r="E183" s="153">
        <v>19</v>
      </c>
      <c r="F183" s="153">
        <v>0.26</v>
      </c>
    </row>
    <row r="184" spans="2:7" ht="16" hidden="1">
      <c r="B184" s="151">
        <v>39479</v>
      </c>
      <c r="C184" s="147">
        <f t="shared" si="4"/>
        <v>2</v>
      </c>
      <c r="D184" s="147"/>
      <c r="E184" s="152">
        <v>23</v>
      </c>
      <c r="F184" s="152">
        <v>0.47</v>
      </c>
    </row>
    <row r="185" spans="2:7" ht="16" hidden="1">
      <c r="B185" s="151">
        <v>39508</v>
      </c>
      <c r="C185" s="147">
        <f t="shared" si="4"/>
        <v>3</v>
      </c>
      <c r="D185" s="147"/>
      <c r="E185" s="153">
        <v>35</v>
      </c>
      <c r="F185" s="153">
        <v>0.59</v>
      </c>
    </row>
    <row r="186" spans="2:7" ht="16" hidden="1">
      <c r="B186" s="151">
        <v>39539</v>
      </c>
      <c r="C186" s="147">
        <f t="shared" si="4"/>
        <v>4</v>
      </c>
      <c r="D186" s="147"/>
      <c r="E186" s="152">
        <v>43</v>
      </c>
      <c r="F186" s="152">
        <v>1.38</v>
      </c>
    </row>
    <row r="187" spans="2:7" ht="16" hidden="1">
      <c r="B187" s="151">
        <v>39569</v>
      </c>
      <c r="C187" s="147">
        <f t="shared" si="4"/>
        <v>5</v>
      </c>
      <c r="D187" s="147"/>
      <c r="E187" s="153">
        <v>53</v>
      </c>
      <c r="F187" s="153">
        <v>5.55</v>
      </c>
    </row>
    <row r="188" spans="2:7" ht="16">
      <c r="B188" s="151">
        <v>39600</v>
      </c>
      <c r="C188" s="147">
        <f t="shared" si="4"/>
        <v>6</v>
      </c>
      <c r="D188" s="147">
        <f>YEAR(B188)</f>
        <v>2008</v>
      </c>
      <c r="E188" s="152">
        <v>65</v>
      </c>
      <c r="F188" s="152">
        <v>3.84</v>
      </c>
      <c r="G188">
        <v>12.09</v>
      </c>
    </row>
    <row r="189" spans="2:7" ht="16" hidden="1">
      <c r="B189" s="151">
        <v>39630</v>
      </c>
      <c r="C189" s="147">
        <f t="shared" si="4"/>
        <v>7</v>
      </c>
      <c r="D189" s="147"/>
      <c r="E189" s="153">
        <v>75</v>
      </c>
      <c r="F189" s="153">
        <v>3.93</v>
      </c>
    </row>
    <row r="190" spans="2:7" ht="16" hidden="1">
      <c r="B190" s="151">
        <v>39661</v>
      </c>
      <c r="C190" s="147">
        <f t="shared" si="4"/>
        <v>8</v>
      </c>
      <c r="D190" s="147"/>
      <c r="E190" s="152">
        <v>74</v>
      </c>
      <c r="F190" s="152">
        <v>1.87</v>
      </c>
    </row>
    <row r="191" spans="2:7" ht="16" hidden="1">
      <c r="B191" s="151">
        <v>39692</v>
      </c>
      <c r="C191" s="147">
        <f t="shared" si="4"/>
        <v>9</v>
      </c>
      <c r="D191" s="147"/>
      <c r="E191" s="153">
        <v>62</v>
      </c>
      <c r="F191" s="153">
        <v>0.57999999999999996</v>
      </c>
    </row>
    <row r="192" spans="2:7" ht="16" hidden="1">
      <c r="B192" s="151">
        <v>39722</v>
      </c>
      <c r="C192" s="147">
        <f t="shared" si="4"/>
        <v>10</v>
      </c>
      <c r="D192" s="147"/>
      <c r="E192" s="152">
        <v>48</v>
      </c>
      <c r="F192" s="152">
        <v>1.1399999999999999</v>
      </c>
    </row>
    <row r="193" spans="2:7" ht="16" hidden="1">
      <c r="B193" s="151">
        <v>39753</v>
      </c>
      <c r="C193" s="147">
        <f t="shared" si="4"/>
        <v>11</v>
      </c>
      <c r="D193" s="147"/>
      <c r="E193" s="153">
        <v>36</v>
      </c>
      <c r="F193" s="153">
        <v>2.0499999999999998</v>
      </c>
    </row>
    <row r="194" spans="2:7" ht="16" hidden="1">
      <c r="B194" s="151">
        <v>39783</v>
      </c>
      <c r="C194" s="147">
        <f t="shared" si="4"/>
        <v>12</v>
      </c>
      <c r="D194" s="147"/>
      <c r="E194" s="152">
        <v>18</v>
      </c>
      <c r="F194" s="152">
        <v>0.82</v>
      </c>
    </row>
    <row r="195" spans="2:7" ht="16" hidden="1">
      <c r="B195" s="151">
        <v>39814</v>
      </c>
      <c r="C195" s="147">
        <f t="shared" si="4"/>
        <v>1</v>
      </c>
      <c r="D195" s="147"/>
      <c r="E195" s="153">
        <v>22</v>
      </c>
      <c r="F195" s="153">
        <v>0.38</v>
      </c>
    </row>
    <row r="196" spans="2:7" ht="16" hidden="1">
      <c r="B196" s="151">
        <v>39845</v>
      </c>
      <c r="C196" s="147">
        <f t="shared" si="4"/>
        <v>2</v>
      </c>
      <c r="D196" s="147"/>
      <c r="E196" s="152">
        <v>29</v>
      </c>
      <c r="F196" s="152">
        <v>1.17</v>
      </c>
    </row>
    <row r="197" spans="2:7" ht="16" hidden="1">
      <c r="B197" s="151">
        <v>39873</v>
      </c>
      <c r="C197" s="147">
        <f t="shared" si="4"/>
        <v>3</v>
      </c>
      <c r="D197" s="147"/>
      <c r="E197" s="153">
        <v>32</v>
      </c>
      <c r="F197" s="153">
        <v>1.63</v>
      </c>
    </row>
    <row r="198" spans="2:7" ht="16" hidden="1">
      <c r="B198" s="151">
        <v>39904</v>
      </c>
      <c r="C198" s="147">
        <f t="shared" si="4"/>
        <v>4</v>
      </c>
      <c r="D198" s="147"/>
      <c r="E198" s="152">
        <v>42</v>
      </c>
      <c r="F198" s="152">
        <v>2.08</v>
      </c>
    </row>
    <row r="199" spans="2:7" ht="16" hidden="1">
      <c r="B199" s="151">
        <v>39934</v>
      </c>
      <c r="C199" s="147">
        <f t="shared" si="4"/>
        <v>5</v>
      </c>
      <c r="D199" s="147"/>
      <c r="E199" s="153">
        <v>57</v>
      </c>
      <c r="F199" s="153">
        <v>0.31</v>
      </c>
    </row>
    <row r="200" spans="2:7" ht="16">
      <c r="B200" s="151">
        <v>39965</v>
      </c>
      <c r="C200" s="147">
        <f t="shared" si="4"/>
        <v>6</v>
      </c>
      <c r="D200" s="147">
        <f>YEAR(B200)</f>
        <v>2009</v>
      </c>
      <c r="E200" s="152">
        <v>64</v>
      </c>
      <c r="F200" s="152">
        <v>2.13</v>
      </c>
      <c r="G200">
        <v>7.7</v>
      </c>
    </row>
    <row r="201" spans="2:7" ht="16" hidden="1">
      <c r="B201" s="151">
        <v>39995</v>
      </c>
      <c r="C201" s="147">
        <f t="shared" ref="C201:C225" si="5">MONTH(B201)</f>
        <v>7</v>
      </c>
      <c r="D201" s="147"/>
      <c r="E201" s="153">
        <v>71</v>
      </c>
      <c r="F201" s="153">
        <v>2.88</v>
      </c>
    </row>
    <row r="202" spans="2:7" ht="16" hidden="1">
      <c r="B202" s="151">
        <v>40026</v>
      </c>
      <c r="C202" s="147">
        <f t="shared" si="5"/>
        <v>8</v>
      </c>
      <c r="D202" s="147"/>
      <c r="E202" s="152">
        <v>70</v>
      </c>
      <c r="F202" s="152">
        <v>1.18</v>
      </c>
    </row>
    <row r="203" spans="2:7" ht="16" hidden="1">
      <c r="B203" s="151">
        <v>40057</v>
      </c>
      <c r="C203" s="147">
        <f t="shared" si="5"/>
        <v>9</v>
      </c>
      <c r="D203" s="147"/>
      <c r="E203" s="153">
        <v>65</v>
      </c>
      <c r="F203" s="153">
        <v>0.31</v>
      </c>
    </row>
    <row r="204" spans="2:7" ht="16" hidden="1">
      <c r="B204" s="151">
        <v>40087</v>
      </c>
      <c r="C204" s="147">
        <f t="shared" si="5"/>
        <v>10</v>
      </c>
      <c r="D204" s="147"/>
      <c r="E204" s="152">
        <v>40</v>
      </c>
      <c r="F204" s="152">
        <v>3.89</v>
      </c>
    </row>
    <row r="205" spans="2:7" ht="16" hidden="1">
      <c r="B205" s="151">
        <v>40118</v>
      </c>
      <c r="C205" s="147">
        <f t="shared" si="5"/>
        <v>11</v>
      </c>
      <c r="D205" s="147"/>
      <c r="E205" s="153">
        <v>40</v>
      </c>
      <c r="F205" s="153">
        <v>0.15</v>
      </c>
    </row>
    <row r="206" spans="2:7" ht="16" hidden="1">
      <c r="B206" s="151">
        <v>40148</v>
      </c>
      <c r="C206" s="147">
        <f t="shared" si="5"/>
        <v>12</v>
      </c>
      <c r="D206" s="147"/>
      <c r="E206" s="152">
        <v>15</v>
      </c>
      <c r="F206" s="152">
        <v>1.02</v>
      </c>
    </row>
    <row r="207" spans="2:7" ht="16" hidden="1">
      <c r="B207" s="151">
        <v>40179</v>
      </c>
      <c r="C207" s="147">
        <f t="shared" si="5"/>
        <v>1</v>
      </c>
      <c r="D207" s="147"/>
      <c r="E207" s="153">
        <v>18</v>
      </c>
      <c r="F207" s="153">
        <v>0.31</v>
      </c>
    </row>
    <row r="208" spans="2:7" ht="16" hidden="1">
      <c r="B208" s="151">
        <v>40210</v>
      </c>
      <c r="C208" s="147">
        <f t="shared" si="5"/>
        <v>2</v>
      </c>
      <c r="D208" s="147"/>
      <c r="E208" s="152">
        <v>16</v>
      </c>
      <c r="F208" s="152">
        <v>0.4</v>
      </c>
    </row>
    <row r="209" spans="2:7" ht="16" hidden="1">
      <c r="B209" s="151">
        <v>40238</v>
      </c>
      <c r="C209" s="147">
        <f t="shared" si="5"/>
        <v>3</v>
      </c>
      <c r="D209" s="147"/>
      <c r="E209" s="153">
        <v>34</v>
      </c>
      <c r="F209" s="153">
        <v>1.08</v>
      </c>
    </row>
    <row r="210" spans="2:7" ht="16" hidden="1">
      <c r="B210" s="151">
        <v>40269</v>
      </c>
      <c r="C210" s="147">
        <f t="shared" si="5"/>
        <v>4</v>
      </c>
      <c r="D210" s="147"/>
      <c r="E210" s="152"/>
      <c r="F210" s="152"/>
    </row>
    <row r="211" spans="2:7" ht="16" hidden="1">
      <c r="B211" s="151">
        <v>40299</v>
      </c>
      <c r="C211" s="147">
        <f t="shared" si="5"/>
        <v>5</v>
      </c>
      <c r="D211" s="147"/>
      <c r="E211" s="153">
        <v>54</v>
      </c>
      <c r="F211" s="153">
        <v>2.81</v>
      </c>
    </row>
    <row r="212" spans="2:7" ht="16">
      <c r="B212" s="151">
        <v>40330</v>
      </c>
      <c r="C212" s="147">
        <f t="shared" si="5"/>
        <v>6</v>
      </c>
      <c r="D212" s="147">
        <f>YEAR(B212)</f>
        <v>2010</v>
      </c>
      <c r="E212" s="152">
        <v>67</v>
      </c>
      <c r="F212" s="152">
        <v>3.99</v>
      </c>
      <c r="G212">
        <v>8.59</v>
      </c>
    </row>
    <row r="213" spans="2:7" ht="16" hidden="1">
      <c r="B213" s="151">
        <v>40360</v>
      </c>
      <c r="C213" s="147">
        <f t="shared" si="5"/>
        <v>7</v>
      </c>
      <c r="D213" s="147"/>
      <c r="E213" s="153">
        <v>74</v>
      </c>
      <c r="F213" s="153">
        <v>4.01</v>
      </c>
    </row>
    <row r="214" spans="2:7" ht="16" hidden="1">
      <c r="B214" s="151">
        <v>40391</v>
      </c>
      <c r="C214" s="147">
        <f t="shared" si="5"/>
        <v>8</v>
      </c>
      <c r="D214" s="147"/>
      <c r="E214" s="152">
        <v>76</v>
      </c>
      <c r="F214" s="152">
        <v>1.08</v>
      </c>
    </row>
    <row r="215" spans="2:7" ht="16" hidden="1">
      <c r="B215" s="151">
        <v>40422</v>
      </c>
      <c r="C215" s="147">
        <f t="shared" si="5"/>
        <v>9</v>
      </c>
      <c r="D215" s="147"/>
      <c r="E215" s="153">
        <v>61</v>
      </c>
      <c r="F215" s="153">
        <v>1.18</v>
      </c>
    </row>
    <row r="216" spans="2:7" ht="16" hidden="1">
      <c r="B216" s="151">
        <v>40452</v>
      </c>
      <c r="C216" s="147">
        <f t="shared" si="5"/>
        <v>10</v>
      </c>
      <c r="D216" s="147"/>
      <c r="E216" s="152">
        <v>53</v>
      </c>
      <c r="F216" s="152">
        <v>1.29</v>
      </c>
    </row>
    <row r="217" spans="2:7" ht="16" hidden="1">
      <c r="B217" s="151">
        <v>40483</v>
      </c>
      <c r="C217" s="147">
        <f t="shared" si="5"/>
        <v>11</v>
      </c>
      <c r="D217" s="147"/>
      <c r="E217" s="153">
        <v>32</v>
      </c>
      <c r="F217" s="153">
        <v>0.59</v>
      </c>
    </row>
    <row r="218" spans="2:7" ht="16" hidden="1">
      <c r="B218" s="151">
        <v>40513</v>
      </c>
      <c r="C218" s="147">
        <f t="shared" si="5"/>
        <v>12</v>
      </c>
      <c r="D218" s="147"/>
      <c r="E218" s="152">
        <v>19</v>
      </c>
      <c r="F218" s="152">
        <v>0.47</v>
      </c>
    </row>
    <row r="219" spans="2:7" ht="16" hidden="1">
      <c r="B219" s="151">
        <v>40544</v>
      </c>
      <c r="C219" s="147">
        <f t="shared" si="5"/>
        <v>1</v>
      </c>
      <c r="D219" s="147"/>
      <c r="E219" s="153">
        <v>18</v>
      </c>
      <c r="F219" s="153">
        <v>0.44</v>
      </c>
    </row>
    <row r="220" spans="2:7" ht="16" hidden="1">
      <c r="B220" s="151">
        <v>40575</v>
      </c>
      <c r="C220" s="147">
        <f t="shared" si="5"/>
        <v>2</v>
      </c>
      <c r="D220" s="147"/>
      <c r="E220" s="152">
        <v>18</v>
      </c>
      <c r="F220" s="152"/>
    </row>
    <row r="221" spans="2:7" ht="16" hidden="1">
      <c r="B221" s="151">
        <v>40603</v>
      </c>
      <c r="C221" s="147">
        <f t="shared" si="5"/>
        <v>3</v>
      </c>
      <c r="D221" s="147"/>
      <c r="E221" s="153">
        <v>29</v>
      </c>
      <c r="F221" s="153">
        <v>0.44</v>
      </c>
    </row>
    <row r="222" spans="2:7" ht="16" hidden="1">
      <c r="B222" s="151">
        <v>40634</v>
      </c>
      <c r="C222" s="147">
        <f t="shared" si="5"/>
        <v>4</v>
      </c>
      <c r="D222" s="147"/>
      <c r="E222" s="152">
        <v>44</v>
      </c>
      <c r="F222" s="152">
        <v>1.77</v>
      </c>
    </row>
    <row r="223" spans="2:7" ht="16" hidden="1">
      <c r="B223" s="151">
        <v>40664</v>
      </c>
      <c r="C223" s="147">
        <f t="shared" si="5"/>
        <v>5</v>
      </c>
      <c r="D223" s="147"/>
      <c r="E223" s="153">
        <v>52</v>
      </c>
      <c r="F223" s="153">
        <v>5.09</v>
      </c>
    </row>
    <row r="224" spans="2:7" ht="16">
      <c r="B224" s="151">
        <v>40695</v>
      </c>
      <c r="C224" s="147">
        <f t="shared" si="5"/>
        <v>6</v>
      </c>
      <c r="D224" s="147">
        <f>YEAR(B224)</f>
        <v>2011</v>
      </c>
      <c r="E224" s="152">
        <v>65</v>
      </c>
      <c r="F224" s="152">
        <v>4.12</v>
      </c>
      <c r="G224">
        <v>11.86</v>
      </c>
    </row>
    <row r="225" spans="2:20" ht="16" hidden="1">
      <c r="B225" s="154">
        <v>40909</v>
      </c>
      <c r="C225" s="147">
        <f t="shared" si="5"/>
        <v>1</v>
      </c>
      <c r="F225">
        <v>0.3</v>
      </c>
      <c r="Q225">
        <v>6</v>
      </c>
      <c r="R225">
        <v>2012</v>
      </c>
      <c r="S225" s="152">
        <v>72</v>
      </c>
      <c r="T225">
        <v>4.12</v>
      </c>
    </row>
    <row r="226" spans="2:20" ht="16" hidden="1">
      <c r="B226" s="154">
        <v>40940</v>
      </c>
      <c r="F226">
        <v>0.28000000000000003</v>
      </c>
      <c r="Q226">
        <v>6</v>
      </c>
      <c r="R226">
        <v>2013</v>
      </c>
      <c r="S226" s="152">
        <v>66</v>
      </c>
      <c r="T226">
        <v>1.51</v>
      </c>
    </row>
    <row r="227" spans="2:20" hidden="1">
      <c r="B227" s="154">
        <v>40969</v>
      </c>
      <c r="F227">
        <v>0.19</v>
      </c>
    </row>
    <row r="228" spans="2:20" hidden="1">
      <c r="B228" s="154">
        <v>41000</v>
      </c>
      <c r="F228">
        <v>1.62</v>
      </c>
    </row>
    <row r="229" spans="2:20" hidden="1">
      <c r="B229" s="154">
        <v>41030</v>
      </c>
      <c r="F229">
        <v>1.62</v>
      </c>
    </row>
    <row r="230" spans="2:20" ht="16">
      <c r="B230" s="154">
        <v>41061</v>
      </c>
      <c r="C230" s="147">
        <f>MONTH(B230)</f>
        <v>6</v>
      </c>
      <c r="D230" s="147">
        <f>YEAR(B230)</f>
        <v>2012</v>
      </c>
      <c r="E230" s="152">
        <v>72.3</v>
      </c>
      <c r="F230" s="152">
        <v>3.9</v>
      </c>
      <c r="G230">
        <v>7.91</v>
      </c>
    </row>
    <row r="231" spans="2:20" hidden="1">
      <c r="F231">
        <v>0.02</v>
      </c>
    </row>
    <row r="232" spans="2:20" ht="16" hidden="1">
      <c r="F232">
        <v>0.01</v>
      </c>
      <c r="K232" s="154">
        <v>41061</v>
      </c>
      <c r="L232" s="147">
        <f>MONTH(K232)</f>
        <v>6</v>
      </c>
      <c r="M232" s="147">
        <f>YEAR(K232)</f>
        <v>2012</v>
      </c>
      <c r="N232" s="152">
        <v>72.3</v>
      </c>
      <c r="O232" s="152">
        <v>3.9</v>
      </c>
    </row>
    <row r="233" spans="2:20" ht="16" hidden="1">
      <c r="F233">
        <v>0.14000000000000001</v>
      </c>
      <c r="K233" s="154">
        <v>41426</v>
      </c>
      <c r="L233" s="147">
        <f>MONTH(K233)</f>
        <v>6</v>
      </c>
      <c r="M233" s="147">
        <f>YEAR(K233)</f>
        <v>2013</v>
      </c>
      <c r="N233" s="152">
        <v>66.2</v>
      </c>
      <c r="O233" s="152">
        <v>1.51</v>
      </c>
    </row>
    <row r="234" spans="2:20" hidden="1">
      <c r="F234">
        <v>1.1299999999999999</v>
      </c>
    </row>
    <row r="235" spans="2:20" ht="16">
      <c r="B235" s="154">
        <v>41426</v>
      </c>
      <c r="C235" s="147">
        <f>MONTH(B235)</f>
        <v>6</v>
      </c>
      <c r="D235" s="147">
        <f>YEAR(B235)</f>
        <v>2013</v>
      </c>
      <c r="E235" s="152">
        <v>66.2</v>
      </c>
      <c r="F235">
        <v>1.51</v>
      </c>
      <c r="G235">
        <v>2.81</v>
      </c>
    </row>
    <row r="248" spans="9:15">
      <c r="I248" t="s">
        <v>148</v>
      </c>
      <c r="J248" t="s">
        <v>147</v>
      </c>
      <c r="K248" t="s">
        <v>1</v>
      </c>
      <c r="L248" t="s">
        <v>149</v>
      </c>
      <c r="M248" t="s">
        <v>150</v>
      </c>
      <c r="N248" t="s">
        <v>151</v>
      </c>
      <c r="O248" t="s">
        <v>152</v>
      </c>
    </row>
    <row r="249" spans="9:15" ht="16">
      <c r="I249" s="151">
        <v>34121</v>
      </c>
      <c r="J249" s="147">
        <f t="shared" ref="J249:J267" si="6">MONTH(I249)</f>
        <v>6</v>
      </c>
      <c r="K249" s="147">
        <f t="shared" ref="K249" si="7">YEAR(I249)</f>
        <v>1993</v>
      </c>
      <c r="L249" s="152">
        <v>62</v>
      </c>
      <c r="M249" s="152">
        <v>4.72</v>
      </c>
      <c r="N249">
        <v>10.99</v>
      </c>
      <c r="O249" s="140">
        <v>390.7</v>
      </c>
    </row>
    <row r="250" spans="9:15" ht="16">
      <c r="I250" s="151">
        <v>34486</v>
      </c>
      <c r="J250" s="147">
        <f t="shared" si="6"/>
        <v>6</v>
      </c>
      <c r="K250" s="147">
        <f t="shared" ref="K250:K269" si="8">YEAR(I250)</f>
        <v>1994</v>
      </c>
      <c r="L250" s="152">
        <v>68</v>
      </c>
      <c r="M250" s="152">
        <v>1.92</v>
      </c>
      <c r="N250">
        <v>5.71</v>
      </c>
      <c r="O250" s="140">
        <v>270.3</v>
      </c>
    </row>
    <row r="251" spans="9:15" ht="16">
      <c r="I251" s="151">
        <v>34851</v>
      </c>
      <c r="J251" s="147">
        <f t="shared" si="6"/>
        <v>6</v>
      </c>
      <c r="K251" s="147">
        <f t="shared" si="8"/>
        <v>1995</v>
      </c>
      <c r="L251" s="152">
        <v>64</v>
      </c>
      <c r="M251" s="152">
        <v>2.69</v>
      </c>
      <c r="N251">
        <v>12.2</v>
      </c>
      <c r="O251" s="140">
        <v>306.10000000000002</v>
      </c>
    </row>
    <row r="252" spans="9:15" ht="16">
      <c r="I252" s="151">
        <v>35217</v>
      </c>
      <c r="J252" s="147">
        <f t="shared" si="6"/>
        <v>6</v>
      </c>
      <c r="K252" s="147">
        <f t="shared" si="8"/>
        <v>1996</v>
      </c>
      <c r="L252" s="152">
        <v>68</v>
      </c>
      <c r="M252" s="152">
        <v>1.1499999999999999</v>
      </c>
      <c r="N252">
        <v>9.3699999999999992</v>
      </c>
      <c r="O252" s="140">
        <v>280.60000000000002</v>
      </c>
    </row>
    <row r="253" spans="9:15" ht="16">
      <c r="I253" s="151">
        <v>35582</v>
      </c>
      <c r="J253" s="147">
        <f t="shared" si="6"/>
        <v>6</v>
      </c>
      <c r="K253" s="147">
        <f t="shared" si="8"/>
        <v>1997</v>
      </c>
      <c r="L253" s="152">
        <v>68</v>
      </c>
      <c r="M253" s="152">
        <v>6.32</v>
      </c>
      <c r="N253">
        <v>14.85</v>
      </c>
      <c r="O253" s="140">
        <v>612.1</v>
      </c>
    </row>
    <row r="254" spans="9:15" ht="16">
      <c r="I254" s="151">
        <v>35947</v>
      </c>
      <c r="J254" s="147">
        <f t="shared" si="6"/>
        <v>6</v>
      </c>
      <c r="K254" s="147">
        <f t="shared" si="8"/>
        <v>1998</v>
      </c>
      <c r="L254" s="152">
        <v>61</v>
      </c>
      <c r="M254" s="152">
        <v>3.42</v>
      </c>
      <c r="N254">
        <v>10.3</v>
      </c>
      <c r="O254" s="140">
        <v>308.5</v>
      </c>
    </row>
    <row r="255" spans="9:15" ht="16">
      <c r="I255" s="151">
        <v>36312</v>
      </c>
      <c r="J255" s="147">
        <f t="shared" si="6"/>
        <v>6</v>
      </c>
      <c r="K255" s="147">
        <f t="shared" si="8"/>
        <v>1999</v>
      </c>
      <c r="L255" s="152">
        <v>66</v>
      </c>
      <c r="M255" s="152">
        <v>4.05</v>
      </c>
      <c r="N255">
        <v>10.48</v>
      </c>
      <c r="O255" s="140">
        <v>454.4</v>
      </c>
    </row>
    <row r="256" spans="9:15" ht="16">
      <c r="I256" s="151">
        <v>36678</v>
      </c>
      <c r="J256" s="147">
        <f t="shared" si="6"/>
        <v>6</v>
      </c>
      <c r="K256" s="147">
        <f t="shared" si="8"/>
        <v>2000</v>
      </c>
      <c r="L256" s="152">
        <v>65</v>
      </c>
      <c r="M256" s="152">
        <v>2.1</v>
      </c>
      <c r="N256">
        <v>9.27</v>
      </c>
      <c r="O256" s="140">
        <v>306.2</v>
      </c>
    </row>
    <row r="257" spans="9:15" ht="16">
      <c r="I257" s="151">
        <v>37043</v>
      </c>
      <c r="J257" s="147">
        <f t="shared" si="6"/>
        <v>6</v>
      </c>
      <c r="K257" s="147">
        <f t="shared" si="8"/>
        <v>2001</v>
      </c>
      <c r="L257" s="152">
        <v>66</v>
      </c>
      <c r="M257" s="152">
        <v>2.21</v>
      </c>
      <c r="N257">
        <v>9.02</v>
      </c>
      <c r="O257" s="140">
        <v>228.6</v>
      </c>
    </row>
    <row r="258" spans="9:15" ht="16">
      <c r="I258" s="151">
        <v>37408</v>
      </c>
      <c r="J258" s="147">
        <f t="shared" si="6"/>
        <v>6</v>
      </c>
      <c r="K258" s="147">
        <f t="shared" si="8"/>
        <v>2002</v>
      </c>
      <c r="L258" s="152">
        <v>71</v>
      </c>
      <c r="M258" s="152">
        <v>0.35</v>
      </c>
      <c r="N258">
        <v>5.0599999999999996</v>
      </c>
      <c r="O258" s="140">
        <v>112.2</v>
      </c>
    </row>
    <row r="259" spans="9:15" ht="16">
      <c r="I259" s="151">
        <v>37773</v>
      </c>
      <c r="J259" s="147">
        <f t="shared" si="6"/>
        <v>6</v>
      </c>
      <c r="K259" s="147">
        <f t="shared" si="8"/>
        <v>2003</v>
      </c>
      <c r="L259" s="152">
        <v>64</v>
      </c>
      <c r="M259" s="152">
        <v>2.0099999999999998</v>
      </c>
      <c r="N259">
        <v>8.0500000000000007</v>
      </c>
      <c r="O259" s="140">
        <v>140.5</v>
      </c>
    </row>
    <row r="260" spans="9:15" ht="16">
      <c r="I260" s="151">
        <v>38139</v>
      </c>
      <c r="J260" s="147">
        <f t="shared" si="6"/>
        <v>6</v>
      </c>
      <c r="K260" s="147">
        <f t="shared" si="8"/>
        <v>2004</v>
      </c>
      <c r="L260" s="152">
        <v>62</v>
      </c>
      <c r="M260" s="152">
        <v>1.88</v>
      </c>
      <c r="N260">
        <v>5.44</v>
      </c>
      <c r="O260" s="140">
        <v>114.8</v>
      </c>
    </row>
    <row r="261" spans="9:15" ht="16">
      <c r="I261" s="151">
        <v>38504</v>
      </c>
      <c r="J261" s="147">
        <f t="shared" si="6"/>
        <v>6</v>
      </c>
      <c r="K261" s="147">
        <f t="shared" si="8"/>
        <v>2005</v>
      </c>
      <c r="L261" s="152">
        <v>69</v>
      </c>
      <c r="M261" s="152">
        <v>2.52</v>
      </c>
      <c r="N261">
        <v>11.41</v>
      </c>
      <c r="O261" s="140">
        <v>213.6</v>
      </c>
    </row>
    <row r="262" spans="9:15" ht="16">
      <c r="I262" s="151">
        <v>38869</v>
      </c>
      <c r="J262" s="147">
        <f t="shared" si="6"/>
        <v>6</v>
      </c>
      <c r="K262" s="147">
        <f t="shared" si="8"/>
        <v>2006</v>
      </c>
      <c r="L262" s="152">
        <v>71</v>
      </c>
      <c r="M262" s="152">
        <v>0.93</v>
      </c>
      <c r="N262">
        <v>5.97</v>
      </c>
      <c r="O262" s="140">
        <v>122.4</v>
      </c>
    </row>
    <row r="263" spans="9:15" ht="16">
      <c r="I263" s="151">
        <v>39234</v>
      </c>
      <c r="J263" s="147">
        <f t="shared" si="6"/>
        <v>6</v>
      </c>
      <c r="K263" s="147">
        <f t="shared" si="8"/>
        <v>2007</v>
      </c>
      <c r="L263" s="152">
        <v>70</v>
      </c>
      <c r="M263" s="152">
        <v>1.59</v>
      </c>
      <c r="N263">
        <v>7.31</v>
      </c>
      <c r="O263" s="140">
        <v>113.7</v>
      </c>
    </row>
    <row r="264" spans="9:15" ht="16">
      <c r="I264" s="151">
        <v>39600</v>
      </c>
      <c r="J264" s="147">
        <f t="shared" si="6"/>
        <v>6</v>
      </c>
      <c r="K264" s="147">
        <f t="shared" si="8"/>
        <v>2008</v>
      </c>
      <c r="L264" s="152">
        <v>65</v>
      </c>
      <c r="M264" s="152">
        <v>3.84</v>
      </c>
      <c r="N264">
        <v>12.09</v>
      </c>
      <c r="O264" s="140">
        <v>246.5</v>
      </c>
    </row>
    <row r="265" spans="9:15" ht="16">
      <c r="I265" s="151">
        <v>39965</v>
      </c>
      <c r="J265" s="147">
        <f t="shared" si="6"/>
        <v>6</v>
      </c>
      <c r="K265" s="147">
        <f t="shared" si="8"/>
        <v>2009</v>
      </c>
      <c r="L265" s="152">
        <v>64</v>
      </c>
      <c r="M265" s="152">
        <v>2.13</v>
      </c>
      <c r="N265">
        <v>7.7</v>
      </c>
      <c r="O265" s="140">
        <v>290.10000000000002</v>
      </c>
    </row>
    <row r="266" spans="9:15" ht="16">
      <c r="I266" s="151">
        <v>40330</v>
      </c>
      <c r="J266" s="147">
        <f t="shared" si="6"/>
        <v>6</v>
      </c>
      <c r="K266" s="147">
        <f t="shared" si="8"/>
        <v>2010</v>
      </c>
      <c r="L266" s="152">
        <v>67</v>
      </c>
      <c r="M266" s="152">
        <v>3.99</v>
      </c>
      <c r="N266">
        <v>8.59</v>
      </c>
      <c r="O266" s="140">
        <v>389.9</v>
      </c>
    </row>
    <row r="267" spans="9:15" ht="16">
      <c r="I267" s="151">
        <v>40695</v>
      </c>
      <c r="J267" s="147">
        <f t="shared" si="6"/>
        <v>6</v>
      </c>
      <c r="K267" s="147">
        <f t="shared" si="8"/>
        <v>2011</v>
      </c>
      <c r="L267" s="152">
        <v>65</v>
      </c>
      <c r="M267" s="152">
        <v>4.12</v>
      </c>
      <c r="N267">
        <v>11.86</v>
      </c>
      <c r="O267" s="140">
        <v>485.6</v>
      </c>
    </row>
    <row r="268" spans="9:15" ht="16">
      <c r="I268" s="154">
        <v>41061</v>
      </c>
      <c r="J268" s="147">
        <f>MONTH(I268)</f>
        <v>6</v>
      </c>
      <c r="K268" s="147">
        <f t="shared" si="8"/>
        <v>2012</v>
      </c>
      <c r="L268" s="152">
        <v>72.3</v>
      </c>
      <c r="M268" s="152">
        <v>3.9</v>
      </c>
      <c r="N268">
        <v>7.91</v>
      </c>
      <c r="O268" s="140">
        <v>112</v>
      </c>
    </row>
    <row r="269" spans="9:15" ht="16">
      <c r="I269" s="154">
        <v>41426</v>
      </c>
      <c r="J269" s="147">
        <f>MONTH(I269)</f>
        <v>6</v>
      </c>
      <c r="K269" s="147">
        <f t="shared" si="8"/>
        <v>2013</v>
      </c>
      <c r="L269" s="152">
        <v>66.2</v>
      </c>
      <c r="M269">
        <v>1.51</v>
      </c>
      <c r="N269">
        <v>2.81</v>
      </c>
      <c r="O269" s="140">
        <v>220</v>
      </c>
    </row>
  </sheetData>
  <autoFilter ref="B2:G235">
    <filterColumn colId="1">
      <filters>
        <filter val="6.00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topLeftCell="F1" workbookViewId="0">
      <selection activeCell="K22" sqref="K22"/>
    </sheetView>
  </sheetViews>
  <sheetFormatPr baseColWidth="10" defaultRowHeight="15" x14ac:dyDescent="0"/>
  <cols>
    <col min="1" max="1" width="15" customWidth="1"/>
  </cols>
  <sheetData>
    <row r="2" spans="1:18">
      <c r="A2" t="s">
        <v>128</v>
      </c>
    </row>
    <row r="3" spans="1:18">
      <c r="A3" t="s">
        <v>119</v>
      </c>
    </row>
    <row r="4" spans="1:18">
      <c r="A4" t="s">
        <v>120</v>
      </c>
    </row>
    <row r="5" spans="1:18">
      <c r="A5" t="s">
        <v>117</v>
      </c>
    </row>
    <row r="6" spans="1:18">
      <c r="A6" t="s">
        <v>34</v>
      </c>
    </row>
    <row r="7" spans="1:18">
      <c r="A7" t="s">
        <v>35</v>
      </c>
    </row>
    <row r="8" spans="1:18">
      <c r="A8" t="s">
        <v>113</v>
      </c>
    </row>
    <row r="9" spans="1:18">
      <c r="A9" t="s">
        <v>125</v>
      </c>
    </row>
    <row r="10" spans="1:18">
      <c r="A10" t="s">
        <v>124</v>
      </c>
      <c r="H10" s="157" t="s">
        <v>163</v>
      </c>
      <c r="I10" s="157" t="s">
        <v>163</v>
      </c>
      <c r="J10" s="157" t="s">
        <v>163</v>
      </c>
      <c r="K10" s="157" t="s">
        <v>163</v>
      </c>
      <c r="L10" s="157" t="s">
        <v>163</v>
      </c>
      <c r="M10" s="157" t="s">
        <v>163</v>
      </c>
      <c r="N10" s="157" t="s">
        <v>163</v>
      </c>
      <c r="O10" s="157" t="s">
        <v>163</v>
      </c>
      <c r="P10" s="157" t="s">
        <v>163</v>
      </c>
      <c r="Q10" s="157" t="s">
        <v>163</v>
      </c>
      <c r="R10" s="157" t="s">
        <v>163</v>
      </c>
    </row>
    <row r="11" spans="1:18">
      <c r="A11" t="s">
        <v>121</v>
      </c>
      <c r="H11" s="158"/>
      <c r="I11" s="158">
        <v>34303</v>
      </c>
      <c r="J11" s="158">
        <v>34499</v>
      </c>
      <c r="K11" s="158"/>
      <c r="L11" s="158">
        <v>34843</v>
      </c>
      <c r="M11" s="158">
        <v>34983</v>
      </c>
      <c r="N11" s="158">
        <v>35214</v>
      </c>
      <c r="O11" s="158">
        <v>35328</v>
      </c>
      <c r="P11" s="158">
        <v>35600</v>
      </c>
      <c r="Q11" s="158">
        <v>35713</v>
      </c>
      <c r="R11" s="158">
        <v>34150</v>
      </c>
    </row>
    <row r="12" spans="1:18">
      <c r="A12" t="s">
        <v>122</v>
      </c>
      <c r="H12" s="157">
        <v>0.28999999999999998</v>
      </c>
      <c r="I12" s="159">
        <v>0.21</v>
      </c>
      <c r="J12" s="159">
        <v>0.1</v>
      </c>
      <c r="K12" s="159">
        <v>0.1</v>
      </c>
      <c r="L12" s="159">
        <v>0.12</v>
      </c>
      <c r="M12" s="159">
        <v>0.19</v>
      </c>
      <c r="N12" s="159">
        <v>0.27</v>
      </c>
      <c r="O12" s="159">
        <v>0</v>
      </c>
      <c r="P12" s="159">
        <v>0.13</v>
      </c>
      <c r="Q12" s="159">
        <v>0.24</v>
      </c>
      <c r="R12" s="159">
        <v>0.12</v>
      </c>
    </row>
    <row r="13" spans="1:18">
      <c r="A13" t="s">
        <v>123</v>
      </c>
      <c r="I13" s="157">
        <v>0</v>
      </c>
      <c r="J13" s="157">
        <v>0</v>
      </c>
      <c r="K13" s="157">
        <v>0</v>
      </c>
      <c r="L13" s="157">
        <v>0</v>
      </c>
      <c r="M13" s="157">
        <v>0</v>
      </c>
      <c r="N13" s="157">
        <v>0</v>
      </c>
      <c r="O13" s="157">
        <v>0</v>
      </c>
      <c r="P13" s="157"/>
      <c r="Q13" s="157"/>
      <c r="R13" s="157">
        <v>2.3E-2</v>
      </c>
    </row>
    <row r="14" spans="1:18">
      <c r="A14" t="s">
        <v>114</v>
      </c>
    </row>
    <row r="15" spans="1:18">
      <c r="A15" t="s">
        <v>115</v>
      </c>
      <c r="H15" s="157" t="s">
        <v>163</v>
      </c>
      <c r="I15" s="157" t="s">
        <v>163</v>
      </c>
      <c r="J15" s="157" t="s">
        <v>163</v>
      </c>
      <c r="K15" s="157" t="s">
        <v>163</v>
      </c>
      <c r="L15" s="157" t="s">
        <v>163</v>
      </c>
      <c r="M15" s="157" t="s">
        <v>163</v>
      </c>
      <c r="N15" s="157" t="s">
        <v>163</v>
      </c>
      <c r="O15" s="157" t="s">
        <v>163</v>
      </c>
      <c r="P15" s="157" t="s">
        <v>163</v>
      </c>
      <c r="Q15" s="157" t="s">
        <v>163</v>
      </c>
      <c r="R15" s="157" t="s">
        <v>163</v>
      </c>
    </row>
    <row r="16" spans="1:18">
      <c r="A16" t="s">
        <v>116</v>
      </c>
      <c r="H16" s="160" t="s">
        <v>164</v>
      </c>
      <c r="I16" s="161" t="s">
        <v>165</v>
      </c>
      <c r="J16" s="161" t="s">
        <v>166</v>
      </c>
      <c r="K16" s="161" t="s">
        <v>167</v>
      </c>
      <c r="L16" s="161" t="s">
        <v>168</v>
      </c>
      <c r="M16" s="161" t="s">
        <v>169</v>
      </c>
      <c r="N16" s="161" t="s">
        <v>170</v>
      </c>
      <c r="O16" s="161" t="s">
        <v>171</v>
      </c>
      <c r="P16" s="161" t="s">
        <v>172</v>
      </c>
      <c r="Q16" s="161" t="s">
        <v>173</v>
      </c>
      <c r="R16" s="161" t="s">
        <v>174</v>
      </c>
    </row>
    <row r="17" spans="1:18">
      <c r="A17" t="s">
        <v>126</v>
      </c>
      <c r="H17" s="158">
        <v>34150</v>
      </c>
      <c r="I17" s="158">
        <v>34303</v>
      </c>
      <c r="J17" s="158">
        <v>34499</v>
      </c>
      <c r="K17" s="158">
        <v>34843</v>
      </c>
      <c r="L17" s="158">
        <v>34983</v>
      </c>
      <c r="M17" s="158">
        <v>35214</v>
      </c>
      <c r="N17" s="158">
        <v>35328</v>
      </c>
      <c r="O17" s="158">
        <v>35600</v>
      </c>
      <c r="P17" s="158">
        <v>35713</v>
      </c>
      <c r="Q17" s="158"/>
      <c r="R17" s="158"/>
    </row>
    <row r="18" spans="1:18">
      <c r="G18" t="s">
        <v>118</v>
      </c>
      <c r="H18" s="159">
        <v>0.12</v>
      </c>
      <c r="I18" s="159">
        <v>0.21</v>
      </c>
      <c r="J18" s="159">
        <v>0.1</v>
      </c>
      <c r="K18" s="159">
        <v>0.12</v>
      </c>
      <c r="L18" s="159">
        <v>0.19</v>
      </c>
      <c r="M18" s="159">
        <v>0.27</v>
      </c>
      <c r="N18" s="159">
        <v>0</v>
      </c>
      <c r="O18" s="159">
        <v>0.13</v>
      </c>
      <c r="P18" s="159">
        <v>0.24</v>
      </c>
      <c r="Q18" s="159">
        <v>0</v>
      </c>
      <c r="R18" s="159">
        <v>0.1</v>
      </c>
    </row>
    <row r="19" spans="1:18">
      <c r="H19" s="157">
        <v>3</v>
      </c>
      <c r="I19" s="157"/>
      <c r="J19" s="157"/>
      <c r="K19" s="157"/>
      <c r="L19" s="157"/>
      <c r="M19" s="157"/>
      <c r="N19" s="157"/>
      <c r="O19" s="157"/>
      <c r="P19" s="157"/>
      <c r="Q19" s="157"/>
      <c r="R19" s="157"/>
    </row>
    <row r="25" spans="1:18">
      <c r="G25" t="s">
        <v>118</v>
      </c>
      <c r="H25">
        <v>1993</v>
      </c>
      <c r="I25">
        <v>1994</v>
      </c>
      <c r="J25">
        <v>1995</v>
      </c>
      <c r="K25">
        <v>1996</v>
      </c>
      <c r="L25">
        <v>1997</v>
      </c>
      <c r="M25">
        <v>2000</v>
      </c>
    </row>
    <row r="26" spans="1:18">
      <c r="G26" t="s">
        <v>31</v>
      </c>
      <c r="H26">
        <v>0.12</v>
      </c>
      <c r="I26">
        <v>0.1</v>
      </c>
      <c r="J26">
        <v>0.17</v>
      </c>
      <c r="K26">
        <v>0.14000000000000001</v>
      </c>
      <c r="L26">
        <v>0.19</v>
      </c>
      <c r="M26">
        <v>0</v>
      </c>
    </row>
    <row r="27" spans="1:18">
      <c r="G27" t="s">
        <v>32</v>
      </c>
    </row>
    <row r="30" spans="1:18">
      <c r="G30" t="s">
        <v>175</v>
      </c>
      <c r="H30">
        <v>1993</v>
      </c>
      <c r="I30">
        <v>1994</v>
      </c>
      <c r="J30">
        <v>1995</v>
      </c>
      <c r="K30">
        <v>1996</v>
      </c>
    </row>
    <row r="31" spans="1:18">
      <c r="G31" t="s">
        <v>31</v>
      </c>
      <c r="H31">
        <v>3</v>
      </c>
      <c r="I31">
        <v>6</v>
      </c>
      <c r="K31">
        <v>15</v>
      </c>
    </row>
    <row r="32" spans="1:18">
      <c r="I32">
        <v>12</v>
      </c>
      <c r="K32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Priority Ranking</vt:lpstr>
      <vt:lpstr>Sheet1</vt:lpstr>
      <vt:lpstr>Sheet2</vt:lpstr>
      <vt:lpstr>Sheet3</vt:lpstr>
      <vt:lpstr>Nitrate</vt:lpstr>
      <vt:lpstr>Bug Data</vt:lpstr>
      <vt:lpstr>Sheet7</vt:lpstr>
      <vt:lpstr>Temp-Precip</vt:lpstr>
      <vt:lpstr>Sheet4</vt:lpstr>
      <vt:lpstr>Sheet5</vt:lpstr>
      <vt:lpstr>Water Quality Trends</vt:lpstr>
      <vt:lpstr>Flow</vt:lpstr>
    </vt:vector>
  </TitlesOfParts>
  <Company>OLC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Charles Jason Tinant</cp:lastModifiedBy>
  <dcterms:created xsi:type="dcterms:W3CDTF">2013-10-28T23:36:44Z</dcterms:created>
  <dcterms:modified xsi:type="dcterms:W3CDTF">2015-03-27T17:57:09Z</dcterms:modified>
</cp:coreProperties>
</file>