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10.xml" ContentType="application/vnd.openxmlformats-officedocument.drawing+xml"/>
  <Override PartName="/xl/ink/ink4.xml" ContentType="application/inkml+xml"/>
  <Override PartName="/xl/ink/ink5.xml" ContentType="application/inkml+xml"/>
  <Override PartName="/xl/drawings/drawing11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ink/ink31.xml" ContentType="application/inkml+xml"/>
  <Override PartName="/xl/ink/ink32.xml" ContentType="application/inkml+xml"/>
  <Override PartName="/xl/drawings/drawing20.xml" ContentType="application/vnd.openxmlformats-officedocument.drawing+xml"/>
  <Override PartName="/xl/ink/ink33.xml" ContentType="application/inkml+xml"/>
  <Override PartName="/xl/ink/ink34.xml" ContentType="application/inkml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1.xml" ContentType="application/vnd.openxmlformats-officedocument.drawingml.chart+xml"/>
  <Override PartName="/xl/drawings/drawing23.xml" ContentType="application/vnd.openxmlformats-officedocument.drawing+xml"/>
  <Override PartName="/xl/charts/chart2.xml" ContentType="application/vnd.openxmlformats-officedocument.drawingml.chart+xml"/>
  <Override PartName="/xl/drawings/drawing24.xml" ContentType="application/vnd.openxmlformats-officedocument.drawing+xml"/>
  <Override PartName="/xl/charts/chart3.xml" ContentType="application/vnd.openxmlformats-officedocument.drawingml.chart+xml"/>
  <Override PartName="/xl/drawings/drawing25.xml" ContentType="application/vnd.openxmlformats-officedocument.drawing+xml"/>
  <Override PartName="/xl/charts/chart4.xml" ContentType="application/vnd.openxmlformats-officedocument.drawingml.chart+xml"/>
  <Override PartName="/xl/drawings/drawing26.xml" ContentType="application/vnd.openxmlformats-officedocument.drawing+xml"/>
  <Override PartName="/xl/charts/chart5.xml" ContentType="application/vnd.openxmlformats-officedocument.drawingml.chart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9.xml" ContentType="application/vnd.openxmlformats-officedocument.drawing+xml"/>
  <Override PartName="/xl/comments1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yrp-my.sharepoint.com/personal/23050193_myrp_edu_sg/Documents/DSCM/Y3SEM2/E211 Operations Planning II/E211 Updated (AY2025)/Excels (L1-L26)/"/>
    </mc:Choice>
  </mc:AlternateContent>
  <xr:revisionPtr revIDLastSave="587" documentId="11_15EE000273F0DDC42ECB6D920ACD4B1EB58D48A3" xr6:coauthVersionLast="47" xr6:coauthVersionMax="47" xr10:uidLastSave="{82C6FA24-D49B-407B-B645-44F5449CFCAF}"/>
  <bookViews>
    <workbookView xWindow="-110" yWindow="-110" windowWidth="19420" windowHeight="10300" tabRatio="807" firstSheet="14" activeTab="16" xr2:uid="{00000000-000D-0000-FFFF-FFFF00000000}"/>
  </bookViews>
  <sheets>
    <sheet name="MM1-MG1-MD1 template" sheetId="57" r:id="rId1"/>
    <sheet name="MM1-MG1-MD1" sheetId="55" r:id="rId2"/>
    <sheet name="L3 MM1" sheetId="26" r:id="rId3"/>
    <sheet name="L3 MG1" sheetId="27" r:id="rId4"/>
    <sheet name="L3 MD1" sheetId="28" r:id="rId5"/>
    <sheet name="L3 MMk (2)" sheetId="56" r:id="rId6"/>
    <sheet name="L3 MMk" sheetId="30" r:id="rId7"/>
    <sheet name="MMk (L4 WS PS (IKEA) Part 1)" sheetId="31" r:id="rId8"/>
    <sheet name="Shortest Path (Example)" sheetId="32" r:id="rId9"/>
    <sheet name="Shortest Path (Activity 1)" sheetId="33" r:id="rId10"/>
    <sheet name="Maximum Flow" sheetId="34" r:id="rId11"/>
    <sheet name="Shortest Path" sheetId="35" r:id="rId12"/>
    <sheet name="Shortest Path (2024 ESE Q8)" sheetId="36" r:id="rId13"/>
    <sheet name="Maximum Flow (2)" sheetId="37" r:id="rId14"/>
    <sheet name="NN" sheetId="38" r:id="rId15"/>
    <sheet name="CWS" sheetId="39" r:id="rId16"/>
    <sheet name="CWS VehCap" sheetId="40" r:id="rId17"/>
    <sheet name="L20 MCF (WO arc cap)" sheetId="41" r:id="rId18"/>
    <sheet name="L20 MCF (with arc cap)" sheetId="42" r:id="rId19"/>
    <sheet name="L20 MCF (6a, S&lt;D)" sheetId="43" r:id="rId20"/>
    <sheet name="L20 MCF (6b, S&gt;D)" sheetId="44" r:id="rId21"/>
    <sheet name="Sheet1" sheetId="45" state="hidden" r:id="rId22"/>
    <sheet name="MA" sheetId="46" r:id="rId23"/>
    <sheet name="WMA" sheetId="47" r:id="rId24"/>
    <sheet name="SES" sheetId="48" r:id="rId25"/>
    <sheet name="Product B" sheetId="49" r:id="rId26"/>
    <sheet name="LR" sheetId="50" r:id="rId27"/>
    <sheet name="Holt's &amp; LR" sheetId="51" r:id="rId28"/>
    <sheet name="Holt's &amp; LR (HC)" sheetId="52" r:id="rId29"/>
    <sheet name="Decomposition" sheetId="53" r:id="rId30"/>
    <sheet name="Solutions" sheetId="54" r:id="rId31"/>
  </sheets>
  <definedNames>
    <definedName name="solver_adj" localSheetId="19" hidden="1">'L20 MCF (6a, S&lt;D)'!$B$2:$B$15</definedName>
    <definedName name="solver_adj" localSheetId="20" hidden="1">'L20 MCF (6b, S&gt;D)'!$B$2:$B$15</definedName>
    <definedName name="solver_adj" localSheetId="18" hidden="1">'L20 MCF (with arc cap)'!$B$2:$B$15</definedName>
    <definedName name="solver_adj" localSheetId="17" hidden="1">'L20 MCF (WO arc cap)'!$B$2:$B$15</definedName>
    <definedName name="solver_cvg" localSheetId="19" hidden="1">0.0001</definedName>
    <definedName name="solver_cvg" localSheetId="20" hidden="1">0.0001</definedName>
    <definedName name="solver_cvg" localSheetId="18" hidden="1">0.0001</definedName>
    <definedName name="solver_cvg" localSheetId="17" hidden="1">0.0001</definedName>
    <definedName name="solver_drv" localSheetId="19" hidden="1">1</definedName>
    <definedName name="solver_drv" localSheetId="20" hidden="1">1</definedName>
    <definedName name="solver_drv" localSheetId="18" hidden="1">1</definedName>
    <definedName name="solver_drv" localSheetId="17" hidden="1">1</definedName>
    <definedName name="solver_eng" localSheetId="19" hidden="1">2</definedName>
    <definedName name="solver_eng" localSheetId="20" hidden="1">2</definedName>
    <definedName name="solver_eng" localSheetId="18" hidden="1">2</definedName>
    <definedName name="solver_eng" localSheetId="17" hidden="1">2</definedName>
    <definedName name="solver_est" localSheetId="19" hidden="1">1</definedName>
    <definedName name="solver_est" localSheetId="20" hidden="1">1</definedName>
    <definedName name="solver_est" localSheetId="18" hidden="1">1</definedName>
    <definedName name="solver_est" localSheetId="17" hidden="1">1</definedName>
    <definedName name="solver_itr" localSheetId="19" hidden="1">2147483647</definedName>
    <definedName name="solver_itr" localSheetId="20" hidden="1">2147483647</definedName>
    <definedName name="solver_itr" localSheetId="18" hidden="1">2147483647</definedName>
    <definedName name="solver_itr" localSheetId="17" hidden="1">2147483647</definedName>
    <definedName name="solver_lhs1" localSheetId="19" hidden="1">'L20 MCF (6a, S&lt;D)'!$C$22:$C$25</definedName>
    <definedName name="solver_lhs1" localSheetId="20" hidden="1">'L20 MCF (6b, S&gt;D)'!$C$22:$C$24</definedName>
    <definedName name="solver_lhs1" localSheetId="18" hidden="1">'L20 MCF (with arc cap)'!$C$22:$C$31</definedName>
    <definedName name="solver_lhs1" localSheetId="17" hidden="1">'L20 MCF (WO arc cap)'!$C$22:$C$31</definedName>
    <definedName name="solver_lhs2" localSheetId="19" hidden="1">'L20 MCF (6a, S&lt;D)'!$C$26:$C$31</definedName>
    <definedName name="solver_lhs2" localSheetId="20" hidden="1">'L20 MCF (6b, S&gt;D)'!$C$25:$C$31</definedName>
    <definedName name="solver_lhs2" localSheetId="18" hidden="1">'L20 MCF (with arc cap)'!$C$34:$C$35</definedName>
    <definedName name="solver_lhs2" localSheetId="17" hidden="1">'L20 MCF (WO arc cap)'!$C$34:$C$35</definedName>
    <definedName name="solver_lhs3" localSheetId="19" hidden="1">'L20 MCF (6a, S&lt;D)'!$C$34:$C$35</definedName>
    <definedName name="solver_lhs3" localSheetId="20" hidden="1">'L20 MCF (6b, S&gt;D)'!$C$34:$C$35</definedName>
    <definedName name="solver_lhs3" localSheetId="18" hidden="1">#REF!</definedName>
    <definedName name="solver_lhs3" localSheetId="17" hidden="1">#REF!</definedName>
    <definedName name="solver_mip" localSheetId="19" hidden="1">2147483647</definedName>
    <definedName name="solver_mip" localSheetId="20" hidden="1">2147483647</definedName>
    <definedName name="solver_mip" localSheetId="18" hidden="1">2147483647</definedName>
    <definedName name="solver_mip" localSheetId="17" hidden="1">2147483647</definedName>
    <definedName name="solver_mni" localSheetId="19" hidden="1">30</definedName>
    <definedName name="solver_mni" localSheetId="20" hidden="1">30</definedName>
    <definedName name="solver_mni" localSheetId="18" hidden="1">30</definedName>
    <definedName name="solver_mni" localSheetId="17" hidden="1">30</definedName>
    <definedName name="solver_mrt" localSheetId="19" hidden="1">0.075</definedName>
    <definedName name="solver_mrt" localSheetId="20" hidden="1">0.075</definedName>
    <definedName name="solver_mrt" localSheetId="18" hidden="1">0.075</definedName>
    <definedName name="solver_mrt" localSheetId="17" hidden="1">0.075</definedName>
    <definedName name="solver_msl" localSheetId="19" hidden="1">2</definedName>
    <definedName name="solver_msl" localSheetId="20" hidden="1">2</definedName>
    <definedName name="solver_msl" localSheetId="18" hidden="1">2</definedName>
    <definedName name="solver_msl" localSheetId="17" hidden="1">2</definedName>
    <definedName name="solver_neg" localSheetId="19" hidden="1">1</definedName>
    <definedName name="solver_neg" localSheetId="20" hidden="1">1</definedName>
    <definedName name="solver_neg" localSheetId="18" hidden="1">1</definedName>
    <definedName name="solver_neg" localSheetId="17" hidden="1">1</definedName>
    <definedName name="solver_nod" localSheetId="19" hidden="1">2147483647</definedName>
    <definedName name="solver_nod" localSheetId="20" hidden="1">2147483647</definedName>
    <definedName name="solver_nod" localSheetId="18" hidden="1">2147483647</definedName>
    <definedName name="solver_nod" localSheetId="17" hidden="1">2147483647</definedName>
    <definedName name="solver_num" localSheetId="19" hidden="1">3</definedName>
    <definedName name="solver_num" localSheetId="20" hidden="1">3</definedName>
    <definedName name="solver_num" localSheetId="18" hidden="1">2</definedName>
    <definedName name="solver_num" localSheetId="17" hidden="1">1</definedName>
    <definedName name="solver_nwt" localSheetId="19" hidden="1">1</definedName>
    <definedName name="solver_nwt" localSheetId="20" hidden="1">1</definedName>
    <definedName name="solver_nwt" localSheetId="18" hidden="1">1</definedName>
    <definedName name="solver_nwt" localSheetId="17" hidden="1">1</definedName>
    <definedName name="solver_opt" localSheetId="19" hidden="1">'L20 MCF (6a, S&lt;D)'!$C$18</definedName>
    <definedName name="solver_opt" localSheetId="20" hidden="1">'L20 MCF (6b, S&gt;D)'!$C$18</definedName>
    <definedName name="solver_opt" localSheetId="18" hidden="1">'L20 MCF (with arc cap)'!$C$18</definedName>
    <definedName name="solver_opt" localSheetId="17" hidden="1">'L20 MCF (WO arc cap)'!$C$18</definedName>
    <definedName name="solver_pre" localSheetId="19" hidden="1">0.000001</definedName>
    <definedName name="solver_pre" localSheetId="20" hidden="1">0.000001</definedName>
    <definedName name="solver_pre" localSheetId="18" hidden="1">0.000001</definedName>
    <definedName name="solver_pre" localSheetId="17" hidden="1">0.000001</definedName>
    <definedName name="solver_rbv" localSheetId="19" hidden="1">1</definedName>
    <definedName name="solver_rbv" localSheetId="20" hidden="1">1</definedName>
    <definedName name="solver_rbv" localSheetId="18" hidden="1">1</definedName>
    <definedName name="solver_rbv" localSheetId="17" hidden="1">1</definedName>
    <definedName name="solver_rel1" localSheetId="19" hidden="1">2</definedName>
    <definedName name="solver_rel1" localSheetId="20" hidden="1">1</definedName>
    <definedName name="solver_rel1" localSheetId="18" hidden="1">2</definedName>
    <definedName name="solver_rel1" localSheetId="17" hidden="1">2</definedName>
    <definedName name="solver_rel2" localSheetId="19" hidden="1">3</definedName>
    <definedName name="solver_rel2" localSheetId="20" hidden="1">2</definedName>
    <definedName name="solver_rel2" localSheetId="18" hidden="1">1</definedName>
    <definedName name="solver_rel2" localSheetId="17" hidden="1">1</definedName>
    <definedName name="solver_rel3" localSheetId="19" hidden="1">1</definedName>
    <definedName name="solver_rel3" localSheetId="20" hidden="1">1</definedName>
    <definedName name="solver_rel3" localSheetId="18" hidden="1">2</definedName>
    <definedName name="solver_rel3" localSheetId="17" hidden="1">2</definedName>
    <definedName name="solver_rhs1" localSheetId="19" hidden="1">'L20 MCF (6a, S&lt;D)'!$E$22:$E$25</definedName>
    <definedName name="solver_rhs1" localSheetId="20" hidden="1">'L20 MCF (6b, S&gt;D)'!$E$22:$E$24</definedName>
    <definedName name="solver_rhs1" localSheetId="18" hidden="1">'L20 MCF (with arc cap)'!$E$22:$E$31</definedName>
    <definedName name="solver_rhs1" localSheetId="17" hidden="1">'L20 MCF (WO arc cap)'!$E$22:$E$31</definedName>
    <definedName name="solver_rhs2" localSheetId="19" hidden="1">'L20 MCF (6a, S&lt;D)'!$E$26:$E$31</definedName>
    <definedName name="solver_rhs2" localSheetId="20" hidden="1">'L20 MCF (6b, S&gt;D)'!$E$25:$E$31</definedName>
    <definedName name="solver_rhs2" localSheetId="18" hidden="1">'L20 MCF (with arc cap)'!$E$34:$E$35</definedName>
    <definedName name="solver_rhs2" localSheetId="17" hidden="1">'L20 MCF (WO arc cap)'!$E$34:$E$35</definedName>
    <definedName name="solver_rhs3" localSheetId="19" hidden="1">'L20 MCF (6a, S&lt;D)'!$E$34:$E$35</definedName>
    <definedName name="solver_rhs3" localSheetId="20" hidden="1">'L20 MCF (6b, S&gt;D)'!$E$34:$E$35</definedName>
    <definedName name="solver_rhs3" localSheetId="18" hidden="1">#REF!</definedName>
    <definedName name="solver_rhs3" localSheetId="17" hidden="1">#REF!</definedName>
    <definedName name="solver_rlx" localSheetId="19" hidden="1">2</definedName>
    <definedName name="solver_rlx" localSheetId="20" hidden="1">2</definedName>
    <definedName name="solver_rlx" localSheetId="18" hidden="1">2</definedName>
    <definedName name="solver_rlx" localSheetId="17" hidden="1">2</definedName>
    <definedName name="solver_rsd" localSheetId="19" hidden="1">0</definedName>
    <definedName name="solver_rsd" localSheetId="20" hidden="1">0</definedName>
    <definedName name="solver_rsd" localSheetId="18" hidden="1">0</definedName>
    <definedName name="solver_rsd" localSheetId="17" hidden="1">0</definedName>
    <definedName name="solver_scl" localSheetId="19" hidden="1">1</definedName>
    <definedName name="solver_scl" localSheetId="20" hidden="1">1</definedName>
    <definedName name="solver_scl" localSheetId="18" hidden="1">1</definedName>
    <definedName name="solver_scl" localSheetId="17" hidden="1">1</definedName>
    <definedName name="solver_sho" localSheetId="19" hidden="1">2</definedName>
    <definedName name="solver_sho" localSheetId="20" hidden="1">2</definedName>
    <definedName name="solver_sho" localSheetId="18" hidden="1">2</definedName>
    <definedName name="solver_sho" localSheetId="17" hidden="1">2</definedName>
    <definedName name="solver_ssz" localSheetId="19" hidden="1">100</definedName>
    <definedName name="solver_ssz" localSheetId="20" hidden="1">100</definedName>
    <definedName name="solver_ssz" localSheetId="18" hidden="1">100</definedName>
    <definedName name="solver_ssz" localSheetId="17" hidden="1">100</definedName>
    <definedName name="solver_tim" localSheetId="19" hidden="1">2147483647</definedName>
    <definedName name="solver_tim" localSheetId="20" hidden="1">2147483647</definedName>
    <definedName name="solver_tim" localSheetId="18" hidden="1">2147483647</definedName>
    <definedName name="solver_tim" localSheetId="17" hidden="1">2147483647</definedName>
    <definedName name="solver_tol" localSheetId="19" hidden="1">0.01</definedName>
    <definedName name="solver_tol" localSheetId="20" hidden="1">0.01</definedName>
    <definedName name="solver_tol" localSheetId="18" hidden="1">0.01</definedName>
    <definedName name="solver_tol" localSheetId="17" hidden="1">0.01</definedName>
    <definedName name="solver_typ" localSheetId="19" hidden="1">2</definedName>
    <definedName name="solver_typ" localSheetId="20" hidden="1">2</definedName>
    <definedName name="solver_typ" localSheetId="18" hidden="1">2</definedName>
    <definedName name="solver_typ" localSheetId="17" hidden="1">2</definedName>
    <definedName name="solver_val" localSheetId="19" hidden="1">0</definedName>
    <definedName name="solver_val" localSheetId="20" hidden="1">0</definedName>
    <definedName name="solver_val" localSheetId="18" hidden="1">0</definedName>
    <definedName name="solver_val" localSheetId="17" hidden="1">0</definedName>
    <definedName name="solver_ver" localSheetId="19" hidden="1">3</definedName>
    <definedName name="solver_ver" localSheetId="20" hidden="1">3</definedName>
    <definedName name="solver_ver" localSheetId="18" hidden="1">3</definedName>
    <definedName name="solver_ver" localSheetId="17" hidden="1">3</definedName>
    <definedName name="WBBINbin" localSheetId="19">#REF!</definedName>
    <definedName name="WBBINbin" localSheetId="20">#REF!</definedName>
    <definedName name="WBBINbin" localSheetId="18">#REF!</definedName>
    <definedName name="WBBINbin" localSheetId="17">#REF!</definedName>
    <definedName name="WBBINbin">#REF!</definedName>
    <definedName name="WBINTint" localSheetId="19">#REF!</definedName>
    <definedName name="WBINTint" localSheetId="20">#REF!</definedName>
    <definedName name="WBINTint" localSheetId="18">#REF!</definedName>
    <definedName name="WBINTint" localSheetId="17">#REF!</definedName>
    <definedName name="WBINTint">#REF!</definedName>
    <definedName name="WBMIN" localSheetId="19">#REF!</definedName>
    <definedName name="WBMIN" localSheetId="20">#REF!</definedName>
    <definedName name="WBMIN" localSheetId="18">#REF!</definedName>
    <definedName name="WBMIN" localSheetId="17">#REF!</definedName>
    <definedName name="WBM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48" l="1"/>
  <c r="B78" i="57" l="1"/>
  <c r="B76" i="57"/>
  <c r="B46" i="57"/>
  <c r="B50" i="57" s="1"/>
  <c r="B54" i="57" s="1"/>
  <c r="B44" i="57"/>
  <c r="D51" i="55"/>
  <c r="B46" i="55"/>
  <c r="B44" i="55"/>
  <c r="J22" i="54"/>
  <c r="J23" i="54"/>
  <c r="H22" i="46"/>
  <c r="G22" i="46"/>
  <c r="P17" i="32"/>
  <c r="B80" i="57"/>
  <c r="B84" i="57" s="1"/>
  <c r="M20" i="57"/>
  <c r="B18" i="57"/>
  <c r="B22" i="57" s="1"/>
  <c r="G42" i="31"/>
  <c r="D26" i="56"/>
  <c r="C9" i="56"/>
  <c r="C7" i="56"/>
  <c r="G32" i="56" s="1"/>
  <c r="G28" i="56"/>
  <c r="B26" i="56"/>
  <c r="G25" i="56"/>
  <c r="G22" i="56"/>
  <c r="G11" i="56"/>
  <c r="D34" i="56"/>
  <c r="B78" i="55"/>
  <c r="B80" i="55" s="1"/>
  <c r="B84" i="55" s="1"/>
  <c r="B16" i="55"/>
  <c r="B14" i="55"/>
  <c r="K81" i="37"/>
  <c r="E76" i="54"/>
  <c r="D76" i="54"/>
  <c r="C76" i="54"/>
  <c r="E75" i="54"/>
  <c r="D75" i="54"/>
  <c r="C75" i="54"/>
  <c r="E74" i="54"/>
  <c r="D74" i="54"/>
  <c r="C74" i="54"/>
  <c r="E73" i="54"/>
  <c r="D73" i="54"/>
  <c r="C73" i="54"/>
  <c r="E30" i="54"/>
  <c r="D30" i="54"/>
  <c r="C30" i="54"/>
  <c r="B30" i="54"/>
  <c r="G29" i="54"/>
  <c r="E29" i="54"/>
  <c r="D29" i="54"/>
  <c r="C29" i="54"/>
  <c r="B29" i="54"/>
  <c r="C28" i="54"/>
  <c r="B28" i="54"/>
  <c r="E27" i="54"/>
  <c r="D27" i="54"/>
  <c r="C27" i="54"/>
  <c r="B27" i="54"/>
  <c r="E26" i="54"/>
  <c r="D26" i="54"/>
  <c r="C26" i="54"/>
  <c r="B26" i="54"/>
  <c r="E25" i="54"/>
  <c r="D25" i="54"/>
  <c r="H20" i="54"/>
  <c r="O19" i="54"/>
  <c r="N19" i="54"/>
  <c r="M19" i="54"/>
  <c r="L19" i="54"/>
  <c r="K19" i="54"/>
  <c r="H19" i="54"/>
  <c r="M18" i="54"/>
  <c r="L18" i="54"/>
  <c r="K18" i="54"/>
  <c r="J18" i="54"/>
  <c r="I18" i="54"/>
  <c r="H18" i="54"/>
  <c r="G18" i="54"/>
  <c r="O17" i="54"/>
  <c r="N17" i="54"/>
  <c r="M17" i="54"/>
  <c r="L17" i="54"/>
  <c r="K17" i="54"/>
  <c r="J17" i="54"/>
  <c r="I17" i="54"/>
  <c r="H17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O13" i="54"/>
  <c r="N13" i="54"/>
  <c r="M13" i="54"/>
  <c r="L13" i="54"/>
  <c r="K13" i="54"/>
  <c r="J13" i="54"/>
  <c r="I13" i="54"/>
  <c r="H13" i="54"/>
  <c r="F13" i="54"/>
  <c r="E13" i="54"/>
  <c r="D13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O11" i="54"/>
  <c r="N11" i="54"/>
  <c r="M11" i="54"/>
  <c r="L11" i="54"/>
  <c r="K11" i="54"/>
  <c r="J11" i="54"/>
  <c r="I11" i="54"/>
  <c r="H11" i="54"/>
  <c r="G11" i="54"/>
  <c r="F11" i="54"/>
  <c r="E11" i="54"/>
  <c r="D11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O9" i="54"/>
  <c r="N9" i="54"/>
  <c r="M9" i="54"/>
  <c r="L9" i="54"/>
  <c r="K9" i="54"/>
  <c r="J9" i="54"/>
  <c r="I9" i="54"/>
  <c r="H9" i="54"/>
  <c r="F9" i="54"/>
  <c r="E9" i="54"/>
  <c r="D9" i="54"/>
  <c r="O8" i="54"/>
  <c r="N8" i="54"/>
  <c r="M8" i="54"/>
  <c r="L8" i="54"/>
  <c r="K8" i="54"/>
  <c r="J8" i="54"/>
  <c r="I8" i="54"/>
  <c r="H8" i="54"/>
  <c r="G8" i="54"/>
  <c r="F8" i="54"/>
  <c r="E8" i="54"/>
  <c r="D8" i="54"/>
  <c r="O7" i="54"/>
  <c r="N7" i="54"/>
  <c r="M7" i="54"/>
  <c r="L7" i="54"/>
  <c r="K7" i="54"/>
  <c r="J7" i="54"/>
  <c r="I7" i="54"/>
  <c r="H7" i="54"/>
  <c r="G7" i="54"/>
  <c r="F7" i="54"/>
  <c r="E7" i="54"/>
  <c r="D7" i="54"/>
  <c r="O6" i="54"/>
  <c r="N6" i="54"/>
  <c r="M6" i="54"/>
  <c r="L6" i="54"/>
  <c r="K6" i="54"/>
  <c r="J6" i="54"/>
  <c r="I6" i="54"/>
  <c r="H6" i="54"/>
  <c r="G6" i="54"/>
  <c r="F6" i="54"/>
  <c r="E6" i="54"/>
  <c r="D6" i="54"/>
  <c r="O5" i="54"/>
  <c r="N5" i="54"/>
  <c r="M5" i="54"/>
  <c r="L5" i="54"/>
  <c r="K5" i="54"/>
  <c r="J5" i="54"/>
  <c r="I5" i="54"/>
  <c r="H5" i="54"/>
  <c r="G5" i="54"/>
  <c r="F5" i="54"/>
  <c r="E5" i="54"/>
  <c r="D5" i="54"/>
  <c r="O4" i="54"/>
  <c r="N4" i="54"/>
  <c r="M4" i="54"/>
  <c r="L4" i="54"/>
  <c r="K4" i="54"/>
  <c r="J4" i="54"/>
  <c r="I4" i="54"/>
  <c r="H4" i="54"/>
  <c r="G4" i="54"/>
  <c r="D4" i="54"/>
  <c r="M3" i="54"/>
  <c r="L3" i="54"/>
  <c r="K3" i="54"/>
  <c r="J3" i="54"/>
  <c r="I3" i="54"/>
  <c r="H3" i="54"/>
  <c r="G3" i="54"/>
  <c r="F37" i="52"/>
  <c r="F36" i="52"/>
  <c r="I35" i="52"/>
  <c r="H35" i="52"/>
  <c r="F35" i="52"/>
  <c r="E35" i="52"/>
  <c r="D35" i="52"/>
  <c r="I34" i="52"/>
  <c r="H34" i="52"/>
  <c r="F34" i="52"/>
  <c r="E34" i="52"/>
  <c r="D34" i="52"/>
  <c r="I33" i="52"/>
  <c r="H33" i="52"/>
  <c r="F33" i="52"/>
  <c r="E33" i="52"/>
  <c r="D33" i="52"/>
  <c r="I32" i="52"/>
  <c r="H32" i="52"/>
  <c r="F32" i="52"/>
  <c r="E32" i="52"/>
  <c r="D32" i="52"/>
  <c r="I31" i="52"/>
  <c r="H31" i="52"/>
  <c r="F31" i="52"/>
  <c r="E31" i="52"/>
  <c r="D31" i="52"/>
  <c r="I30" i="52"/>
  <c r="H30" i="52"/>
  <c r="F30" i="52"/>
  <c r="E30" i="52"/>
  <c r="D30" i="52"/>
  <c r="I29" i="52"/>
  <c r="H29" i="52"/>
  <c r="F29" i="52"/>
  <c r="E29" i="52"/>
  <c r="D29" i="52"/>
  <c r="I28" i="52"/>
  <c r="H28" i="52"/>
  <c r="F28" i="52"/>
  <c r="E28" i="52"/>
  <c r="D28" i="52"/>
  <c r="I27" i="52"/>
  <c r="H27" i="52"/>
  <c r="F27" i="52"/>
  <c r="E27" i="52"/>
  <c r="D27" i="52"/>
  <c r="I26" i="52"/>
  <c r="H26" i="52"/>
  <c r="F26" i="52"/>
  <c r="E26" i="52"/>
  <c r="D26" i="52"/>
  <c r="I25" i="52"/>
  <c r="H25" i="52"/>
  <c r="F25" i="52"/>
  <c r="E25" i="52"/>
  <c r="D25" i="52"/>
  <c r="L24" i="52"/>
  <c r="I24" i="52"/>
  <c r="H24" i="52"/>
  <c r="F24" i="52"/>
  <c r="E24" i="52"/>
  <c r="D24" i="52"/>
  <c r="L23" i="52"/>
  <c r="I23" i="52"/>
  <c r="H23" i="52"/>
  <c r="F23" i="52"/>
  <c r="E23" i="52"/>
  <c r="D23" i="52"/>
  <c r="E22" i="52"/>
  <c r="D22" i="52"/>
  <c r="D18" i="52"/>
  <c r="D17" i="52"/>
  <c r="F16" i="52"/>
  <c r="E16" i="52"/>
  <c r="D16" i="52"/>
  <c r="F15" i="52"/>
  <c r="E15" i="52"/>
  <c r="D15" i="52"/>
  <c r="F14" i="52"/>
  <c r="E14" i="52"/>
  <c r="D14" i="52"/>
  <c r="F13" i="52"/>
  <c r="E13" i="52"/>
  <c r="D13" i="52"/>
  <c r="F12" i="52"/>
  <c r="E12" i="52"/>
  <c r="D12" i="52"/>
  <c r="F11" i="52"/>
  <c r="E11" i="52"/>
  <c r="D11" i="52"/>
  <c r="F10" i="52"/>
  <c r="E10" i="52"/>
  <c r="D10" i="52"/>
  <c r="F9" i="52"/>
  <c r="E9" i="52"/>
  <c r="D9" i="52"/>
  <c r="F8" i="52"/>
  <c r="E8" i="52"/>
  <c r="D8" i="52"/>
  <c r="F7" i="52"/>
  <c r="E7" i="52"/>
  <c r="D7" i="52"/>
  <c r="F6" i="52"/>
  <c r="E6" i="52"/>
  <c r="D6" i="52"/>
  <c r="F5" i="52"/>
  <c r="E5" i="52"/>
  <c r="D5" i="52"/>
  <c r="F4" i="52"/>
  <c r="E4" i="52"/>
  <c r="D4" i="52"/>
  <c r="L3" i="52"/>
  <c r="L2" i="52"/>
  <c r="I35" i="51"/>
  <c r="H35" i="51"/>
  <c r="G35" i="51"/>
  <c r="I34" i="51"/>
  <c r="H34" i="51"/>
  <c r="G34" i="51"/>
  <c r="I33" i="51"/>
  <c r="H33" i="51"/>
  <c r="G33" i="51"/>
  <c r="I32" i="51"/>
  <c r="H32" i="51"/>
  <c r="G32" i="51"/>
  <c r="I31" i="51"/>
  <c r="H31" i="51"/>
  <c r="G31" i="51"/>
  <c r="I30" i="51"/>
  <c r="H30" i="51"/>
  <c r="G30" i="51"/>
  <c r="I29" i="51"/>
  <c r="H29" i="51"/>
  <c r="G29" i="51"/>
  <c r="I28" i="51"/>
  <c r="H28" i="51"/>
  <c r="G28" i="51"/>
  <c r="I27" i="51"/>
  <c r="H27" i="51"/>
  <c r="G27" i="51"/>
  <c r="I26" i="51"/>
  <c r="H26" i="51"/>
  <c r="G26" i="51"/>
  <c r="I25" i="51"/>
  <c r="H25" i="51"/>
  <c r="G25" i="51"/>
  <c r="I24" i="51"/>
  <c r="H24" i="51"/>
  <c r="G24" i="51"/>
  <c r="I23" i="51"/>
  <c r="H23" i="51"/>
  <c r="G23" i="51"/>
  <c r="H21" i="51"/>
  <c r="G21" i="51"/>
  <c r="E16" i="51"/>
  <c r="D16" i="51"/>
  <c r="E15" i="51"/>
  <c r="D15" i="51"/>
  <c r="E14" i="51"/>
  <c r="D14" i="51"/>
  <c r="E13" i="51"/>
  <c r="D13" i="51"/>
  <c r="E12" i="51"/>
  <c r="D12" i="51"/>
  <c r="E11" i="51"/>
  <c r="D11" i="51"/>
  <c r="E10" i="51"/>
  <c r="D10" i="51"/>
  <c r="E9" i="51"/>
  <c r="D9" i="51"/>
  <c r="E8" i="51"/>
  <c r="D8" i="51"/>
  <c r="E7" i="51"/>
  <c r="D7" i="51"/>
  <c r="E6" i="51"/>
  <c r="D6" i="51"/>
  <c r="E5" i="51"/>
  <c r="D5" i="51"/>
  <c r="E4" i="51"/>
  <c r="D4" i="51"/>
  <c r="F32" i="50"/>
  <c r="F31" i="50"/>
  <c r="D29" i="50"/>
  <c r="D28" i="50"/>
  <c r="C28" i="50"/>
  <c r="D27" i="50"/>
  <c r="C27" i="50"/>
  <c r="D26" i="50"/>
  <c r="C26" i="50"/>
  <c r="D25" i="50"/>
  <c r="C25" i="50"/>
  <c r="D24" i="50"/>
  <c r="C24" i="50"/>
  <c r="D23" i="50"/>
  <c r="C23" i="50"/>
  <c r="D22" i="50"/>
  <c r="C22" i="50"/>
  <c r="D21" i="50"/>
  <c r="C21" i="50"/>
  <c r="D20" i="50"/>
  <c r="C20" i="50"/>
  <c r="D19" i="50"/>
  <c r="C19" i="50"/>
  <c r="D18" i="50"/>
  <c r="C18" i="50"/>
  <c r="D17" i="50"/>
  <c r="C17" i="50"/>
  <c r="E14" i="49"/>
  <c r="D14" i="49"/>
  <c r="C14" i="49"/>
  <c r="E13" i="49"/>
  <c r="D13" i="49"/>
  <c r="C13" i="49"/>
  <c r="E12" i="49"/>
  <c r="D12" i="49"/>
  <c r="C12" i="49"/>
  <c r="E11" i="49"/>
  <c r="D11" i="49"/>
  <c r="C11" i="49"/>
  <c r="E10" i="49"/>
  <c r="D10" i="49"/>
  <c r="C10" i="49"/>
  <c r="E9" i="49"/>
  <c r="D9" i="49"/>
  <c r="C9" i="49"/>
  <c r="E8" i="49"/>
  <c r="D8" i="49"/>
  <c r="C8" i="49"/>
  <c r="E7" i="49"/>
  <c r="D7" i="49"/>
  <c r="C7" i="49"/>
  <c r="E6" i="49"/>
  <c r="D6" i="49"/>
  <c r="C6" i="49"/>
  <c r="E5" i="49"/>
  <c r="D5" i="49"/>
  <c r="C5" i="49"/>
  <c r="E4" i="49"/>
  <c r="E3" i="49"/>
  <c r="E2" i="49"/>
  <c r="E20" i="48"/>
  <c r="D20" i="48"/>
  <c r="C20" i="48"/>
  <c r="C21" i="48" s="1"/>
  <c r="C2" i="48"/>
  <c r="C3" i="48" s="1"/>
  <c r="E17" i="47"/>
  <c r="D16" i="47"/>
  <c r="C14" i="47"/>
  <c r="E13" i="47"/>
  <c r="D13" i="47"/>
  <c r="C13" i="47"/>
  <c r="E12" i="47"/>
  <c r="D12" i="47"/>
  <c r="C12" i="47"/>
  <c r="E11" i="47"/>
  <c r="D11" i="47"/>
  <c r="C11" i="47"/>
  <c r="E10" i="47"/>
  <c r="D10" i="47"/>
  <c r="C10" i="47"/>
  <c r="E9" i="47"/>
  <c r="D9" i="47"/>
  <c r="C9" i="47"/>
  <c r="E8" i="47"/>
  <c r="D8" i="47"/>
  <c r="C8" i="47"/>
  <c r="E7" i="47"/>
  <c r="D7" i="47"/>
  <c r="C7" i="47"/>
  <c r="E6" i="47"/>
  <c r="D6" i="47"/>
  <c r="C6" i="47"/>
  <c r="E5" i="47"/>
  <c r="D5" i="47"/>
  <c r="C5" i="47"/>
  <c r="E37" i="46"/>
  <c r="D36" i="46"/>
  <c r="C34" i="46"/>
  <c r="E33" i="46"/>
  <c r="D33" i="46"/>
  <c r="C33" i="46"/>
  <c r="E32" i="46"/>
  <c r="D32" i="46"/>
  <c r="C32" i="46"/>
  <c r="E31" i="46"/>
  <c r="D31" i="46"/>
  <c r="C31" i="46"/>
  <c r="E30" i="46"/>
  <c r="D30" i="46"/>
  <c r="C30" i="46"/>
  <c r="E29" i="46"/>
  <c r="D29" i="46"/>
  <c r="C29" i="46"/>
  <c r="E28" i="46"/>
  <c r="D28" i="46"/>
  <c r="C28" i="46"/>
  <c r="E27" i="46"/>
  <c r="D27" i="46"/>
  <c r="C27" i="46"/>
  <c r="E26" i="46"/>
  <c r="D26" i="46"/>
  <c r="C26" i="46"/>
  <c r="H18" i="46"/>
  <c r="E18" i="46"/>
  <c r="G17" i="46"/>
  <c r="D17" i="46"/>
  <c r="F15" i="46"/>
  <c r="C15" i="46"/>
  <c r="H14" i="46"/>
  <c r="G14" i="46"/>
  <c r="F14" i="46"/>
  <c r="E14" i="46"/>
  <c r="D14" i="46"/>
  <c r="C14" i="46"/>
  <c r="H13" i="46"/>
  <c r="G13" i="46"/>
  <c r="F13" i="46"/>
  <c r="E13" i="46"/>
  <c r="D13" i="46"/>
  <c r="C13" i="46"/>
  <c r="H12" i="46"/>
  <c r="G12" i="46"/>
  <c r="F12" i="46"/>
  <c r="E12" i="46"/>
  <c r="D12" i="46"/>
  <c r="C12" i="46"/>
  <c r="H11" i="46"/>
  <c r="G11" i="46"/>
  <c r="F11" i="46"/>
  <c r="E11" i="46"/>
  <c r="D11" i="46"/>
  <c r="C11" i="46"/>
  <c r="H10" i="46"/>
  <c r="G10" i="46"/>
  <c r="F10" i="46"/>
  <c r="E10" i="46"/>
  <c r="D10" i="46"/>
  <c r="C10" i="46"/>
  <c r="H9" i="46"/>
  <c r="G9" i="46"/>
  <c r="F9" i="46"/>
  <c r="E9" i="46"/>
  <c r="D9" i="46"/>
  <c r="C9" i="46"/>
  <c r="E8" i="46"/>
  <c r="D8" i="46"/>
  <c r="C8" i="46"/>
  <c r="E7" i="46"/>
  <c r="D7" i="46"/>
  <c r="C7" i="46"/>
  <c r="E6" i="46"/>
  <c r="D6" i="46"/>
  <c r="C6" i="46"/>
  <c r="C35" i="44"/>
  <c r="C34" i="44"/>
  <c r="C31" i="44"/>
  <c r="C30" i="44"/>
  <c r="C29" i="44"/>
  <c r="C28" i="44"/>
  <c r="C27" i="44"/>
  <c r="C26" i="44"/>
  <c r="C25" i="44"/>
  <c r="C24" i="44"/>
  <c r="C23" i="44"/>
  <c r="C22" i="44"/>
  <c r="C18" i="44"/>
  <c r="C35" i="43"/>
  <c r="C34" i="43"/>
  <c r="C31" i="43"/>
  <c r="C30" i="43"/>
  <c r="C29" i="43"/>
  <c r="C28" i="43"/>
  <c r="C27" i="43"/>
  <c r="C26" i="43"/>
  <c r="C25" i="43"/>
  <c r="C24" i="43"/>
  <c r="C23" i="43"/>
  <c r="C22" i="43"/>
  <c r="C18" i="43"/>
  <c r="C35" i="42"/>
  <c r="C34" i="42"/>
  <c r="C31" i="42"/>
  <c r="C30" i="42"/>
  <c r="C29" i="42"/>
  <c r="C28" i="42"/>
  <c r="C27" i="42"/>
  <c r="C26" i="42"/>
  <c r="C25" i="42"/>
  <c r="C24" i="42"/>
  <c r="C23" i="42"/>
  <c r="C22" i="42"/>
  <c r="C18" i="42"/>
  <c r="C31" i="41"/>
  <c r="C30" i="41"/>
  <c r="C29" i="41"/>
  <c r="C28" i="41"/>
  <c r="C27" i="41"/>
  <c r="C26" i="41"/>
  <c r="C25" i="41"/>
  <c r="C24" i="41"/>
  <c r="C23" i="41"/>
  <c r="C22" i="41"/>
  <c r="C18" i="41"/>
  <c r="O68" i="40"/>
  <c r="O58" i="40"/>
  <c r="O60" i="39"/>
  <c r="O59" i="39"/>
  <c r="O58" i="39"/>
  <c r="O57" i="39"/>
  <c r="O56" i="39"/>
  <c r="O55" i="39"/>
  <c r="O54" i="39"/>
  <c r="O53" i="39"/>
  <c r="O52" i="39"/>
  <c r="O51" i="39"/>
  <c r="J27" i="39"/>
  <c r="I27" i="39"/>
  <c r="H27" i="39"/>
  <c r="G27" i="39"/>
  <c r="F27" i="39"/>
  <c r="E27" i="39"/>
  <c r="D27" i="39"/>
  <c r="K26" i="39"/>
  <c r="I26" i="39"/>
  <c r="H26" i="39"/>
  <c r="G26" i="39"/>
  <c r="F26" i="39"/>
  <c r="E26" i="39"/>
  <c r="D26" i="39"/>
  <c r="K25" i="39"/>
  <c r="J25" i="39"/>
  <c r="H25" i="39"/>
  <c r="G25" i="39"/>
  <c r="F25" i="39"/>
  <c r="E25" i="39"/>
  <c r="D25" i="39"/>
  <c r="K24" i="39"/>
  <c r="J24" i="39"/>
  <c r="I24" i="39"/>
  <c r="G24" i="39"/>
  <c r="F24" i="39"/>
  <c r="E24" i="39"/>
  <c r="D24" i="39"/>
  <c r="K23" i="39"/>
  <c r="J23" i="39"/>
  <c r="I23" i="39"/>
  <c r="H23" i="39"/>
  <c r="F23" i="39"/>
  <c r="E23" i="39"/>
  <c r="D23" i="39"/>
  <c r="K22" i="39"/>
  <c r="J22" i="39"/>
  <c r="I22" i="39"/>
  <c r="H22" i="39"/>
  <c r="G22" i="39"/>
  <c r="E22" i="39"/>
  <c r="D22" i="39"/>
  <c r="K21" i="39"/>
  <c r="J21" i="39"/>
  <c r="I21" i="39"/>
  <c r="H21" i="39"/>
  <c r="G21" i="39"/>
  <c r="F21" i="39"/>
  <c r="D21" i="39"/>
  <c r="K20" i="39"/>
  <c r="J20" i="39"/>
  <c r="I20" i="39"/>
  <c r="H20" i="39"/>
  <c r="G20" i="39"/>
  <c r="F20" i="39"/>
  <c r="E20" i="39"/>
  <c r="O16" i="38"/>
  <c r="G22" i="34"/>
  <c r="J33" i="31"/>
  <c r="I33" i="31"/>
  <c r="H33" i="31"/>
  <c r="D33" i="31"/>
  <c r="J32" i="31"/>
  <c r="I32" i="31"/>
  <c r="H32" i="31"/>
  <c r="J31" i="31"/>
  <c r="I31" i="31"/>
  <c r="H31" i="31"/>
  <c r="J30" i="31"/>
  <c r="I30" i="31"/>
  <c r="H30" i="31"/>
  <c r="J29" i="31"/>
  <c r="I29" i="31"/>
  <c r="H29" i="31"/>
  <c r="D29" i="31"/>
  <c r="J28" i="31"/>
  <c r="I28" i="31"/>
  <c r="H28" i="31"/>
  <c r="J27" i="31"/>
  <c r="I27" i="31"/>
  <c r="H27" i="31"/>
  <c r="J26" i="31"/>
  <c r="I26" i="31"/>
  <c r="H26" i="31"/>
  <c r="J25" i="31"/>
  <c r="I25" i="31"/>
  <c r="H25" i="31"/>
  <c r="D25" i="31"/>
  <c r="B25" i="31"/>
  <c r="J24" i="31"/>
  <c r="I24" i="31"/>
  <c r="H24" i="31"/>
  <c r="J23" i="31"/>
  <c r="I23" i="31"/>
  <c r="H23" i="31"/>
  <c r="J22" i="31"/>
  <c r="I22" i="31"/>
  <c r="H22" i="31"/>
  <c r="C22" i="31"/>
  <c r="J21" i="31"/>
  <c r="I21" i="31"/>
  <c r="H21" i="31"/>
  <c r="J20" i="31"/>
  <c r="I20" i="31"/>
  <c r="H20" i="31"/>
  <c r="C20" i="31"/>
  <c r="J19" i="31"/>
  <c r="I19" i="31"/>
  <c r="H19" i="31"/>
  <c r="J18" i="31"/>
  <c r="I18" i="31"/>
  <c r="H18" i="31"/>
  <c r="C18" i="31"/>
  <c r="J17" i="31"/>
  <c r="I17" i="31"/>
  <c r="H17" i="31"/>
  <c r="J16" i="31"/>
  <c r="I16" i="31"/>
  <c r="H16" i="31"/>
  <c r="C16" i="31"/>
  <c r="J15" i="31"/>
  <c r="I15" i="31"/>
  <c r="H15" i="31"/>
  <c r="J14" i="31"/>
  <c r="I14" i="31"/>
  <c r="H14" i="31"/>
  <c r="C14" i="31"/>
  <c r="J13" i="31"/>
  <c r="I13" i="31"/>
  <c r="H13" i="31"/>
  <c r="J12" i="31"/>
  <c r="I12" i="31"/>
  <c r="H12" i="31"/>
  <c r="C12" i="31"/>
  <c r="J11" i="31"/>
  <c r="I11" i="31"/>
  <c r="H11" i="31"/>
  <c r="J10" i="31"/>
  <c r="I10" i="31"/>
  <c r="H10" i="31"/>
  <c r="J9" i="31"/>
  <c r="I9" i="31"/>
  <c r="H9" i="31"/>
  <c r="J8" i="31"/>
  <c r="I8" i="31"/>
  <c r="H8" i="31"/>
  <c r="C8" i="31"/>
  <c r="C6" i="31"/>
  <c r="I2" i="31"/>
  <c r="H2" i="31"/>
  <c r="I34" i="30"/>
  <c r="H34" i="30"/>
  <c r="G34" i="30"/>
  <c r="D34" i="30"/>
  <c r="I33" i="30"/>
  <c r="H33" i="30"/>
  <c r="G33" i="30"/>
  <c r="I32" i="30"/>
  <c r="H32" i="30"/>
  <c r="G32" i="30"/>
  <c r="I31" i="30"/>
  <c r="H31" i="30"/>
  <c r="G31" i="30"/>
  <c r="I30" i="30"/>
  <c r="H30" i="30"/>
  <c r="G30" i="30"/>
  <c r="D30" i="30"/>
  <c r="I29" i="30"/>
  <c r="H29" i="30"/>
  <c r="G29" i="30"/>
  <c r="I28" i="30"/>
  <c r="H28" i="30"/>
  <c r="G28" i="30"/>
  <c r="I27" i="30"/>
  <c r="H27" i="30"/>
  <c r="G27" i="30"/>
  <c r="I26" i="30"/>
  <c r="H26" i="30"/>
  <c r="G26" i="30"/>
  <c r="D26" i="30"/>
  <c r="B26" i="30"/>
  <c r="I25" i="30"/>
  <c r="H25" i="30"/>
  <c r="G25" i="30"/>
  <c r="I24" i="30"/>
  <c r="H24" i="30"/>
  <c r="G24" i="30"/>
  <c r="I23" i="30"/>
  <c r="H23" i="30"/>
  <c r="G23" i="30"/>
  <c r="C23" i="30"/>
  <c r="I22" i="30"/>
  <c r="H22" i="30"/>
  <c r="G22" i="30"/>
  <c r="I21" i="30"/>
  <c r="H21" i="30"/>
  <c r="G21" i="30"/>
  <c r="C21" i="30"/>
  <c r="I20" i="30"/>
  <c r="H20" i="30"/>
  <c r="G20" i="30"/>
  <c r="I19" i="30"/>
  <c r="H19" i="30"/>
  <c r="G19" i="30"/>
  <c r="C19" i="30"/>
  <c r="I18" i="30"/>
  <c r="H18" i="30"/>
  <c r="G18" i="30"/>
  <c r="I17" i="30"/>
  <c r="H17" i="30"/>
  <c r="G17" i="30"/>
  <c r="C17" i="30"/>
  <c r="I16" i="30"/>
  <c r="H16" i="30"/>
  <c r="G16" i="30"/>
  <c r="I15" i="30"/>
  <c r="H15" i="30"/>
  <c r="G15" i="30"/>
  <c r="C15" i="30"/>
  <c r="I14" i="30"/>
  <c r="H14" i="30"/>
  <c r="G14" i="30"/>
  <c r="I13" i="30"/>
  <c r="H13" i="30"/>
  <c r="G13" i="30"/>
  <c r="C13" i="30"/>
  <c r="I12" i="30"/>
  <c r="H12" i="30"/>
  <c r="G12" i="30"/>
  <c r="I11" i="30"/>
  <c r="H11" i="30"/>
  <c r="G11" i="30"/>
  <c r="I10" i="30"/>
  <c r="H10" i="30"/>
  <c r="G10" i="30"/>
  <c r="I9" i="30"/>
  <c r="H9" i="30"/>
  <c r="G9" i="30"/>
  <c r="C9" i="30"/>
  <c r="C7" i="30"/>
  <c r="H5" i="30"/>
  <c r="H4" i="30"/>
  <c r="H3" i="30"/>
  <c r="C56" i="28"/>
  <c r="B56" i="28"/>
  <c r="C55" i="28"/>
  <c r="B55" i="28"/>
  <c r="C54" i="28"/>
  <c r="B54" i="28"/>
  <c r="C53" i="28"/>
  <c r="B53" i="28"/>
  <c r="C52" i="28"/>
  <c r="B52" i="28"/>
  <c r="C50" i="28"/>
  <c r="B50" i="28"/>
  <c r="C49" i="28"/>
  <c r="B49" i="28"/>
  <c r="B21" i="28"/>
  <c r="B19" i="28"/>
  <c r="B17" i="28"/>
  <c r="B15" i="28"/>
  <c r="B13" i="28"/>
  <c r="B11" i="28"/>
  <c r="B9" i="28"/>
  <c r="B7" i="28"/>
  <c r="C58" i="27"/>
  <c r="B58" i="27"/>
  <c r="C57" i="27"/>
  <c r="B57" i="27"/>
  <c r="C56" i="27"/>
  <c r="B56" i="27"/>
  <c r="C55" i="27"/>
  <c r="B55" i="27"/>
  <c r="C54" i="27"/>
  <c r="B54" i="27"/>
  <c r="C52" i="27"/>
  <c r="B52" i="27"/>
  <c r="C51" i="27"/>
  <c r="B51" i="27"/>
  <c r="B23" i="27"/>
  <c r="B21" i="27"/>
  <c r="B19" i="27"/>
  <c r="B17" i="27"/>
  <c r="B15" i="27"/>
  <c r="B13" i="27"/>
  <c r="B9" i="27"/>
  <c r="B7" i="27"/>
  <c r="C56" i="26"/>
  <c r="B56" i="26"/>
  <c r="C55" i="26"/>
  <c r="B55" i="26"/>
  <c r="C54" i="26"/>
  <c r="B54" i="26"/>
  <c r="C53" i="26"/>
  <c r="B53" i="26"/>
  <c r="C52" i="26"/>
  <c r="B52" i="26"/>
  <c r="C50" i="26"/>
  <c r="B50" i="26"/>
  <c r="C49" i="26"/>
  <c r="B49" i="26"/>
  <c r="B21" i="26"/>
  <c r="B19" i="26"/>
  <c r="B17" i="26"/>
  <c r="B15" i="26"/>
  <c r="B13" i="26"/>
  <c r="B11" i="26"/>
  <c r="B9" i="26"/>
  <c r="B7" i="26"/>
  <c r="D14" i="55"/>
  <c r="D14" i="57"/>
  <c r="D78" i="55"/>
  <c r="D16" i="57"/>
  <c r="D76" i="57"/>
  <c r="D46" i="57"/>
  <c r="D46" i="55"/>
  <c r="D44" i="57"/>
  <c r="D7" i="28"/>
  <c r="D44" i="55"/>
  <c r="D7" i="26"/>
  <c r="D9" i="28"/>
  <c r="D9" i="27"/>
  <c r="D9" i="26"/>
  <c r="D76" i="55"/>
  <c r="D7" i="27"/>
  <c r="D16" i="55"/>
  <c r="D78" i="57"/>
  <c r="B20" i="57" l="1"/>
  <c r="B58" i="57"/>
  <c r="B56" i="57"/>
  <c r="B60" i="57" s="1"/>
  <c r="B88" i="57"/>
  <c r="B86" i="57"/>
  <c r="B90" i="57" s="1"/>
  <c r="B52" i="57"/>
  <c r="B82" i="57"/>
  <c r="G18" i="56"/>
  <c r="G12" i="56"/>
  <c r="G15" i="56"/>
  <c r="G21" i="56"/>
  <c r="G29" i="56"/>
  <c r="G16" i="56"/>
  <c r="G26" i="56"/>
  <c r="D30" i="56"/>
  <c r="G9" i="56"/>
  <c r="C13" i="56"/>
  <c r="G23" i="56"/>
  <c r="G30" i="56"/>
  <c r="G13" i="56"/>
  <c r="G20" i="56"/>
  <c r="G27" i="56"/>
  <c r="G10" i="56"/>
  <c r="G17" i="56"/>
  <c r="G24" i="56"/>
  <c r="G31" i="56"/>
  <c r="G14" i="56"/>
  <c r="G33" i="56"/>
  <c r="G19" i="56"/>
  <c r="G34" i="56"/>
  <c r="C4" i="48"/>
  <c r="E3" i="48"/>
  <c r="D3" i="48"/>
  <c r="C22" i="48"/>
  <c r="E21" i="48"/>
  <c r="D21" i="48"/>
  <c r="D2" i="48"/>
  <c r="E2" i="48"/>
  <c r="B88" i="55"/>
  <c r="B86" i="55"/>
  <c r="B90" i="55" s="1"/>
  <c r="B82" i="55"/>
  <c r="B18" i="55"/>
  <c r="B22" i="55" s="1"/>
  <c r="B26" i="55" s="1"/>
  <c r="B50" i="55"/>
  <c r="B52" i="55" s="1"/>
  <c r="B26" i="57" l="1"/>
  <c r="B24" i="57"/>
  <c r="B28" i="57" s="1"/>
  <c r="C15" i="56"/>
  <c r="H9" i="56"/>
  <c r="D22" i="48"/>
  <c r="C23" i="48"/>
  <c r="E22" i="48"/>
  <c r="C5" i="48"/>
  <c r="E4" i="48"/>
  <c r="D4" i="48"/>
  <c r="B54" i="55"/>
  <c r="B58" i="55" s="1"/>
  <c r="B20" i="55"/>
  <c r="B24" i="55"/>
  <c r="B28" i="55" s="1"/>
  <c r="I14" i="56" l="1"/>
  <c r="I24" i="56"/>
  <c r="I25" i="56"/>
  <c r="I17" i="56"/>
  <c r="I18" i="56"/>
  <c r="I11" i="56"/>
  <c r="I10" i="56"/>
  <c r="I32" i="56"/>
  <c r="I28" i="56"/>
  <c r="I21" i="56"/>
  <c r="I31" i="56"/>
  <c r="C17" i="56"/>
  <c r="I15" i="56"/>
  <c r="H11" i="56"/>
  <c r="I9" i="56"/>
  <c r="H12" i="56"/>
  <c r="I23" i="56"/>
  <c r="H21" i="56"/>
  <c r="I22" i="56"/>
  <c r="H18" i="56"/>
  <c r="I30" i="56"/>
  <c r="I29" i="56"/>
  <c r="H15" i="56"/>
  <c r="I33" i="56"/>
  <c r="H22" i="56"/>
  <c r="I19" i="56"/>
  <c r="I13" i="56"/>
  <c r="H25" i="56"/>
  <c r="H28" i="56"/>
  <c r="I20" i="56"/>
  <c r="H29" i="56"/>
  <c r="I34" i="56"/>
  <c r="I16" i="56"/>
  <c r="H32" i="56"/>
  <c r="I12" i="56"/>
  <c r="I26" i="56"/>
  <c r="I27" i="56"/>
  <c r="H10" i="56"/>
  <c r="H34" i="56"/>
  <c r="H23" i="56"/>
  <c r="H17" i="56"/>
  <c r="H30" i="56"/>
  <c r="H16" i="56"/>
  <c r="H13" i="56"/>
  <c r="H33" i="56"/>
  <c r="H24" i="56"/>
  <c r="H26" i="56"/>
  <c r="H14" i="56"/>
  <c r="H19" i="56"/>
  <c r="H31" i="56"/>
  <c r="H27" i="56"/>
  <c r="H20" i="56"/>
  <c r="D5" i="48"/>
  <c r="C6" i="48"/>
  <c r="E5" i="48"/>
  <c r="C24" i="48"/>
  <c r="E23" i="48"/>
  <c r="D23" i="48"/>
  <c r="B56" i="55"/>
  <c r="B60" i="55" s="1"/>
  <c r="H4" i="56" l="1"/>
  <c r="H3" i="56"/>
  <c r="C19" i="56"/>
  <c r="C21" i="56"/>
  <c r="C23" i="56" s="1"/>
  <c r="C25" i="48"/>
  <c r="E24" i="48"/>
  <c r="D24" i="48"/>
  <c r="C7" i="48"/>
  <c r="E6" i="48"/>
  <c r="D6" i="48"/>
  <c r="H5" i="56" l="1"/>
  <c r="C26" i="48"/>
  <c r="E25" i="48"/>
  <c r="D25" i="48"/>
  <c r="C8" i="48"/>
  <c r="E7" i="48"/>
  <c r="D7" i="48"/>
  <c r="C9" i="48" l="1"/>
  <c r="E8" i="48"/>
  <c r="D8" i="48"/>
  <c r="D26" i="48"/>
  <c r="C27" i="48"/>
  <c r="E26" i="48"/>
  <c r="C28" i="48" l="1"/>
  <c r="E27" i="48"/>
  <c r="D27" i="48"/>
  <c r="C10" i="48"/>
  <c r="E9" i="48"/>
  <c r="D9" i="48"/>
  <c r="C11" i="48" l="1"/>
  <c r="E10" i="48"/>
  <c r="D10" i="48"/>
  <c r="C29" i="48"/>
  <c r="E28" i="48"/>
  <c r="D28" i="48"/>
  <c r="C30" i="48" l="1"/>
  <c r="E29" i="48"/>
  <c r="D29" i="48"/>
  <c r="E11" i="48"/>
  <c r="C12" i="48"/>
  <c r="D11" i="48"/>
  <c r="C13" i="48" l="1"/>
  <c r="E12" i="48"/>
  <c r="D12" i="48"/>
  <c r="D30" i="48"/>
  <c r="C31" i="48"/>
  <c r="E30" i="48"/>
  <c r="C32" i="48" l="1"/>
  <c r="E31" i="48"/>
  <c r="E35" i="48" s="1"/>
  <c r="D31" i="48"/>
  <c r="D34" i="48" s="1"/>
  <c r="D13" i="48"/>
  <c r="D16" i="48" s="1"/>
  <c r="C14" i="48"/>
  <c r="E13" i="48"/>
  <c r="E17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" authorId="0" shapeId="0" xr:uid="{00000000-0006-0000-1B00-000001000000}">
      <text>
        <r>
          <rPr>
            <b/>
            <sz val="9"/>
            <rFont val="Tahoma"/>
            <family val="2"/>
          </rPr>
          <t>CL*IR =
Y/ (seasonalized forecast)</t>
        </r>
      </text>
    </comment>
  </commentList>
</comments>
</file>

<file path=xl/sharedStrings.xml><?xml version="1.0" encoding="utf-8"?>
<sst xmlns="http://schemas.openxmlformats.org/spreadsheetml/2006/main" count="1785" uniqueCount="531">
  <si>
    <t>per minute</t>
  </si>
  <si>
    <t>Average number in queue, Lq</t>
  </si>
  <si>
    <t>Average number in system, Ls</t>
  </si>
  <si>
    <t>Average time in system, Ws</t>
  </si>
  <si>
    <t>Prob (no customers)</t>
  </si>
  <si>
    <t>No. of customers in queue</t>
  </si>
  <si>
    <t>Lq</t>
  </si>
  <si>
    <t>No. of customers in system</t>
  </si>
  <si>
    <t>Waiting time in queue</t>
  </si>
  <si>
    <t>Wq</t>
  </si>
  <si>
    <t>Time in system</t>
  </si>
  <si>
    <t>k</t>
  </si>
  <si>
    <t>ρ</t>
  </si>
  <si>
    <t>Ls</t>
  </si>
  <si>
    <t>Ws</t>
  </si>
  <si>
    <t>Average time in queue, Wq</t>
  </si>
  <si>
    <t>M/M/1</t>
  </si>
  <si>
    <t>M/G/1</t>
  </si>
  <si>
    <t>M/D/1</t>
  </si>
  <si>
    <t xml:space="preserve"> </t>
  </si>
  <si>
    <t>minutes</t>
  </si>
  <si>
    <t>Utilisation</t>
  </si>
  <si>
    <t>No. of servers</t>
  </si>
  <si>
    <t>μ</t>
  </si>
  <si>
    <t>Service rate</t>
  </si>
  <si>
    <t>Arrival rate</t>
  </si>
  <si>
    <t>λ</t>
  </si>
  <si>
    <t>Queuing Model</t>
  </si>
  <si>
    <t xml:space="preserve">M/M/1 </t>
  </si>
  <si>
    <t>Average Arrival Rate</t>
  </si>
  <si>
    <t>Average Service Rate</t>
  </si>
  <si>
    <t>Queue Length, Lq</t>
  </si>
  <si>
    <t>Number in System, Ls</t>
  </si>
  <si>
    <t>Queuing Time, Wq</t>
  </si>
  <si>
    <t>Time in System, Ws</t>
  </si>
  <si>
    <t>Standard Deviation of Service Times</t>
  </si>
  <si>
    <t>Utilization</t>
  </si>
  <si>
    <t>minute</t>
  </si>
  <si>
    <r>
      <t xml:space="preserve">Arrival Rate, </t>
    </r>
    <r>
      <rPr>
        <sz val="12"/>
        <color theme="1"/>
        <rFont val="Calibri"/>
        <family val="2"/>
      </rPr>
      <t>λ</t>
    </r>
  </si>
  <si>
    <r>
      <t xml:space="preserve">Service Rate, </t>
    </r>
    <r>
      <rPr>
        <sz val="12"/>
        <color theme="1"/>
        <rFont val="Calibri"/>
        <family val="2"/>
      </rPr>
      <t>μ</t>
    </r>
  </si>
  <si>
    <r>
      <t xml:space="preserve">System Utilization, </t>
    </r>
    <r>
      <rPr>
        <sz val="12"/>
        <color theme="1"/>
        <rFont val="Calibri"/>
        <family val="2"/>
      </rPr>
      <t>ρ</t>
    </r>
  </si>
  <si>
    <r>
      <t>Probability of no customers, P</t>
    </r>
    <r>
      <rPr>
        <vertAlign val="subscript"/>
        <sz val="12"/>
        <color theme="1"/>
        <rFont val="Calibri"/>
        <family val="2"/>
        <scheme val="minor"/>
      </rPr>
      <t>0</t>
    </r>
  </si>
  <si>
    <t>M/M/k</t>
  </si>
  <si>
    <r>
      <t>P</t>
    </r>
    <r>
      <rPr>
        <vertAlign val="subscript"/>
        <sz val="14"/>
        <rFont val="Arial"/>
        <family val="2"/>
      </rPr>
      <t>0</t>
    </r>
  </si>
  <si>
    <t>Probability of n customers in system, Pn</t>
  </si>
  <si>
    <t>No. of customers in system, n</t>
  </si>
  <si>
    <t>k - 1 =</t>
  </si>
  <si>
    <t>Assume service times are exponentially distributed.</t>
  </si>
  <si>
    <r>
      <t xml:space="preserve">Standard deviation of service times, </t>
    </r>
    <r>
      <rPr>
        <sz val="12"/>
        <color theme="1"/>
        <rFont val="Calibri"/>
        <family val="2"/>
      </rPr>
      <t xml:space="preserve">σ </t>
    </r>
  </si>
  <si>
    <t>Assume service times follow a general distribution and std dev of 0.5 min.</t>
  </si>
  <si>
    <t>Assume service times are constant.</t>
  </si>
  <si>
    <t>Problem Statement:</t>
  </si>
  <si>
    <t>Probability 
(At least 1 self-checkout machine):</t>
  </si>
  <si>
    <t>Probability 
(At least 2 customers in the queue):</t>
  </si>
  <si>
    <t>Arrival rate = 150 customers per hour</t>
  </si>
  <si>
    <t>Mean checkout time = 2.5 minutes</t>
  </si>
  <si>
    <t>Shift the H column according to k value</t>
  </si>
  <si>
    <t>Length # of people</t>
  </si>
  <si>
    <t>Waiting time</t>
  </si>
  <si>
    <t>No of people in a system</t>
  </si>
  <si>
    <t>Dijkstra's Algorithm</t>
  </si>
  <si>
    <t>Optimal Route</t>
  </si>
  <si>
    <t>Iteration</t>
  </si>
  <si>
    <t>Solution Set</t>
  </si>
  <si>
    <t>Arcs</t>
  </si>
  <si>
    <t>Total Cost</t>
  </si>
  <si>
    <t>From node O to</t>
  </si>
  <si>
    <t>Route</t>
  </si>
  <si>
    <t>Total Distance</t>
  </si>
  <si>
    <t>O</t>
  </si>
  <si>
    <t>O -&gt; A</t>
  </si>
  <si>
    <t>Node A</t>
  </si>
  <si>
    <t>O -&gt; B</t>
  </si>
  <si>
    <t>Node B</t>
  </si>
  <si>
    <t>O -&gt; C</t>
  </si>
  <si>
    <t>Node C</t>
  </si>
  <si>
    <t>Node D</t>
  </si>
  <si>
    <t>O -&gt; B -&gt; D</t>
  </si>
  <si>
    <t>(15+32)</t>
  </si>
  <si>
    <t>Node E</t>
  </si>
  <si>
    <t>O -&gt; B -&gt; D -&gt; E</t>
  </si>
  <si>
    <t>(47+7)</t>
  </si>
  <si>
    <t>C (13)</t>
  </si>
  <si>
    <t>C -&gt; B</t>
  </si>
  <si>
    <t>B -&gt; D</t>
  </si>
  <si>
    <t>B (15)</t>
  </si>
  <si>
    <t>A -&gt; D</t>
  </si>
  <si>
    <t>A -&gt; E</t>
  </si>
  <si>
    <t>A (25)</t>
  </si>
  <si>
    <t>D -&gt; E</t>
  </si>
  <si>
    <t>D (47)</t>
  </si>
  <si>
    <t>E (54)</t>
  </si>
  <si>
    <t>From DC to</t>
  </si>
  <si>
    <t>1 -&gt; 3</t>
  </si>
  <si>
    <t>City 2</t>
  </si>
  <si>
    <t>1 -&gt; 2</t>
  </si>
  <si>
    <t>1 -&gt; 4</t>
  </si>
  <si>
    <t>City 3</t>
  </si>
  <si>
    <t>City 4</t>
  </si>
  <si>
    <t>City 5</t>
  </si>
  <si>
    <t>1 -&gt; 4 -&gt; 5</t>
  </si>
  <si>
    <t>City 6</t>
  </si>
  <si>
    <t>1 -&gt; 3 -&gt; 6</t>
  </si>
  <si>
    <t>3 -&gt; 6</t>
  </si>
  <si>
    <t>City 7</t>
  </si>
  <si>
    <t>1 -&gt; 3 -&gt; 7</t>
  </si>
  <si>
    <t>3 (73)</t>
  </si>
  <si>
    <t>3 -&gt; 7</t>
  </si>
  <si>
    <t>2 -&gt; 4</t>
  </si>
  <si>
    <t>2 -&gt; 5</t>
  </si>
  <si>
    <t>2 (89)</t>
  </si>
  <si>
    <t>4 -&gt; 7</t>
  </si>
  <si>
    <t>4 -&gt; 5</t>
  </si>
  <si>
    <t>4 (96)</t>
  </si>
  <si>
    <t>7 (154)</t>
  </si>
  <si>
    <t>5 (162)</t>
  </si>
  <si>
    <t>6 (167)</t>
  </si>
  <si>
    <t>Ford-Fulkerson's Algorithm</t>
  </si>
  <si>
    <t>Step 1</t>
  </si>
  <si>
    <t>Change each directed arc in the original network into an undirected arc. Arc capacity in the original direction remains the same; arc capacity in the opposite direction is set to be zero.</t>
  </si>
  <si>
    <t>Add Path 1</t>
  </si>
  <si>
    <t>Flow Quantity</t>
  </si>
  <si>
    <t>O - A - C - E</t>
  </si>
  <si>
    <t>O - A - B - C - E</t>
  </si>
  <si>
    <t>O - A - B - D - E</t>
  </si>
  <si>
    <t>O - B - D - E</t>
  </si>
  <si>
    <t>Total</t>
  </si>
  <si>
    <t>Add Path 2</t>
  </si>
  <si>
    <t>Add Path 3</t>
  </si>
  <si>
    <t>Add path 4</t>
  </si>
  <si>
    <t>Apply Dijkstra's Algorithm to find the shortest path from JB to each of the other cities.</t>
  </si>
  <si>
    <t>JB</t>
  </si>
  <si>
    <t>JB - M</t>
  </si>
  <si>
    <t>SHORTEST PATH SOLUTION</t>
  </si>
  <si>
    <t>JB - S</t>
  </si>
  <si>
    <t>From JB to</t>
  </si>
  <si>
    <t>Shortest Path</t>
  </si>
  <si>
    <t>JB - K</t>
  </si>
  <si>
    <t>M</t>
  </si>
  <si>
    <t>JB -&gt; M</t>
  </si>
  <si>
    <t>S</t>
  </si>
  <si>
    <t>JB -&gt; S</t>
  </si>
  <si>
    <t>KL</t>
  </si>
  <si>
    <t>JB -&gt; M -&gt; KL</t>
  </si>
  <si>
    <t>K</t>
  </si>
  <si>
    <t>JB -&gt; K</t>
  </si>
  <si>
    <t>M (30)</t>
  </si>
  <si>
    <t>KT</t>
  </si>
  <si>
    <t>JB -&gt; K -&gt; KT</t>
  </si>
  <si>
    <t>M - S</t>
  </si>
  <si>
    <t>30+25=55</t>
  </si>
  <si>
    <t>IPOH</t>
  </si>
  <si>
    <t>JB -&gt; M -&gt; KL -&gt; IPOH</t>
  </si>
  <si>
    <t>M - KL</t>
  </si>
  <si>
    <t>30+45=75</t>
  </si>
  <si>
    <t>GT</t>
  </si>
  <si>
    <t>JB -&gt; M -&gt; KL -&gt; GT</t>
  </si>
  <si>
    <t>KB</t>
  </si>
  <si>
    <t>JB -&gt; K -&gt; KB</t>
  </si>
  <si>
    <t>AS</t>
  </si>
  <si>
    <t>JB -&gt; M -&gt; KL -&gt; IPOH -&gt; AS</t>
  </si>
  <si>
    <t>S (50)</t>
  </si>
  <si>
    <t>S - KL</t>
  </si>
  <si>
    <t>50+30=80</t>
  </si>
  <si>
    <t>KL - GT</t>
  </si>
  <si>
    <t>75+80=155</t>
  </si>
  <si>
    <t>KL - IPOH</t>
  </si>
  <si>
    <t>75+60=135</t>
  </si>
  <si>
    <t>KL (75)</t>
  </si>
  <si>
    <t>K - IPOH</t>
  </si>
  <si>
    <t>80+100=180</t>
  </si>
  <si>
    <t>K - KT</t>
  </si>
  <si>
    <t>80+40=120</t>
  </si>
  <si>
    <t>K (80)</t>
  </si>
  <si>
    <t>K - KB</t>
  </si>
  <si>
    <t>80+80=160</t>
  </si>
  <si>
    <t>KT - KB</t>
  </si>
  <si>
    <t>120+60=180</t>
  </si>
  <si>
    <t>KT - AS</t>
  </si>
  <si>
    <t>120+75=195</t>
  </si>
  <si>
    <t>KT (120)</t>
  </si>
  <si>
    <t>IPOH - GT</t>
  </si>
  <si>
    <t>135+75=210</t>
  </si>
  <si>
    <t>IPOH - AS</t>
  </si>
  <si>
    <t>135+55=190</t>
  </si>
  <si>
    <t>IPOH (135)</t>
  </si>
  <si>
    <t>GT - AS</t>
  </si>
  <si>
    <t>155+45=200</t>
  </si>
  <si>
    <t>GT (155)</t>
  </si>
  <si>
    <t>KB (160)</t>
  </si>
  <si>
    <t>AS (190)</t>
  </si>
  <si>
    <t>A (6)</t>
  </si>
  <si>
    <t>C (9)</t>
  </si>
  <si>
    <t>C -&gt; E</t>
  </si>
  <si>
    <t>B -&gt; F</t>
  </si>
  <si>
    <t xml:space="preserve">B (10) </t>
  </si>
  <si>
    <t>B (10)</t>
  </si>
  <si>
    <t>E (14)</t>
  </si>
  <si>
    <t>D -&gt; F</t>
  </si>
  <si>
    <t>D (15)</t>
  </si>
  <si>
    <t>F (20)</t>
  </si>
  <si>
    <t>Apply Ford Fulkerson's Algorithm to determine maximum flow from Johor Bahru to Alor Setar</t>
  </si>
  <si>
    <t>Change each directed arc in the original network into an undirected arc. Arc capacity in the original direction remains the same; arc capacity in the opposite direction is set to be zero</t>
  </si>
  <si>
    <t>Add path 1</t>
  </si>
  <si>
    <t>JB - M - KL - GT - AS</t>
  </si>
  <si>
    <t>Add path 2</t>
  </si>
  <si>
    <t>JB - S - KL - I - AS</t>
  </si>
  <si>
    <t>Add path 3</t>
  </si>
  <si>
    <t>JB - K - KT - KB</t>
  </si>
  <si>
    <t>JB - K - KB</t>
  </si>
  <si>
    <t>Add path 5</t>
  </si>
  <si>
    <t>JB - K - I - GT - AS</t>
  </si>
  <si>
    <t>Final Solution</t>
  </si>
  <si>
    <t>Nearest Neighbour Method</t>
  </si>
  <si>
    <t>Distance Table</t>
  </si>
  <si>
    <t>From</t>
  </si>
  <si>
    <t>To (Distance in km)</t>
  </si>
  <si>
    <t>Route (tour): A-G-F-E-D-C-I-H-B-A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</si>
  <si>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</si>
  <si>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</si>
  <si>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</si>
  <si>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</si>
  <si>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</si>
  <si>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</si>
  <si>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</si>
  <si>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</si>
  <si>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</si>
  <si>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Serangoon North (Depot)</t>
  </si>
  <si>
    <t>To</t>
  </si>
  <si>
    <t>Distance</t>
  </si>
  <si>
    <t>Jalan Angklong</t>
  </si>
  <si>
    <t>Sumang link</t>
  </si>
  <si>
    <t>Rivervale Crescent</t>
  </si>
  <si>
    <t>Rivervale Street</t>
  </si>
  <si>
    <t>Jalan Pelikat</t>
  </si>
  <si>
    <t>Lorong Lew Lian</t>
  </si>
  <si>
    <t>Fernvale Link</t>
  </si>
  <si>
    <t>Sengkang West Way</t>
  </si>
  <si>
    <t>Total Dist.</t>
  </si>
  <si>
    <t>km</t>
  </si>
  <si>
    <t>Clarke &amp; Wright Savings Method</t>
  </si>
  <si>
    <t>Savings Table</t>
  </si>
  <si>
    <t>Tour Construction</t>
  </si>
  <si>
    <t>Savings</t>
  </si>
  <si>
    <t>Rank</t>
  </si>
  <si>
    <t>Saving</t>
  </si>
  <si>
    <t>Tour</t>
  </si>
  <si>
    <t>Remarks</t>
  </si>
  <si>
    <t>-</t>
  </si>
  <si>
    <t>(1) A-D-E-A</t>
  </si>
  <si>
    <t xml:space="preserve">Initiate new tour </t>
  </si>
  <si>
    <t>(1) A-C-D-E-A</t>
  </si>
  <si>
    <t>Join C and D</t>
  </si>
  <si>
    <t>C and E are already assigned to the same route</t>
  </si>
  <si>
    <r>
      <rPr>
        <b/>
        <sz val="11"/>
        <rFont val="Arial"/>
        <family val="2"/>
      </rPr>
      <t xml:space="preserve">(1) A-C-D-E-A
</t>
    </r>
    <r>
      <rPr>
        <b/>
        <sz val="11"/>
        <color rgb="FFFF0000"/>
        <rFont val="Arial"/>
        <family val="2"/>
      </rPr>
      <t>(2) A-H-I-A</t>
    </r>
  </si>
  <si>
    <t>D is not adjacent to A</t>
  </si>
  <si>
    <r>
      <rPr>
        <b/>
        <sz val="11"/>
        <rFont val="Arial"/>
        <family val="2"/>
      </rPr>
      <t xml:space="preserve">(1) A-C-D-E-A
(2) A-H-I-A
</t>
    </r>
    <r>
      <rPr>
        <b/>
        <sz val="11"/>
        <color rgb="FFFF0000"/>
        <rFont val="Arial"/>
        <family val="2"/>
      </rPr>
      <t>(3) A-F-G-A</t>
    </r>
  </si>
  <si>
    <r>
      <rPr>
        <b/>
        <sz val="11"/>
        <rFont val="Arial"/>
        <family val="2"/>
      </rPr>
      <t xml:space="preserve">(1) A-C-D-E-A
(2) A-H-I-A
</t>
    </r>
    <r>
      <rPr>
        <b/>
        <sz val="11"/>
        <color rgb="FFFF0000"/>
        <rFont val="Arial"/>
        <family val="2"/>
      </rPr>
      <t>(3) A-F-G-B-A</t>
    </r>
  </si>
  <si>
    <t>Join B and G</t>
  </si>
  <si>
    <r>
      <rPr>
        <b/>
        <sz val="11"/>
        <color rgb="FFFF0000"/>
        <rFont val="Arial"/>
        <family val="2"/>
      </rPr>
      <t>(1) A-C-D-E-H-I-A</t>
    </r>
    <r>
      <rPr>
        <b/>
        <sz val="11"/>
        <rFont val="Arial"/>
        <family val="2"/>
      </rPr>
      <t xml:space="preserve">
(2) A-F-G-B-A</t>
    </r>
  </si>
  <si>
    <t>Join E and H; Merge the 2 tours</t>
  </si>
  <si>
    <t>E and I are already assigned to the same route</t>
  </si>
  <si>
    <t>C and I are already assigned to the same route</t>
  </si>
  <si>
    <t>C and H are already assigned to the same route</t>
  </si>
  <si>
    <t>B and F are already assigned to the same route</t>
  </si>
  <si>
    <t>E is not adjacent to A</t>
  </si>
  <si>
    <t>(1) A-C-D-E-H-I-B-G-F-A</t>
  </si>
  <si>
    <t>Join B and I; Merge the 2 tours</t>
  </si>
  <si>
    <t xml:space="preserve">Route (tour): </t>
  </si>
  <si>
    <t>A-C-D-E-H-I-B-G-F-A</t>
  </si>
  <si>
    <t>Clarke &amp; Wright Savings Method (with vehicle capacity)</t>
  </si>
  <si>
    <r>
      <rPr>
        <sz val="12"/>
        <rFont val="Arial"/>
        <family val="2"/>
      </rPr>
      <t xml:space="preserve">Capacity of ExpressD’s vans is </t>
    </r>
    <r>
      <rPr>
        <b/>
        <sz val="12"/>
        <rFont val="Arial"/>
        <family val="2"/>
      </rPr>
      <t>600 kg</t>
    </r>
    <r>
      <rPr>
        <sz val="12"/>
        <rFont val="Arial"/>
        <family val="2"/>
      </rPr>
      <t>.</t>
    </r>
  </si>
  <si>
    <t>Customer</t>
  </si>
  <si>
    <t>Delivery Load (kg)</t>
  </si>
  <si>
    <t>Cumulative Load</t>
  </si>
  <si>
    <t>150+200=350</t>
  </si>
  <si>
    <t>Initiate a new route: A-D-E-A</t>
  </si>
  <si>
    <t>100+150+200=450</t>
  </si>
  <si>
    <t>Link C with D</t>
  </si>
  <si>
    <t>C and E are already assigned 
to the same route</t>
  </si>
  <si>
    <t>100+150+200=450
180+90 = 270</t>
  </si>
  <si>
    <t>Initiate another route: A-H-I-A</t>
  </si>
  <si>
    <t>100+150+200=450
180+90 = 270
80+100=180</t>
  </si>
  <si>
    <t>Initiate another route: A-F-G-A</t>
  </si>
  <si>
    <t>100+150+200=450
180+90 = 270
80+100+150=330</t>
  </si>
  <si>
    <t>Link B with G</t>
  </si>
  <si>
    <r>
      <rPr>
        <b/>
        <sz val="11"/>
        <color rgb="FFFF0000"/>
        <rFont val="Arial"/>
        <family val="2"/>
      </rPr>
      <t>(1) A-C-D-E-I-A
(2) A-H-A</t>
    </r>
    <r>
      <rPr>
        <b/>
        <sz val="11"/>
        <rFont val="Arial"/>
        <family val="2"/>
      </rPr>
      <t xml:space="preserve">
(3) A-F-G-B-A</t>
    </r>
  </si>
  <si>
    <t>100+150+200+90=540, 180
80+100+150=330</t>
  </si>
  <si>
    <t>Cannot link E with H, because truck capacity (600 kg) will be violated, start new route for H.</t>
  </si>
  <si>
    <t>Both E and I are already in a route</t>
  </si>
  <si>
    <t>Both C and I are already in a route</t>
  </si>
  <si>
    <t>Cannot merge C with H, because truck capacity (600 kg) will be violated</t>
  </si>
  <si>
    <t>Both B and F are already in a route</t>
  </si>
  <si>
    <r>
      <rPr>
        <b/>
        <sz val="11"/>
        <color theme="1"/>
        <rFont val="Arial"/>
        <family val="2"/>
      </rPr>
      <t>CWS Original route: 
A-C-D-E-H-I-B-G-F-A</t>
    </r>
    <r>
      <rPr>
        <b/>
        <sz val="11"/>
        <color rgb="FFFF0000"/>
        <rFont val="Arial"/>
        <family val="2"/>
      </rPr>
      <t xml:space="preserve">
New route (With Vehicle Capacity):
(1) A-C-D-E-A
(2) A-H-I-B-G-F-A</t>
    </r>
  </si>
  <si>
    <t>100+150+200=450, 180+90+150+100+80=600</t>
  </si>
  <si>
    <t>Link B and I</t>
  </si>
  <si>
    <t>Truck 1: A-C-D-E-A with load 450kg and total distance 16.6km
Truck 2: A-H-I-B-G-F-A with load 600kg and total distance 27.9km</t>
  </si>
  <si>
    <t>Truck 1: A-C-D-E-A, Truck 2: A-H-I-B-G-F-A</t>
  </si>
  <si>
    <t>Truck 1</t>
  </si>
  <si>
    <t>Truck 2</t>
  </si>
  <si>
    <t>Delivery Load
(KG)</t>
  </si>
  <si>
    <t>A-C-D-E-A</t>
  </si>
  <si>
    <t>A-H-I-B-G-F-A</t>
  </si>
  <si>
    <t>Decision Variables</t>
  </si>
  <si>
    <t>Amount Flow</t>
  </si>
  <si>
    <t>Unit Cost</t>
  </si>
  <si>
    <t>X14</t>
  </si>
  <si>
    <t>X17</t>
  </si>
  <si>
    <t>X27</t>
  </si>
  <si>
    <t>X38</t>
  </si>
  <si>
    <t>X39</t>
  </si>
  <si>
    <t>X48</t>
  </si>
  <si>
    <t>X49</t>
  </si>
  <si>
    <t>X56</t>
  </si>
  <si>
    <t>X58</t>
  </si>
  <si>
    <t>X59</t>
  </si>
  <si>
    <t>X83</t>
  </si>
  <si>
    <t>X102</t>
  </si>
  <si>
    <t>X103</t>
  </si>
  <si>
    <t>X108</t>
  </si>
  <si>
    <t xml:space="preserve">Minimize Total Cost = </t>
  </si>
  <si>
    <t>Net Flow Constraints</t>
  </si>
  <si>
    <t>constraint equation LHS</t>
  </si>
  <si>
    <t>LHS</t>
  </si>
  <si>
    <t>Sign</t>
  </si>
  <si>
    <t>RHS</t>
  </si>
  <si>
    <t xml:space="preserve">Supply Node 1: </t>
  </si>
  <si>
    <t>X14+X17=1200</t>
  </si>
  <si>
    <t>=</t>
  </si>
  <si>
    <t xml:space="preserve">Supply Node 5: </t>
  </si>
  <si>
    <t>X56+X58+X59=800</t>
  </si>
  <si>
    <t xml:space="preserve">Supply Node 10: </t>
  </si>
  <si>
    <t>X102+X103+X108=1000</t>
  </si>
  <si>
    <t>Transhipment Node 2:</t>
  </si>
  <si>
    <t>X27-X102=0</t>
  </si>
  <si>
    <t>Demand Node 3</t>
  </si>
  <si>
    <t>X38+X39-X83-X103=-600</t>
  </si>
  <si>
    <t>Demand Node 4</t>
  </si>
  <si>
    <t>X48+X49-X14=-800</t>
  </si>
  <si>
    <t xml:space="preserve">Demand Node 6:                  </t>
  </si>
  <si>
    <t>-X56=-300</t>
  </si>
  <si>
    <r>
      <rPr>
        <b/>
        <sz val="14"/>
        <color rgb="FF000000"/>
        <rFont val="Calibri"/>
        <family val="2"/>
      </rPr>
      <t xml:space="preserve">Demand Node 7:                   </t>
    </r>
    <r>
      <rPr>
        <b/>
        <vertAlign val="subscript"/>
        <sz val="14"/>
        <color rgb="FF000000"/>
        <rFont val="Calibri"/>
        <family val="2"/>
      </rPr>
      <t xml:space="preserve"> </t>
    </r>
  </si>
  <si>
    <t>-X17-X27=-500</t>
  </si>
  <si>
    <t>Demand Node 8</t>
  </si>
  <si>
    <t>X83-X38-X58-X108=-500</t>
  </si>
  <si>
    <r>
      <rPr>
        <b/>
        <sz val="14"/>
        <color rgb="FF000000"/>
        <rFont val="Calibri"/>
        <family val="2"/>
      </rPr>
      <t xml:space="preserve">Demand Node 9:                   </t>
    </r>
    <r>
      <rPr>
        <b/>
        <vertAlign val="subscript"/>
        <sz val="14"/>
        <color rgb="FF000000"/>
        <rFont val="Calibri"/>
        <family val="2"/>
      </rPr>
      <t xml:space="preserve"> </t>
    </r>
  </si>
  <si>
    <t>-X39-X49-X59=-300</t>
  </si>
  <si>
    <t>Arc Capacity Constraints</t>
  </si>
  <si>
    <t>Arc 10-3</t>
  </si>
  <si>
    <t>Arc 5-9</t>
  </si>
  <si>
    <t>X103 &lt;= 500</t>
  </si>
  <si>
    <t>&lt;=</t>
  </si>
  <si>
    <t>X59 &lt;= 200</t>
  </si>
  <si>
    <t>X14+X17=1000</t>
  </si>
  <si>
    <t>When supply (2800) &lt; Demand (-3000),</t>
  </si>
  <si>
    <t>We change the demand node sign to "&gt;="</t>
  </si>
  <si>
    <t>&gt;=</t>
  </si>
  <si>
    <t>Supply &gt; Demand</t>
  </si>
  <si>
    <t>3000 &gt; 2900</t>
  </si>
  <si>
    <t>When supply (3000) &gt; Demand (-2900),</t>
  </si>
  <si>
    <t>We change the supply node sign to "&lt;="</t>
  </si>
  <si>
    <t>X83-X38-X58-X108=-400</t>
  </si>
  <si>
    <t>Month</t>
  </si>
  <si>
    <r>
      <rPr>
        <b/>
        <sz val="10"/>
        <rFont val="Arial"/>
        <family val="2"/>
      </rPr>
      <t>Actual</t>
    </r>
    <r>
      <rPr>
        <sz val="10"/>
        <rFont val="Arial"/>
        <family val="2"/>
      </rPr>
      <t xml:space="preserve"> Sales Figure (No. of Units)</t>
    </r>
  </si>
  <si>
    <t>Forecast
(N = 3)</t>
  </si>
  <si>
    <t>Absolute deviation 
(Actual - Forecast)</t>
  </si>
  <si>
    <t>Absolute percent error 
[(Actual - Forecast)/Actual]</t>
  </si>
  <si>
    <t>Forecast
(N = 6)</t>
  </si>
  <si>
    <t>MAD</t>
  </si>
  <si>
    <t>MAPE</t>
  </si>
  <si>
    <t>Actual Sales Figure (No. of Units)</t>
  </si>
  <si>
    <t>Forecast
(N = 4)</t>
  </si>
  <si>
    <t>Sales Figure (No. of Units)</t>
  </si>
  <si>
    <t>Forecast
(N = 3, Weight: 5,3,1)</t>
  </si>
  <si>
    <t>Forecast
(alpha = 0.2)</t>
  </si>
  <si>
    <t>Forecast
(alpha = 0.7)</t>
  </si>
  <si>
    <t>(MA, N = 3)</t>
  </si>
  <si>
    <t>WMA (5,3,1)</t>
  </si>
  <si>
    <t>SES (0.2)</t>
  </si>
  <si>
    <t>Sales Price (SGD)</t>
  </si>
  <si>
    <t>Mileage (km)</t>
  </si>
  <si>
    <t>x (independent variable)</t>
  </si>
  <si>
    <t>y (dependent variable)</t>
  </si>
  <si>
    <t>Forecasted Sales Prices</t>
  </si>
  <si>
    <t>AD</t>
  </si>
  <si>
    <t>(β1, Slope)</t>
  </si>
  <si>
    <t>(β0, Intercept)</t>
  </si>
  <si>
    <t>Linear Regression</t>
  </si>
  <si>
    <t>Year</t>
  </si>
  <si>
    <t>Period</t>
  </si>
  <si>
    <t>Percentage of Senior Citizen</t>
  </si>
  <si>
    <t>Forecast for Linear Regression</t>
  </si>
  <si>
    <t>???</t>
  </si>
  <si>
    <t>Holt's Method</t>
  </si>
  <si>
    <t>L0</t>
  </si>
  <si>
    <t>T0</t>
  </si>
  <si>
    <t>Forecast for Holts</t>
  </si>
  <si>
    <t>Forecast for Holts (Ht)</t>
  </si>
  <si>
    <t>L1</t>
  </si>
  <si>
    <t>T1</t>
  </si>
  <si>
    <t>H1</t>
  </si>
  <si>
    <t>L2</t>
  </si>
  <si>
    <t>T2</t>
  </si>
  <si>
    <t>H2</t>
  </si>
  <si>
    <t>L3</t>
  </si>
  <si>
    <t>T3</t>
  </si>
  <si>
    <t>H3</t>
  </si>
  <si>
    <t>L4</t>
  </si>
  <si>
    <t>T4</t>
  </si>
  <si>
    <t>H4</t>
  </si>
  <si>
    <t>L5</t>
  </si>
  <si>
    <t>T5</t>
  </si>
  <si>
    <t>H5</t>
  </si>
  <si>
    <t>L6</t>
  </si>
  <si>
    <t>T6</t>
  </si>
  <si>
    <t>H6</t>
  </si>
  <si>
    <t>L7</t>
  </si>
  <si>
    <t>T7</t>
  </si>
  <si>
    <t>H7</t>
  </si>
  <si>
    <t>L8</t>
  </si>
  <si>
    <t>T8</t>
  </si>
  <si>
    <t>H8</t>
  </si>
  <si>
    <t>L9</t>
  </si>
  <si>
    <t>T9</t>
  </si>
  <si>
    <t>H9</t>
  </si>
  <si>
    <t>L10</t>
  </si>
  <si>
    <t>T10</t>
  </si>
  <si>
    <t>H10</t>
  </si>
  <si>
    <t>L11</t>
  </si>
  <si>
    <t>T11</t>
  </si>
  <si>
    <t>H11</t>
  </si>
  <si>
    <t>L12</t>
  </si>
  <si>
    <t>T12</t>
  </si>
  <si>
    <t>H12</t>
  </si>
  <si>
    <t>L13</t>
  </si>
  <si>
    <t>T13</t>
  </si>
  <si>
    <t>H13</t>
  </si>
  <si>
    <t>H14</t>
  </si>
  <si>
    <t>Alpha</t>
  </si>
  <si>
    <t>Beta</t>
  </si>
  <si>
    <t>Linear Regression Forecast</t>
  </si>
  <si>
    <t>APE</t>
  </si>
  <si>
    <r>
      <rPr>
        <sz val="11"/>
        <color theme="1"/>
        <rFont val="Arial"/>
        <family val="2"/>
      </rPr>
      <t>L</t>
    </r>
    <r>
      <rPr>
        <sz val="11"/>
        <color theme="1"/>
        <rFont val="Aptos"/>
        <family val="2"/>
      </rPr>
      <t>t</t>
    </r>
    <r>
      <rPr>
        <sz val="11"/>
        <color theme="1"/>
        <rFont val="Arial"/>
        <family val="2"/>
      </rPr>
      <t xml:space="preserve"> (a)
[Intercept]</t>
    </r>
  </si>
  <si>
    <t>Tt (b)
[Slope]</t>
  </si>
  <si>
    <t>Holt's Ht (c)</t>
  </si>
  <si>
    <t>H15</t>
  </si>
  <si>
    <t>Sales (No. of Units)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</si>
  <si>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</si>
  <si>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</si>
  <si>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</si>
  <si>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</si>
  <si>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</si>
  <si>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</si>
  <si>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</si>
  <si>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</si>
  <si>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</si>
  <si>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</si>
  <si>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</si>
  <si>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</si>
  <si>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</si>
  <si>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</si>
  <si>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</si>
  <si>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</si>
  <si>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Input Data</t>
  </si>
  <si>
    <t>Seasonal Index Computation</t>
  </si>
  <si>
    <t>Forecast &amp; Error analysis</t>
  </si>
  <si>
    <t>Further decomposition for Cyclicity and Irregular Variations</t>
  </si>
  <si>
    <t>Sales (No. of Units) 
(Y)</t>
  </si>
  <si>
    <t>Time Period (X)</t>
  </si>
  <si>
    <t>Moving Average
(e.g. 4 quarters)</t>
  </si>
  <si>
    <t xml:space="preserve">Centred Moving Average 
(=(MAi-1 + MAi)/2)
</t>
  </si>
  <si>
    <t>Seasonal Ratio (=Yi/CMAi)</t>
  </si>
  <si>
    <t>Seasonal Index 
(= normalized average of seasonal ratio)</t>
  </si>
  <si>
    <t>Deseasonalized value 
(= Yi / Seasonal Indexi)</t>
  </si>
  <si>
    <t xml:space="preserve">Deseasonalized forecast
(=slope*Xi + intercept) 
</t>
  </si>
  <si>
    <t>Seasonalized forecast
(= Seasonal Indexi *Deseasonalized forecasti)</t>
  </si>
  <si>
    <t>Absolute Deviation, AD
(= |Yi - Seasonalized forecasti|)</t>
  </si>
  <si>
    <t>Cyclicity*Irregular (=Yi/Seasonalized forecasti)</t>
  </si>
  <si>
    <t>Cyclicity (3-period MA)</t>
  </si>
  <si>
    <t>Irregular Variations (=Cyclicity*Irregulari/Cyclicityi)</t>
  </si>
  <si>
    <t>Intercept</t>
  </si>
  <si>
    <t>Slope</t>
  </si>
  <si>
    <t>Equation Y(X)</t>
  </si>
  <si>
    <t>Y = 9.273X + 568.499</t>
  </si>
  <si>
    <t>Seasonal Ratios</t>
  </si>
  <si>
    <t>4 seasons (4 quarters in a repetitive cycle)</t>
  </si>
  <si>
    <t>y = Deseasonalized value (dependent variable)
x = time period (independent variable)</t>
  </si>
  <si>
    <t>Repetitive Cycle</t>
  </si>
  <si>
    <t>Season 1 (Q1)</t>
  </si>
  <si>
    <t>Season 2 (Q2)</t>
  </si>
  <si>
    <t>Season 3 (Q3)</t>
  </si>
  <si>
    <t>Season 4 (Q4)</t>
  </si>
  <si>
    <t>Q1-19 to Q4-19</t>
  </si>
  <si>
    <t>Q1-20 to Q4-20</t>
  </si>
  <si>
    <t>Formula (Normalized Average)</t>
  </si>
  <si>
    <t>* Average Seasonal Ratio</t>
  </si>
  <si>
    <t>Q1-21 to Q4-21</t>
  </si>
  <si>
    <t>Q1-22 to Q4-22</t>
  </si>
  <si>
    <t>Average</t>
  </si>
  <si>
    <t>Sum (Average SR)</t>
  </si>
  <si>
    <t>Normalized Average</t>
  </si>
  <si>
    <t>After removing the seasonal effect, the data exhibits an observable linear trend with random variations.</t>
  </si>
  <si>
    <t>Forecast for the next 4 quarters</t>
  </si>
  <si>
    <t>Quarter</t>
  </si>
  <si>
    <t>Time Period</t>
  </si>
  <si>
    <t>Deseasonalized Forecast
(LR)</t>
  </si>
  <si>
    <r>
      <rPr>
        <sz val="11"/>
        <color rgb="FF0000FF"/>
        <rFont val="Calibri"/>
        <family val="2"/>
        <scheme val="minor"/>
      </rPr>
      <t xml:space="preserve">Seasonal Index
</t>
    </r>
    <r>
      <rPr>
        <b/>
        <sz val="11"/>
        <color theme="1"/>
        <rFont val="Calibri"/>
        <family val="2"/>
        <scheme val="minor"/>
      </rPr>
      <t>(Normalized Avg)</t>
    </r>
  </si>
  <si>
    <t>Seasonalized Forecast (Next 4 Quarters)</t>
  </si>
  <si>
    <t>Q1-23</t>
  </si>
  <si>
    <t>Q2-23</t>
  </si>
  <si>
    <t>Q3-23</t>
  </si>
  <si>
    <t>Q4-23</t>
  </si>
  <si>
    <t>Average customers that arrive every hour</t>
  </si>
  <si>
    <t>Average cashier takes to process checkout (in s)</t>
  </si>
  <si>
    <t>If units in hours, we take _____/60 --&gt; output: in mins</t>
  </si>
  <si>
    <t>If units in secs, we take 60/_____ --&gt; output: in mins</t>
  </si>
  <si>
    <t>Average customers that arrive (per hour)</t>
  </si>
  <si>
    <r>
      <t xml:space="preserve">Assume service times are </t>
    </r>
    <r>
      <rPr>
        <b/>
        <sz val="11"/>
        <color theme="1"/>
        <rFont val="Arial"/>
        <family val="2"/>
      </rPr>
      <t>exponentially distributed.</t>
    </r>
  </si>
  <si>
    <t>Average cashier takes to process checkout (in mins)</t>
  </si>
  <si>
    <t>If units in minutes, we take 1/_____ --&gt; output: in mins</t>
  </si>
  <si>
    <r>
      <t xml:space="preserve">Assume service times follow a general distribution and </t>
    </r>
    <r>
      <rPr>
        <b/>
        <sz val="11"/>
        <color theme="1"/>
        <rFont val="Arial"/>
        <family val="2"/>
      </rPr>
      <t>std dev of 1 min.</t>
    </r>
  </si>
  <si>
    <t>M/M/1 (Negative Exponential Distribution)</t>
  </si>
  <si>
    <t>M/G/1 (General distribution with mean µ 
and standard deviation σ)</t>
  </si>
  <si>
    <t>M/D/1 (Constant (deterministic)
Constant service time = std dev is 0</t>
  </si>
  <si>
    <t>Y = Slope(X) + Intercept</t>
  </si>
  <si>
    <r>
      <rPr>
        <sz val="16"/>
        <color theme="1"/>
        <rFont val="Arial"/>
        <family val="2"/>
      </rPr>
      <t xml:space="preserve">- Gives </t>
    </r>
    <r>
      <rPr>
        <b/>
        <sz val="16"/>
        <color rgb="FFFF0000"/>
        <rFont val="Arial"/>
        <family val="2"/>
      </rPr>
      <t>more importance</t>
    </r>
    <r>
      <rPr>
        <sz val="16"/>
        <color theme="1"/>
        <rFont val="Arial"/>
        <family val="2"/>
      </rPr>
      <t xml:space="preserve"> (weights) to recent data points
</t>
    </r>
    <r>
      <rPr>
        <b/>
        <sz val="16"/>
        <color rgb="FFFF0000"/>
        <rFont val="Arial"/>
        <family val="2"/>
      </rPr>
      <t>- More responsive</t>
    </r>
    <r>
      <rPr>
        <sz val="16"/>
        <rFont val="Arial"/>
        <family val="2"/>
      </rPr>
      <t xml:space="preserve"> to current trends compared with MA, which weighs all points equally</t>
    </r>
  </si>
  <si>
    <r>
      <t xml:space="preserve">Will lag </t>
    </r>
    <r>
      <rPr>
        <b/>
        <sz val="16"/>
        <color theme="7"/>
        <rFont val="Arial"/>
        <family val="2"/>
      </rPr>
      <t>(N+1)/2</t>
    </r>
    <r>
      <rPr>
        <sz val="16"/>
        <rFont val="Arial"/>
        <family val="2"/>
      </rPr>
      <t xml:space="preserve"> periods if trend is present
Small N value - </t>
    </r>
    <r>
      <rPr>
        <b/>
        <sz val="16"/>
        <color rgb="FFFF0000"/>
        <rFont val="Arial"/>
        <family val="2"/>
      </rPr>
      <t>very</t>
    </r>
    <r>
      <rPr>
        <sz val="16"/>
        <rFont val="Arial"/>
        <family val="2"/>
      </rPr>
      <t xml:space="preserve"> responsive
Large N value - </t>
    </r>
    <r>
      <rPr>
        <b/>
        <sz val="16"/>
        <color rgb="FFFF0000"/>
        <rFont val="Arial"/>
        <family val="2"/>
      </rPr>
      <t>less</t>
    </r>
    <r>
      <rPr>
        <sz val="16"/>
        <rFont val="Arial"/>
        <family val="2"/>
      </rPr>
      <t xml:space="preserve"> responsive
Identify medium &amp; long-term trends</t>
    </r>
  </si>
  <si>
    <r>
      <t xml:space="preserve">SES - Short term forecasting
Requires </t>
    </r>
    <r>
      <rPr>
        <b/>
        <sz val="16"/>
        <color theme="7"/>
        <rFont val="Arial"/>
        <family val="2"/>
      </rPr>
      <t>little record keeping of past data</t>
    </r>
    <r>
      <rPr>
        <sz val="16"/>
        <rFont val="Arial"/>
        <family val="2"/>
      </rPr>
      <t xml:space="preserve"> and is best suited for a time series without upward/ downward trend</t>
    </r>
  </si>
  <si>
    <r>
      <t xml:space="preserve">Will lag by </t>
    </r>
    <r>
      <rPr>
        <b/>
        <sz val="16"/>
        <color rgb="FFFF0000"/>
        <rFont val="Arial"/>
        <family val="2"/>
      </rPr>
      <t>1/α periods</t>
    </r>
    <r>
      <rPr>
        <sz val="16"/>
        <rFont val="Arial"/>
        <family val="2"/>
      </rPr>
      <t xml:space="preserve"> if trend is present
α value is small - response to change is SLOW
α value is large - response to change is FAST </t>
    </r>
  </si>
  <si>
    <t>Percent Absolute Deviation, % AD 
(AD/Sales)</t>
  </si>
  <si>
    <r>
      <t xml:space="preserve">AD = |Actual Sales Figure – Forecast Value|
APE = |Actual Sales Figure – Forecast Value|/Actual Sales Figure * 100%
Small error - </t>
    </r>
    <r>
      <rPr>
        <b/>
        <sz val="16"/>
        <color rgb="FFFF0000"/>
        <rFont val="Arial"/>
        <family val="2"/>
      </rPr>
      <t>more</t>
    </r>
    <r>
      <rPr>
        <sz val="16"/>
        <rFont val="Arial"/>
        <family val="2"/>
      </rPr>
      <t xml:space="preserve"> accurate forecast
Large error - forecast model </t>
    </r>
    <r>
      <rPr>
        <b/>
        <sz val="16"/>
        <color rgb="FFFF0000"/>
        <rFont val="Arial"/>
        <family val="2"/>
      </rPr>
      <t>may need revision</t>
    </r>
    <r>
      <rPr>
        <sz val="16"/>
        <rFont val="Arial"/>
        <family val="2"/>
      </rPr>
      <t xml:space="preserve">
Comparison: Lowest MAD &amp; MAPE = better accuracy (lower avg error)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</si>
</sst>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$&quot;* #,##0.00_-;\-&quot;$&quot;* #,##0.00_-;_-&quot;$&quot;* &quot;-&quot;??_-;_-@_-"/>
    <numFmt numFmtId="164" formatCode="0.000"/>
    <numFmt numFmtId="165" formatCode="0.0000"/>
    <numFmt numFmtId="166" formatCode="0.0"/>
    <numFmt numFmtId="167" formatCode="0.00000"/>
    <numFmt numFmtId="168" formatCode="0.000%"/>
    <numFmt numFmtId="169" formatCode="&quot;$&quot;#,##0.00"/>
    <numFmt numFmtId="170" formatCode="&quot;$&quot;#,##0_);[Red]\(&quot;$&quot;#,##0\)"/>
    <numFmt numFmtId="171" formatCode="0.0000%"/>
  </numFmts>
  <fonts count="6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vertAlign val="subscript"/>
      <sz val="14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FF"/>
      <name val="Calibri"/>
      <family val="2"/>
      <scheme val="minor"/>
    </font>
    <font>
      <sz val="16"/>
      <color rgb="FF0000FF"/>
      <name val="Calibri"/>
      <family val="2"/>
      <scheme val="minor"/>
    </font>
    <font>
      <sz val="11"/>
      <color rgb="FFC55A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theme="9" tint="-0.2499465926084170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1"/>
    </font>
    <font>
      <sz val="12"/>
      <name val="Arial"/>
      <family val="2"/>
    </font>
    <font>
      <u/>
      <sz val="14"/>
      <name val="Arial"/>
      <family val="1"/>
    </font>
    <font>
      <u/>
      <sz val="14"/>
      <color rgb="FF000000"/>
      <name val="Arial"/>
      <family val="2"/>
    </font>
    <font>
      <sz val="14"/>
      <color rgb="FF000000"/>
      <name val="Arial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b/>
      <sz val="16"/>
      <color theme="1"/>
      <name val="Aptos Narrow"/>
      <family val="2"/>
    </font>
    <font>
      <sz val="11"/>
      <color theme="1"/>
      <name val="Aptos"/>
      <family val="2"/>
    </font>
    <font>
      <b/>
      <vertAlign val="subscript"/>
      <sz val="14"/>
      <color rgb="FF000000"/>
      <name val="Calibri"/>
      <family val="2"/>
    </font>
    <font>
      <b/>
      <sz val="12"/>
      <name val="Arial"/>
      <family val="2"/>
    </font>
    <font>
      <b/>
      <sz val="9"/>
      <name val="Tahoma"/>
      <family val="2"/>
    </font>
    <font>
      <sz val="16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theme="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D7F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4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CED5DD"/>
      </left>
      <right style="medium">
        <color rgb="FFCED5DD"/>
      </right>
      <top style="medium">
        <color rgb="FFCED5DD"/>
      </top>
      <bottom style="thick">
        <color rgb="FFCED5DD"/>
      </bottom>
      <diagonal/>
    </border>
    <border>
      <left style="medium">
        <color rgb="FFCED5DD"/>
      </left>
      <right style="medium">
        <color rgb="FFCED5DD"/>
      </right>
      <top style="thick">
        <color rgb="FFCED5DD"/>
      </top>
      <bottom style="medium">
        <color rgb="FFCED5DD"/>
      </bottom>
      <diagonal/>
    </border>
    <border>
      <left style="medium">
        <color rgb="FFCED5DD"/>
      </left>
      <right style="medium">
        <color rgb="FFCED5DD"/>
      </right>
      <top style="medium">
        <color rgb="FFCED5DD"/>
      </top>
      <bottom style="medium">
        <color rgb="FFCED5DD"/>
      </bottom>
      <diagonal/>
    </border>
    <border>
      <left style="medium">
        <color rgb="FFCED5DD"/>
      </left>
      <right/>
      <top style="medium">
        <color rgb="FFCED5DD"/>
      </top>
      <bottom style="thick">
        <color rgb="FFCED5DD"/>
      </bottom>
      <diagonal/>
    </border>
    <border>
      <left style="medium">
        <color rgb="FFCED5DD"/>
      </left>
      <right/>
      <top style="thick">
        <color rgb="FFCED5DD"/>
      </top>
      <bottom style="medium">
        <color rgb="FFCED5DD"/>
      </bottom>
      <diagonal/>
    </border>
    <border>
      <left style="medium">
        <color rgb="FFCED5DD"/>
      </left>
      <right/>
      <top style="medium">
        <color rgb="FFCED5DD"/>
      </top>
      <bottom style="medium">
        <color rgb="FFCED5D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43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6" fillId="0" borderId="1" xfId="0" applyFont="1" applyBorder="1"/>
    <xf numFmtId="164" fontId="6" fillId="0" borderId="0" xfId="0" applyNumberFormat="1" applyFont="1"/>
    <xf numFmtId="164" fontId="6" fillId="0" borderId="8" xfId="0" applyNumberFormat="1" applyFont="1" applyBorder="1"/>
    <xf numFmtId="0" fontId="0" fillId="0" borderId="9" xfId="0" applyBorder="1"/>
    <xf numFmtId="0" fontId="10" fillId="0" borderId="0" xfId="0" applyFont="1"/>
    <xf numFmtId="0" fontId="11" fillId="0" borderId="0" xfId="0" applyFont="1"/>
    <xf numFmtId="0" fontId="12" fillId="2" borderId="8" xfId="0" applyFont="1" applyFill="1" applyBorder="1"/>
    <xf numFmtId="0" fontId="12" fillId="2" borderId="8" xfId="0" applyFont="1" applyFill="1" applyBorder="1" applyAlignment="1">
      <alignment horizontal="center"/>
    </xf>
    <xf numFmtId="164" fontId="13" fillId="3" borderId="8" xfId="0" applyNumberFormat="1" applyFont="1" applyFill="1" applyBorder="1" applyAlignment="1">
      <alignment horizontal="center"/>
    </xf>
    <xf numFmtId="0" fontId="12" fillId="2" borderId="8" xfId="0" applyFont="1" applyFill="1" applyBorder="1" applyAlignment="1">
      <alignment horizontal="right"/>
    </xf>
    <xf numFmtId="0" fontId="12" fillId="2" borderId="0" xfId="0" applyFont="1" applyFill="1"/>
    <xf numFmtId="165" fontId="12" fillId="3" borderId="8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165" fontId="12" fillId="2" borderId="10" xfId="0" applyNumberFormat="1" applyFont="1" applyFill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1" fontId="12" fillId="2" borderId="8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64" fontId="0" fillId="0" borderId="11" xfId="0" applyNumberFormat="1" applyBorder="1" applyAlignment="1">
      <alignment vertical="center" wrapText="1"/>
    </xf>
    <xf numFmtId="164" fontId="0" fillId="0" borderId="11" xfId="0" applyNumberFormat="1" applyBorder="1"/>
    <xf numFmtId="0" fontId="15" fillId="0" borderId="0" xfId="0" applyFont="1"/>
    <xf numFmtId="164" fontId="0" fillId="0" borderId="12" xfId="0" applyNumberFormat="1" applyBorder="1"/>
    <xf numFmtId="164" fontId="0" fillId="0" borderId="12" xfId="0" applyNumberForma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6" fillId="0" borderId="8" xfId="0" applyFont="1" applyBorder="1"/>
    <xf numFmtId="164" fontId="6" fillId="3" borderId="8" xfId="0" applyNumberFormat="1" applyFont="1" applyFill="1" applyBorder="1"/>
    <xf numFmtId="0" fontId="16" fillId="0" borderId="0" xfId="0" applyFont="1"/>
    <xf numFmtId="0" fontId="0" fillId="0" borderId="8" xfId="0" applyBorder="1" applyAlignment="1">
      <alignment wrapText="1"/>
    </xf>
    <xf numFmtId="0" fontId="17" fillId="0" borderId="0" xfId="0" applyFont="1"/>
    <xf numFmtId="0" fontId="18" fillId="4" borderId="8" xfId="0" applyFont="1" applyFill="1" applyBorder="1" applyAlignment="1">
      <alignment horizontal="center"/>
    </xf>
    <xf numFmtId="166" fontId="12" fillId="3" borderId="8" xfId="0" applyNumberFormat="1" applyFont="1" applyFill="1" applyBorder="1" applyAlignment="1">
      <alignment horizontal="center"/>
    </xf>
    <xf numFmtId="0" fontId="6" fillId="5" borderId="8" xfId="0" applyFont="1" applyFill="1" applyBorder="1"/>
    <xf numFmtId="2" fontId="13" fillId="0" borderId="0" xfId="0" applyNumberFormat="1" applyFont="1" applyAlignment="1">
      <alignment horizontal="center"/>
    </xf>
    <xf numFmtId="2" fontId="12" fillId="2" borderId="8" xfId="0" applyNumberFormat="1" applyFont="1" applyFill="1" applyBorder="1" applyAlignment="1">
      <alignment horizontal="center"/>
    </xf>
    <xf numFmtId="0" fontId="6" fillId="6" borderId="8" xfId="0" applyFont="1" applyFill="1" applyBorder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6" fillId="2" borderId="4" xfId="0" applyFont="1" applyFill="1" applyBorder="1" applyAlignment="1">
      <alignment horizontal="center" vertical="center" wrapText="1" readingOrder="1"/>
    </xf>
    <xf numFmtId="0" fontId="36" fillId="2" borderId="17" xfId="0" applyFont="1" applyFill="1" applyBorder="1" applyAlignment="1">
      <alignment horizontal="center" vertical="center" wrapText="1" readingOrder="1"/>
    </xf>
    <xf numFmtId="0" fontId="57" fillId="0" borderId="8" xfId="0" applyFont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 readingOrder="1"/>
    </xf>
    <xf numFmtId="0" fontId="15" fillId="2" borderId="17" xfId="0" applyFont="1" applyFill="1" applyBorder="1" applyAlignment="1">
      <alignment horizontal="center" vertical="center" wrapText="1" readingOrder="1"/>
    </xf>
    <xf numFmtId="0" fontId="15" fillId="0" borderId="5" xfId="0" applyFont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2" borderId="7" xfId="0" applyFont="1" applyFill="1" applyBorder="1" applyAlignment="1">
      <alignment horizontal="center" vertical="center" wrapText="1" readingOrder="1"/>
    </xf>
    <xf numFmtId="0" fontId="15" fillId="2" borderId="18" xfId="0" applyFont="1" applyFill="1" applyBorder="1" applyAlignment="1">
      <alignment vertical="center" wrapText="1" readingOrder="1"/>
    </xf>
    <xf numFmtId="0" fontId="15" fillId="0" borderId="0" xfId="0" applyFont="1" applyAlignment="1">
      <alignment horizontal="center" vertical="center" wrapText="1" readingOrder="1"/>
    </xf>
    <xf numFmtId="0" fontId="15" fillId="0" borderId="18" xfId="0" applyFont="1" applyBorder="1" applyAlignment="1">
      <alignment horizontal="center" vertical="center" wrapText="1" readingOrder="1"/>
    </xf>
    <xf numFmtId="0" fontId="57" fillId="0" borderId="8" xfId="0" applyFont="1" applyBorder="1" applyAlignment="1">
      <alignment horizontal="center" vertical="center" wrapText="1" readingOrder="1"/>
    </xf>
    <xf numFmtId="0" fontId="15" fillId="2" borderId="2" xfId="0" applyFont="1" applyFill="1" applyBorder="1" applyAlignment="1">
      <alignment horizontal="center" vertical="center" wrapText="1" readingOrder="1"/>
    </xf>
    <xf numFmtId="0" fontId="15" fillId="2" borderId="19" xfId="0" applyFont="1" applyFill="1" applyBorder="1" applyAlignment="1">
      <alignment vertical="center" wrapText="1" readingOrder="1"/>
    </xf>
    <xf numFmtId="0" fontId="48" fillId="0" borderId="9" xfId="0" applyFont="1" applyBorder="1" applyAlignment="1">
      <alignment horizontal="center" vertical="center" wrapText="1" readingOrder="1"/>
    </xf>
    <xf numFmtId="0" fontId="48" fillId="0" borderId="19" xfId="0" applyFont="1" applyBorder="1" applyAlignment="1">
      <alignment horizontal="center" vertical="center" wrapText="1" readingOrder="1"/>
    </xf>
    <xf numFmtId="0" fontId="15" fillId="2" borderId="0" xfId="0" applyFont="1" applyFill="1" applyAlignment="1">
      <alignment horizontal="center" vertical="center" wrapText="1" readingOrder="1"/>
    </xf>
    <xf numFmtId="0" fontId="57" fillId="0" borderId="8" xfId="0" applyFont="1" applyBorder="1"/>
    <xf numFmtId="0" fontId="15" fillId="2" borderId="20" xfId="0" applyFont="1" applyFill="1" applyBorder="1" applyAlignment="1">
      <alignment horizontal="center" vertical="center" wrapText="1" readingOrder="1"/>
    </xf>
    <xf numFmtId="0" fontId="15" fillId="2" borderId="21" xfId="0" applyFont="1" applyFill="1" applyBorder="1" applyAlignment="1">
      <alignment horizontal="center" vertical="center" wrapText="1" readingOrder="1"/>
    </xf>
    <xf numFmtId="0" fontId="15" fillId="0" borderId="21" xfId="0" applyFont="1" applyBorder="1" applyAlignment="1">
      <alignment horizontal="center" vertical="center" wrapText="1" readingOrder="1"/>
    </xf>
    <xf numFmtId="0" fontId="15" fillId="0" borderId="22" xfId="0" applyFont="1" applyBorder="1" applyAlignment="1">
      <alignment horizontal="center" vertical="center" wrapText="1" readingOrder="1"/>
    </xf>
    <xf numFmtId="0" fontId="15" fillId="2" borderId="18" xfId="0" applyFont="1" applyFill="1" applyBorder="1" applyAlignment="1">
      <alignment horizontal="center" vertical="center" wrapText="1" readingOrder="1"/>
    </xf>
    <xf numFmtId="0" fontId="48" fillId="0" borderId="18" xfId="0" applyFont="1" applyBorder="1" applyAlignment="1">
      <alignment horizontal="center" vertical="center" wrapText="1" readingOrder="1"/>
    </xf>
    <xf numFmtId="0" fontId="0" fillId="2" borderId="18" xfId="0" applyFill="1" applyBorder="1" applyAlignment="1">
      <alignment horizontal="center" vertical="center" wrapText="1" readingOrder="1"/>
    </xf>
    <xf numFmtId="0" fontId="15" fillId="2" borderId="19" xfId="0" applyFont="1" applyFill="1" applyBorder="1" applyAlignment="1">
      <alignment horizontal="center" vertical="center" wrapText="1" readingOrder="1"/>
    </xf>
    <xf numFmtId="0" fontId="0" fillId="2" borderId="19" xfId="0" applyFill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15" fillId="2" borderId="23" xfId="0" applyFont="1" applyFill="1" applyBorder="1" applyAlignment="1">
      <alignment horizontal="center" vertical="center" wrapText="1" readingOrder="1"/>
    </xf>
    <xf numFmtId="0" fontId="15" fillId="0" borderId="24" xfId="0" applyFont="1" applyBorder="1" applyAlignment="1">
      <alignment horizontal="center" vertical="center" wrapText="1" readingOrder="1"/>
    </xf>
    <xf numFmtId="0" fontId="15" fillId="0" borderId="25" xfId="0" applyFont="1" applyBorder="1" applyAlignment="1">
      <alignment horizontal="center" vertical="center" wrapText="1" readingOrder="1"/>
    </xf>
    <xf numFmtId="0" fontId="15" fillId="2" borderId="0" xfId="0" applyFont="1" applyFill="1" applyAlignment="1">
      <alignment vertical="center" wrapText="1" readingOrder="1"/>
    </xf>
    <xf numFmtId="0" fontId="15" fillId="2" borderId="26" xfId="0" applyFont="1" applyFill="1" applyBorder="1" applyAlignment="1">
      <alignment horizontal="center" vertical="center" wrapText="1" readingOrder="1"/>
    </xf>
    <xf numFmtId="0" fontId="15" fillId="2" borderId="27" xfId="0" applyFont="1" applyFill="1" applyBorder="1" applyAlignment="1">
      <alignment horizontal="center" vertical="center" wrapText="1" readingOrder="1"/>
    </xf>
    <xf numFmtId="0" fontId="15" fillId="0" borderId="28" xfId="0" applyFont="1" applyBorder="1" applyAlignment="1">
      <alignment horizontal="center" vertical="center" wrapText="1" readingOrder="1"/>
    </xf>
    <xf numFmtId="0" fontId="15" fillId="0" borderId="29" xfId="0" applyFont="1" applyBorder="1" applyAlignment="1">
      <alignment horizontal="center" vertical="center" wrapText="1" readingOrder="1"/>
    </xf>
    <xf numFmtId="0" fontId="48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 wrapText="1" readingOrder="1"/>
    </xf>
    <xf numFmtId="0" fontId="48" fillId="0" borderId="4" xfId="0" applyFont="1" applyBorder="1" applyAlignment="1">
      <alignment horizontal="center" vertical="center" wrapText="1" readingOrder="1"/>
    </xf>
    <xf numFmtId="0" fontId="48" fillId="0" borderId="17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15" fillId="0" borderId="2" xfId="0" applyFont="1" applyBorder="1" applyAlignment="1">
      <alignment horizontal="center" vertical="center" wrapText="1" readingOrder="1"/>
    </xf>
    <xf numFmtId="0" fontId="15" fillId="0" borderId="27" xfId="0" applyFont="1" applyBorder="1" applyAlignment="1">
      <alignment horizontal="center" vertical="center" wrapText="1" readingOrder="1"/>
    </xf>
    <xf numFmtId="0" fontId="48" fillId="3" borderId="5" xfId="0" applyFont="1" applyFill="1" applyBorder="1" applyAlignment="1">
      <alignment horizontal="center" vertical="center" wrapText="1" readingOrder="1"/>
    </xf>
    <xf numFmtId="0" fontId="48" fillId="3" borderId="17" xfId="0" applyFont="1" applyFill="1" applyBorder="1" applyAlignment="1">
      <alignment horizontal="center" vertical="center" wrapText="1" readingOrder="1"/>
    </xf>
    <xf numFmtId="0" fontId="15" fillId="0" borderId="9" xfId="0" applyFont="1" applyBorder="1" applyAlignment="1">
      <alignment horizontal="center" vertical="center" wrapText="1" readingOrder="1"/>
    </xf>
    <xf numFmtId="0" fontId="48" fillId="3" borderId="18" xfId="0" applyFont="1" applyFill="1" applyBorder="1" applyAlignment="1">
      <alignment horizontal="center" vertical="center" wrapText="1" readingOrder="1"/>
    </xf>
    <xf numFmtId="0" fontId="48" fillId="3" borderId="19" xfId="0" applyFont="1" applyFill="1" applyBorder="1" applyAlignment="1">
      <alignment horizontal="center" vertical="center" wrapText="1" readingOrder="1"/>
    </xf>
    <xf numFmtId="0" fontId="48" fillId="3" borderId="1" xfId="0" applyFont="1" applyFill="1" applyBorder="1" applyAlignment="1">
      <alignment horizontal="center" vertical="center" wrapText="1" readingOrder="1"/>
    </xf>
    <xf numFmtId="0" fontId="48" fillId="3" borderId="4" xfId="0" applyFont="1" applyFill="1" applyBorder="1" applyAlignment="1">
      <alignment horizontal="center" vertical="center" wrapText="1" readingOrder="1"/>
    </xf>
    <xf numFmtId="0" fontId="48" fillId="0" borderId="0" xfId="0" applyFont="1"/>
    <xf numFmtId="0" fontId="15" fillId="0" borderId="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8" fillId="0" borderId="8" xfId="0" applyFont="1" applyBorder="1" applyAlignment="1">
      <alignment horizontal="center"/>
    </xf>
    <xf numFmtId="0" fontId="55" fillId="0" borderId="0" xfId="0" applyFont="1"/>
    <xf numFmtId="0" fontId="48" fillId="0" borderId="5" xfId="0" applyFont="1" applyBorder="1" applyAlignment="1">
      <alignment horizontal="center" vertical="center" wrapText="1" readingOrder="1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2" borderId="24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0" borderId="6" xfId="0" applyFont="1" applyBorder="1" applyAlignment="1">
      <alignment horizontal="center" vertical="center" wrapText="1" readingOrder="1"/>
    </xf>
    <xf numFmtId="0" fontId="18" fillId="0" borderId="0" xfId="0" applyFont="1"/>
    <xf numFmtId="0" fontId="48" fillId="0" borderId="6" xfId="0" applyFont="1" applyBorder="1" applyAlignment="1">
      <alignment horizontal="center" vertical="center" wrapText="1" readingOrder="1"/>
    </xf>
    <xf numFmtId="0" fontId="48" fillId="0" borderId="7" xfId="0" applyFont="1" applyBorder="1" applyAlignment="1">
      <alignment horizontal="center" vertical="center" wrapText="1" readingOrder="1"/>
    </xf>
    <xf numFmtId="0" fontId="48" fillId="0" borderId="0" xfId="0" applyFont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readingOrder="1"/>
    </xf>
    <xf numFmtId="0" fontId="0" fillId="2" borderId="3" xfId="0" applyFill="1" applyBorder="1" applyAlignment="1">
      <alignment horizontal="center" vertical="center" readingOrder="1"/>
    </xf>
    <xf numFmtId="0" fontId="15" fillId="2" borderId="6" xfId="0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readingOrder="1"/>
    </xf>
    <xf numFmtId="0" fontId="54" fillId="2" borderId="0" xfId="0" applyFont="1" applyFill="1" applyAlignment="1">
      <alignment horizontal="center" vertical="center" readingOrder="1"/>
    </xf>
    <xf numFmtId="0" fontId="48" fillId="2" borderId="18" xfId="0" applyFont="1" applyFill="1" applyBorder="1" applyAlignment="1">
      <alignment horizontal="center" vertical="center" wrapText="1" readingOrder="1"/>
    </xf>
    <xf numFmtId="0" fontId="36" fillId="0" borderId="0" xfId="0" applyFont="1"/>
    <xf numFmtId="0" fontId="0" fillId="0" borderId="8" xfId="0" applyBorder="1"/>
    <xf numFmtId="0" fontId="0" fillId="3" borderId="8" xfId="0" applyFill="1" applyBorder="1"/>
    <xf numFmtId="0" fontId="18" fillId="3" borderId="8" xfId="0" applyFont="1" applyFill="1" applyBorder="1"/>
    <xf numFmtId="0" fontId="52" fillId="0" borderId="0" xfId="0" applyFont="1" applyAlignment="1">
      <alignment horizontal="center" vertical="center" readingOrder="1"/>
    </xf>
    <xf numFmtId="0" fontId="49" fillId="0" borderId="0" xfId="0" applyFont="1"/>
    <xf numFmtId="0" fontId="51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 readingOrder="1"/>
    </xf>
    <xf numFmtId="0" fontId="49" fillId="0" borderId="0" xfId="0" applyFont="1" applyAlignment="1">
      <alignment horizontal="center"/>
    </xf>
    <xf numFmtId="0" fontId="47" fillId="7" borderId="8" xfId="0" applyFont="1" applyFill="1" applyBorder="1" applyAlignment="1">
      <alignment horizontal="center" vertical="center"/>
    </xf>
    <xf numFmtId="0" fontId="47" fillId="0" borderId="8" xfId="0" applyFont="1" applyBorder="1"/>
    <xf numFmtId="0" fontId="49" fillId="8" borderId="3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3" borderId="3" xfId="0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8" xfId="0" applyFont="1" applyBorder="1" applyAlignment="1">
      <alignment horizontal="center"/>
    </xf>
    <xf numFmtId="0" fontId="49" fillId="0" borderId="8" xfId="0" applyFont="1" applyBorder="1" applyAlignment="1">
      <alignment horizontal="center" vertical="center"/>
    </xf>
    <xf numFmtId="0" fontId="47" fillId="0" borderId="0" xfId="0" applyFont="1" applyAlignment="1">
      <alignment horizontal="right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 vertical="center"/>
    </xf>
    <xf numFmtId="0" fontId="49" fillId="9" borderId="8" xfId="0" applyFont="1" applyFill="1" applyBorder="1" applyAlignment="1">
      <alignment horizontal="center" vertical="center"/>
    </xf>
    <xf numFmtId="0" fontId="49" fillId="0" borderId="8" xfId="0" quotePrefix="1" applyFont="1" applyBorder="1" applyAlignment="1">
      <alignment horizontal="center" vertical="center"/>
    </xf>
    <xf numFmtId="166" fontId="49" fillId="0" borderId="8" xfId="0" applyNumberFormat="1" applyFont="1" applyBorder="1" applyAlignment="1">
      <alignment horizontal="center"/>
    </xf>
    <xf numFmtId="0" fontId="47" fillId="0" borderId="8" xfId="0" applyFont="1" applyBorder="1" applyAlignment="1">
      <alignment horizontal="left"/>
    </xf>
    <xf numFmtId="0" fontId="49" fillId="0" borderId="8" xfId="0" applyFont="1" applyBorder="1" applyAlignment="1">
      <alignment horizontal="left"/>
    </xf>
    <xf numFmtId="0" fontId="49" fillId="3" borderId="8" xfId="0" applyFont="1" applyFill="1" applyBorder="1" applyAlignment="1">
      <alignment horizontal="center" vertical="center"/>
    </xf>
    <xf numFmtId="0" fontId="49" fillId="10" borderId="8" xfId="0" applyFont="1" applyFill="1" applyBorder="1" applyAlignment="1">
      <alignment horizontal="center" vertical="center"/>
    </xf>
    <xf numFmtId="0" fontId="47" fillId="0" borderId="8" xfId="0" applyFont="1" applyBorder="1" applyAlignment="1">
      <alignment horizontal="left" wrapText="1"/>
    </xf>
    <xf numFmtId="0" fontId="49" fillId="11" borderId="8" xfId="0" applyFont="1" applyFill="1" applyBorder="1" applyAlignment="1">
      <alignment horizontal="center" vertical="center"/>
    </xf>
    <xf numFmtId="0" fontId="49" fillId="12" borderId="8" xfId="0" applyFont="1" applyFill="1" applyBorder="1" applyAlignment="1">
      <alignment horizontal="center" vertical="center"/>
    </xf>
    <xf numFmtId="0" fontId="49" fillId="13" borderId="8" xfId="0" applyFont="1" applyFill="1" applyBorder="1" applyAlignment="1">
      <alignment horizontal="center" vertical="center"/>
    </xf>
    <xf numFmtId="0" fontId="49" fillId="8" borderId="8" xfId="0" applyFont="1" applyFill="1" applyBorder="1" applyAlignment="1">
      <alignment horizontal="center" vertical="center"/>
    </xf>
    <xf numFmtId="0" fontId="49" fillId="14" borderId="8" xfId="0" applyFont="1" applyFill="1" applyBorder="1" applyAlignment="1">
      <alignment horizontal="center" vertical="center"/>
    </xf>
    <xf numFmtId="0" fontId="49" fillId="15" borderId="8" xfId="0" applyFont="1" applyFill="1" applyBorder="1" applyAlignment="1">
      <alignment horizontal="center" vertical="center"/>
    </xf>
    <xf numFmtId="0" fontId="49" fillId="0" borderId="8" xfId="0" applyFont="1" applyBorder="1" applyAlignment="1">
      <alignment horizontal="left" wrapText="1"/>
    </xf>
    <xf numFmtId="0" fontId="49" fillId="0" borderId="0" xfId="0" applyFont="1" applyAlignment="1">
      <alignment horizontal="left" vertical="center"/>
    </xf>
    <xf numFmtId="0" fontId="33" fillId="0" borderId="8" xfId="0" applyFont="1" applyBorder="1" applyAlignment="1">
      <alignment horizontal="left" wrapText="1"/>
    </xf>
    <xf numFmtId="0" fontId="50" fillId="0" borderId="0" xfId="0" applyFont="1"/>
    <xf numFmtId="0" fontId="47" fillId="0" borderId="24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/>
    </xf>
    <xf numFmtId="0" fontId="49" fillId="0" borderId="8" xfId="0" applyFont="1" applyBorder="1"/>
    <xf numFmtId="0" fontId="33" fillId="0" borderId="8" xfId="0" applyFont="1" applyBorder="1" applyAlignment="1">
      <alignment horizontal="left" vertical="center" wrapText="1"/>
    </xf>
    <xf numFmtId="0" fontId="48" fillId="0" borderId="8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47" fillId="0" borderId="0" xfId="0" applyFont="1" applyAlignment="1">
      <alignment horizontal="left" vertical="center"/>
    </xf>
    <xf numFmtId="0" fontId="47" fillId="0" borderId="8" xfId="0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10" fillId="0" borderId="0" xfId="2" applyFont="1" applyAlignment="1">
      <alignment horizontal="right"/>
    </xf>
    <xf numFmtId="0" fontId="10" fillId="3" borderId="0" xfId="3" applyNumberFormat="1" applyFont="1" applyFill="1" applyAlignment="1">
      <alignment horizontal="center"/>
    </xf>
    <xf numFmtId="0" fontId="46" fillId="0" borderId="0" xfId="2" applyFont="1" applyAlignment="1">
      <alignment horizontal="left"/>
    </xf>
    <xf numFmtId="0" fontId="46" fillId="0" borderId="0" xfId="2" applyFont="1" applyAlignment="1">
      <alignment horizontal="center"/>
    </xf>
    <xf numFmtId="0" fontId="45" fillId="0" borderId="0" xfId="2" applyFont="1" applyAlignment="1">
      <alignment horizontal="left" vertical="top" wrapText="1" readingOrder="1"/>
    </xf>
    <xf numFmtId="0" fontId="10" fillId="0" borderId="0" xfId="2" applyFont="1" applyAlignment="1">
      <alignment horizontal="center" vertical="center"/>
    </xf>
    <xf numFmtId="0" fontId="45" fillId="0" borderId="0" xfId="2" quotePrefix="1" applyFont="1" applyAlignment="1">
      <alignment horizontal="left" vertical="top" wrapText="1" readingOrder="1"/>
    </xf>
    <xf numFmtId="0" fontId="10" fillId="0" borderId="0" xfId="2" quotePrefix="1" applyFont="1"/>
    <xf numFmtId="0" fontId="10" fillId="0" borderId="0" xfId="2" applyFont="1" applyAlignment="1">
      <alignment horizontal="center"/>
    </xf>
    <xf numFmtId="0" fontId="0" fillId="0" borderId="0" xfId="2" applyFont="1"/>
    <xf numFmtId="0" fontId="44" fillId="0" borderId="0" xfId="2" applyFont="1"/>
    <xf numFmtId="0" fontId="43" fillId="0" borderId="0" xfId="2" applyFont="1"/>
    <xf numFmtId="0" fontId="42" fillId="0" borderId="0" xfId="2" applyFont="1"/>
    <xf numFmtId="0" fontId="17" fillId="0" borderId="0" xfId="2" applyFont="1"/>
    <xf numFmtId="0" fontId="41" fillId="0" borderId="0" xfId="2" applyFont="1"/>
    <xf numFmtId="0" fontId="40" fillId="0" borderId="0" xfId="2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17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0" fontId="2" fillId="0" borderId="8" xfId="1" applyNumberFormat="1" applyFont="1" applyBorder="1" applyAlignment="1">
      <alignment horizontal="center"/>
    </xf>
    <xf numFmtId="2" fontId="2" fillId="3" borderId="8" xfId="0" applyNumberFormat="1" applyFont="1" applyFill="1" applyBorder="1" applyAlignment="1">
      <alignment horizontal="center"/>
    </xf>
    <xf numFmtId="0" fontId="39" fillId="0" borderId="8" xfId="0" applyFont="1" applyBorder="1" applyAlignment="1">
      <alignment horizontal="center" wrapText="1"/>
    </xf>
    <xf numFmtId="2" fontId="38" fillId="0" borderId="8" xfId="0" applyNumberFormat="1" applyFont="1" applyBorder="1" applyAlignment="1">
      <alignment horizontal="center"/>
    </xf>
    <xf numFmtId="0" fontId="2" fillId="0" borderId="8" xfId="0" applyFont="1" applyBorder="1"/>
    <xf numFmtId="1" fontId="2" fillId="0" borderId="0" xfId="0" applyNumberFormat="1" applyFont="1" applyAlignment="1">
      <alignment horizontal="center"/>
    </xf>
    <xf numFmtId="0" fontId="39" fillId="0" borderId="0" xfId="0" applyFont="1" applyAlignment="1">
      <alignment horizontal="center" wrapText="1"/>
    </xf>
    <xf numFmtId="10" fontId="2" fillId="0" borderId="8" xfId="0" applyNumberFormat="1" applyFont="1" applyBorder="1" applyAlignment="1">
      <alignment horizontal="center"/>
    </xf>
    <xf numFmtId="1" fontId="2" fillId="0" borderId="0" xfId="0" applyNumberFormat="1" applyFont="1"/>
    <xf numFmtId="0" fontId="2" fillId="0" borderId="13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164" fontId="2" fillId="0" borderId="0" xfId="0" applyNumberFormat="1" applyFont="1"/>
    <xf numFmtId="164" fontId="37" fillId="0" borderId="0" xfId="0" applyNumberFormat="1" applyFont="1"/>
    <xf numFmtId="2" fontId="2" fillId="0" borderId="0" xfId="0" applyNumberFormat="1" applyFont="1"/>
    <xf numFmtId="0" fontId="38" fillId="0" borderId="0" xfId="0" applyFont="1"/>
    <xf numFmtId="164" fontId="38" fillId="0" borderId="0" xfId="0" applyNumberFormat="1" applyFont="1"/>
    <xf numFmtId="0" fontId="2" fillId="0" borderId="8" xfId="0" applyFont="1" applyBorder="1" applyAlignment="1">
      <alignment horizontal="center" wrapText="1"/>
    </xf>
    <xf numFmtId="2" fontId="2" fillId="0" borderId="11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10" fontId="2" fillId="0" borderId="10" xfId="1" applyNumberFormat="1" applyFont="1" applyBorder="1" applyAlignment="1">
      <alignment horizontal="center"/>
    </xf>
    <xf numFmtId="164" fontId="37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34" fillId="0" borderId="32" xfId="0" applyFont="1" applyBorder="1" applyAlignment="1">
      <alignment horizontal="center" wrapText="1" readingOrder="1"/>
    </xf>
    <xf numFmtId="170" fontId="36" fillId="16" borderId="33" xfId="0" applyNumberFormat="1" applyFont="1" applyFill="1" applyBorder="1" applyAlignment="1">
      <alignment horizontal="center" wrapText="1" readingOrder="1"/>
    </xf>
    <xf numFmtId="0" fontId="36" fillId="16" borderId="33" xfId="0" applyFont="1" applyFill="1" applyBorder="1" applyAlignment="1">
      <alignment horizontal="center" wrapText="1" readingOrder="1"/>
    </xf>
    <xf numFmtId="170" fontId="36" fillId="0" borderId="34" xfId="0" applyNumberFormat="1" applyFont="1" applyBorder="1" applyAlignment="1">
      <alignment horizontal="center" wrapText="1" readingOrder="1"/>
    </xf>
    <xf numFmtId="0" fontId="36" fillId="0" borderId="34" xfId="0" applyFont="1" applyBorder="1" applyAlignment="1">
      <alignment horizontal="center" wrapText="1" readingOrder="1"/>
    </xf>
    <xf numFmtId="170" fontId="36" fillId="16" borderId="34" xfId="0" applyNumberFormat="1" applyFont="1" applyFill="1" applyBorder="1" applyAlignment="1">
      <alignment horizontal="center" wrapText="1" readingOrder="1"/>
    </xf>
    <xf numFmtId="0" fontId="36" fillId="16" borderId="34" xfId="0" applyFont="1" applyFill="1" applyBorder="1" applyAlignment="1">
      <alignment horizontal="center" wrapText="1" readingOrder="1"/>
    </xf>
    <xf numFmtId="170" fontId="36" fillId="0" borderId="0" xfId="0" applyNumberFormat="1" applyFont="1" applyAlignment="1">
      <alignment horizontal="center" wrapText="1" readingOrder="1"/>
    </xf>
    <xf numFmtId="0" fontId="36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/>
    </xf>
    <xf numFmtId="0" fontId="34" fillId="0" borderId="35" xfId="0" applyFont="1" applyBorder="1" applyAlignment="1">
      <alignment horizontal="center" wrapText="1" readingOrder="1"/>
    </xf>
    <xf numFmtId="0" fontId="35" fillId="0" borderId="13" xfId="0" applyFont="1" applyBorder="1"/>
    <xf numFmtId="170" fontId="36" fillId="16" borderId="36" xfId="0" applyNumberFormat="1" applyFont="1" applyFill="1" applyBorder="1" applyAlignment="1">
      <alignment horizontal="center" wrapText="1" readingOrder="1"/>
    </xf>
    <xf numFmtId="2" fontId="2" fillId="0" borderId="13" xfId="0" applyNumberFormat="1" applyFont="1" applyBorder="1" applyAlignment="1">
      <alignment horizontal="center"/>
    </xf>
    <xf numFmtId="170" fontId="36" fillId="0" borderId="37" xfId="0" applyNumberFormat="1" applyFont="1" applyBorder="1" applyAlignment="1">
      <alignment horizontal="center" wrapText="1" readingOrder="1"/>
    </xf>
    <xf numFmtId="170" fontId="36" fillId="16" borderId="37" xfId="0" applyNumberFormat="1" applyFont="1" applyFill="1" applyBorder="1" applyAlignment="1">
      <alignment horizontal="center" wrapText="1" readingOrder="1"/>
    </xf>
    <xf numFmtId="2" fontId="2" fillId="0" borderId="38" xfId="0" applyNumberFormat="1" applyFont="1" applyBorder="1" applyAlignment="1">
      <alignment horizontal="center"/>
    </xf>
    <xf numFmtId="170" fontId="2" fillId="0" borderId="0" xfId="0" applyNumberFormat="1" applyFont="1"/>
    <xf numFmtId="0" fontId="35" fillId="3" borderId="8" xfId="0" applyFont="1" applyFill="1" applyBorder="1" applyAlignment="1">
      <alignment horizontal="center"/>
    </xf>
    <xf numFmtId="2" fontId="35" fillId="3" borderId="8" xfId="0" applyNumberFormat="1" applyFont="1" applyFill="1" applyBorder="1" applyAlignment="1">
      <alignment horizontal="center"/>
    </xf>
    <xf numFmtId="165" fontId="2" fillId="0" borderId="8" xfId="0" applyNumberFormat="1" applyFont="1" applyBorder="1"/>
    <xf numFmtId="1" fontId="2" fillId="0" borderId="8" xfId="0" applyNumberFormat="1" applyFont="1" applyBorder="1"/>
    <xf numFmtId="165" fontId="15" fillId="0" borderId="8" xfId="0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15" fillId="3" borderId="8" xfId="0" applyFont="1" applyFill="1" applyBorder="1" applyAlignment="1">
      <alignment horizontal="center"/>
    </xf>
    <xf numFmtId="0" fontId="15" fillId="17" borderId="8" xfId="0" applyFont="1" applyFill="1" applyBorder="1" applyAlignment="1">
      <alignment horizontal="center"/>
    </xf>
    <xf numFmtId="165" fontId="15" fillId="3" borderId="8" xfId="0" applyNumberFormat="1" applyFont="1" applyFill="1" applyBorder="1"/>
    <xf numFmtId="165" fontId="15" fillId="17" borderId="8" xfId="0" applyNumberFormat="1" applyFont="1" applyFill="1" applyBorder="1"/>
    <xf numFmtId="165" fontId="15" fillId="0" borderId="8" xfId="0" applyNumberFormat="1" applyFont="1" applyBorder="1"/>
    <xf numFmtId="0" fontId="15" fillId="0" borderId="8" xfId="0" applyFont="1" applyBorder="1"/>
    <xf numFmtId="0" fontId="15" fillId="17" borderId="8" xfId="0" applyFont="1" applyFill="1" applyBorder="1"/>
    <xf numFmtId="2" fontId="15" fillId="0" borderId="0" xfId="0" applyNumberFormat="1" applyFont="1"/>
    <xf numFmtId="10" fontId="15" fillId="0" borderId="8" xfId="0" applyNumberFormat="1" applyFont="1" applyBorder="1" applyAlignment="1">
      <alignment horizontal="center"/>
    </xf>
    <xf numFmtId="2" fontId="15" fillId="0" borderId="8" xfId="0" applyNumberFormat="1" applyFont="1" applyBorder="1"/>
    <xf numFmtId="10" fontId="15" fillId="0" borderId="8" xfId="1" applyNumberFormat="1" applyFont="1" applyBorder="1"/>
    <xf numFmtId="10" fontId="15" fillId="0" borderId="0" xfId="0" applyNumberFormat="1" applyFont="1"/>
    <xf numFmtId="0" fontId="33" fillId="0" borderId="0" xfId="0" applyFont="1"/>
    <xf numFmtId="0" fontId="0" fillId="0" borderId="8" xfId="0" applyBorder="1" applyAlignment="1">
      <alignment horizontal="center"/>
    </xf>
    <xf numFmtId="0" fontId="0" fillId="19" borderId="8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20" borderId="8" xfId="0" applyFill="1" applyBorder="1" applyAlignment="1">
      <alignment horizontal="center" vertical="top" wrapText="1"/>
    </xf>
    <xf numFmtId="0" fontId="0" fillId="12" borderId="14" xfId="0" applyFill="1" applyBorder="1" applyAlignment="1">
      <alignment horizontal="center" vertical="top" wrapText="1"/>
    </xf>
    <xf numFmtId="0" fontId="0" fillId="12" borderId="8" xfId="0" applyFill="1" applyBorder="1" applyAlignment="1">
      <alignment horizontal="center" vertical="top" wrapText="1"/>
    </xf>
    <xf numFmtId="0" fontId="20" fillId="0" borderId="0" xfId="0" applyFont="1"/>
    <xf numFmtId="0" fontId="20" fillId="18" borderId="8" xfId="0" applyFont="1" applyFill="1" applyBorder="1" applyAlignment="1">
      <alignment horizontal="center" vertical="center"/>
    </xf>
    <xf numFmtId="0" fontId="20" fillId="19" borderId="8" xfId="0" applyFont="1" applyFill="1" applyBorder="1" applyAlignment="1">
      <alignment horizontal="center" vertical="center"/>
    </xf>
    <xf numFmtId="164" fontId="20" fillId="19" borderId="8" xfId="0" applyNumberFormat="1" applyFont="1" applyFill="1" applyBorder="1" applyAlignment="1">
      <alignment horizontal="center" vertical="center"/>
    </xf>
    <xf numFmtId="164" fontId="20" fillId="20" borderId="8" xfId="0" applyNumberFormat="1" applyFont="1" applyFill="1" applyBorder="1" applyAlignment="1">
      <alignment horizontal="center" vertical="center"/>
    </xf>
    <xf numFmtId="168" fontId="20" fillId="20" borderId="8" xfId="1" applyNumberFormat="1" applyFont="1" applyFill="1" applyBorder="1" applyAlignment="1">
      <alignment horizontal="center" vertical="center"/>
    </xf>
    <xf numFmtId="164" fontId="20" fillId="12" borderId="8" xfId="0" applyNumberFormat="1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0" fontId="20" fillId="12" borderId="8" xfId="0" applyFont="1" applyFill="1" applyBorder="1"/>
    <xf numFmtId="164" fontId="0" fillId="12" borderId="8" xfId="0" applyNumberFormat="1" applyFill="1" applyBorder="1" applyAlignment="1">
      <alignment horizontal="center" vertical="center"/>
    </xf>
    <xf numFmtId="0" fontId="32" fillId="0" borderId="0" xfId="0" applyFont="1"/>
    <xf numFmtId="0" fontId="31" fillId="18" borderId="8" xfId="0" applyFont="1" applyFill="1" applyBorder="1" applyAlignment="1">
      <alignment horizontal="center" vertical="center"/>
    </xf>
    <xf numFmtId="164" fontId="31" fillId="19" borderId="8" xfId="0" applyNumberFormat="1" applyFont="1" applyFill="1" applyBorder="1" applyAlignment="1">
      <alignment horizontal="center" vertical="center"/>
    </xf>
    <xf numFmtId="164" fontId="31" fillId="20" borderId="8" xfId="0" applyNumberFormat="1" applyFont="1" applyFill="1" applyBorder="1" applyAlignment="1">
      <alignment horizontal="center" vertical="center"/>
    </xf>
    <xf numFmtId="164" fontId="31" fillId="12" borderId="8" xfId="0" applyNumberFormat="1" applyFont="1" applyFill="1" applyBorder="1" applyAlignment="1">
      <alignment horizontal="center" vertical="center"/>
    </xf>
    <xf numFmtId="0" fontId="27" fillId="0" borderId="0" xfId="0" applyFont="1"/>
    <xf numFmtId="0" fontId="27" fillId="18" borderId="8" xfId="0" applyFont="1" applyFill="1" applyBorder="1" applyAlignment="1">
      <alignment horizontal="center" vertical="center"/>
    </xf>
    <xf numFmtId="164" fontId="27" fillId="19" borderId="8" xfId="0" applyNumberFormat="1" applyFont="1" applyFill="1" applyBorder="1" applyAlignment="1">
      <alignment horizontal="center" vertical="center"/>
    </xf>
    <xf numFmtId="164" fontId="27" fillId="20" borderId="8" xfId="0" applyNumberFormat="1" applyFont="1" applyFill="1" applyBorder="1" applyAlignment="1">
      <alignment horizontal="center" vertical="center"/>
    </xf>
    <xf numFmtId="164" fontId="27" fillId="12" borderId="8" xfId="0" applyNumberFormat="1" applyFont="1" applyFill="1" applyBorder="1" applyAlignment="1">
      <alignment horizontal="center" vertical="center"/>
    </xf>
    <xf numFmtId="0" fontId="30" fillId="0" borderId="0" xfId="0" applyFont="1"/>
    <xf numFmtId="0" fontId="26" fillId="18" borderId="8" xfId="0" applyFont="1" applyFill="1" applyBorder="1" applyAlignment="1">
      <alignment horizontal="center" vertical="center"/>
    </xf>
    <xf numFmtId="164" fontId="26" fillId="19" borderId="8" xfId="0" applyNumberFormat="1" applyFont="1" applyFill="1" applyBorder="1" applyAlignment="1">
      <alignment horizontal="center" vertical="center"/>
    </xf>
    <xf numFmtId="164" fontId="26" fillId="20" borderId="8" xfId="0" applyNumberFormat="1" applyFont="1" applyFill="1" applyBorder="1" applyAlignment="1">
      <alignment horizontal="center" vertical="center"/>
    </xf>
    <xf numFmtId="168" fontId="26" fillId="20" borderId="8" xfId="1" applyNumberFormat="1" applyFont="1" applyFill="1" applyBorder="1" applyAlignment="1">
      <alignment horizontal="center" vertical="center"/>
    </xf>
    <xf numFmtId="164" fontId="26" fillId="12" borderId="8" xfId="0" applyNumberFormat="1" applyFont="1" applyFill="1" applyBorder="1" applyAlignment="1">
      <alignment horizontal="center" vertical="center"/>
    </xf>
    <xf numFmtId="0" fontId="26" fillId="1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9" fontId="0" fillId="0" borderId="0" xfId="0" applyNumberFormat="1"/>
    <xf numFmtId="164" fontId="18" fillId="3" borderId="8" xfId="0" applyNumberFormat="1" applyFont="1" applyFill="1" applyBorder="1" applyAlignment="1">
      <alignment horizontal="center"/>
    </xf>
    <xf numFmtId="168" fontId="18" fillId="3" borderId="8" xfId="1" applyNumberFormat="1" applyFon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0" fillId="9" borderId="8" xfId="0" applyFill="1" applyBorder="1" applyAlignment="1">
      <alignment horizontal="center" wrapText="1"/>
    </xf>
    <xf numFmtId="0" fontId="0" fillId="21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20" fillId="9" borderId="8" xfId="0" applyFont="1" applyFill="1" applyBorder="1" applyAlignment="1">
      <alignment horizontal="center"/>
    </xf>
    <xf numFmtId="164" fontId="20" fillId="21" borderId="8" xfId="0" applyNumberFormat="1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/>
    </xf>
    <xf numFmtId="164" fontId="29" fillId="21" borderId="8" xfId="0" applyNumberFormat="1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/>
    </xf>
    <xf numFmtId="164" fontId="27" fillId="21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/>
    </xf>
    <xf numFmtId="164" fontId="26" fillId="21" borderId="8" xfId="0" applyNumberFormat="1" applyFont="1" applyFill="1" applyBorder="1" applyAlignment="1">
      <alignment horizontal="center" vertical="center"/>
    </xf>
    <xf numFmtId="167" fontId="0" fillId="21" borderId="8" xfId="0" applyNumberFormat="1" applyFill="1" applyBorder="1" applyAlignment="1">
      <alignment horizontal="center" vertical="center"/>
    </xf>
    <xf numFmtId="167" fontId="0" fillId="0" borderId="0" xfId="0" applyNumberFormat="1"/>
    <xf numFmtId="164" fontId="0" fillId="21" borderId="8" xfId="0" applyNumberForma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 wrapText="1"/>
    </xf>
    <xf numFmtId="17" fontId="24" fillId="21" borderId="8" xfId="0" applyNumberFormat="1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164" fontId="22" fillId="22" borderId="8" xfId="0" applyNumberFormat="1" applyFont="1" applyFill="1" applyBorder="1" applyAlignment="1">
      <alignment horizontal="center"/>
    </xf>
    <xf numFmtId="164" fontId="21" fillId="0" borderId="8" xfId="0" applyNumberFormat="1" applyFont="1" applyBorder="1" applyAlignment="1">
      <alignment horizontal="center"/>
    </xf>
    <xf numFmtId="164" fontId="20" fillId="22" borderId="8" xfId="0" applyNumberFormat="1" applyFont="1" applyFill="1" applyBorder="1" applyAlignment="1">
      <alignment horizontal="center"/>
    </xf>
    <xf numFmtId="164" fontId="6" fillId="3" borderId="8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71" fontId="0" fillId="0" borderId="0" xfId="1" applyNumberFormat="1" applyFont="1"/>
    <xf numFmtId="2" fontId="6" fillId="0" borderId="8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164" fontId="0" fillId="0" borderId="0" xfId="0" applyNumberFormat="1"/>
    <xf numFmtId="0" fontId="63" fillId="23" borderId="4" xfId="0" quotePrefix="1" applyFont="1" applyFill="1" applyBorder="1" applyAlignment="1">
      <alignment horizontal="center" vertical="center" wrapText="1"/>
    </xf>
    <xf numFmtId="0" fontId="63" fillId="23" borderId="5" xfId="0" applyFont="1" applyFill="1" applyBorder="1" applyAlignment="1">
      <alignment horizontal="center" vertical="center"/>
    </xf>
    <xf numFmtId="0" fontId="63" fillId="23" borderId="6" xfId="0" applyFont="1" applyFill="1" applyBorder="1" applyAlignment="1">
      <alignment horizontal="center" vertical="center"/>
    </xf>
    <xf numFmtId="0" fontId="63" fillId="23" borderId="7" xfId="0" applyFont="1" applyFill="1" applyBorder="1" applyAlignment="1">
      <alignment horizontal="center" vertical="center"/>
    </xf>
    <xf numFmtId="0" fontId="63" fillId="23" borderId="0" xfId="0" applyFont="1" applyFill="1" applyAlignment="1">
      <alignment horizontal="center" vertical="center"/>
    </xf>
    <xf numFmtId="0" fontId="63" fillId="23" borderId="1" xfId="0" applyFont="1" applyFill="1" applyBorder="1" applyAlignment="1">
      <alignment horizontal="center" vertical="center"/>
    </xf>
    <xf numFmtId="0" fontId="63" fillId="23" borderId="2" xfId="0" applyFont="1" applyFill="1" applyBorder="1" applyAlignment="1">
      <alignment horizontal="center" vertical="center"/>
    </xf>
    <xf numFmtId="0" fontId="63" fillId="23" borderId="9" xfId="0" applyFont="1" applyFill="1" applyBorder="1" applyAlignment="1">
      <alignment horizontal="center" vertical="center"/>
    </xf>
    <xf numFmtId="0" fontId="63" fillId="23" borderId="3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 wrapText="1"/>
    </xf>
    <xf numFmtId="0" fontId="3" fillId="0" borderId="0" xfId="0" applyFont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10" fillId="3" borderId="11" xfId="0" applyNumberFormat="1" applyFont="1" applyFill="1" applyBorder="1" applyAlignment="1">
      <alignment horizontal="center" vertical="center" wrapText="1"/>
    </xf>
    <xf numFmtId="2" fontId="10" fillId="3" borderId="12" xfId="0" applyNumberFormat="1" applyFont="1" applyFill="1" applyBorder="1" applyAlignment="1">
      <alignment horizontal="center" vertical="center" wrapText="1"/>
    </xf>
    <xf numFmtId="2" fontId="10" fillId="3" borderId="10" xfId="0" applyNumberFormat="1" applyFont="1" applyFill="1" applyBorder="1" applyAlignment="1">
      <alignment horizontal="center" vertical="center" wrapText="1"/>
    </xf>
    <xf numFmtId="2" fontId="19" fillId="0" borderId="15" xfId="0" applyNumberFormat="1" applyFont="1" applyBorder="1" applyAlignment="1">
      <alignment horizontal="center" vertical="center" wrapText="1"/>
    </xf>
    <xf numFmtId="2" fontId="11" fillId="3" borderId="11" xfId="0" applyNumberFormat="1" applyFont="1" applyFill="1" applyBorder="1" applyAlignment="1">
      <alignment horizontal="center" vertical="center"/>
    </xf>
    <xf numFmtId="2" fontId="11" fillId="3" borderId="12" xfId="0" applyNumberFormat="1" applyFont="1" applyFill="1" applyBorder="1" applyAlignment="1">
      <alignment horizontal="center" vertical="center"/>
    </xf>
    <xf numFmtId="2" fontId="11" fillId="3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8" fillId="3" borderId="16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 readingOrder="1"/>
    </xf>
    <xf numFmtId="0" fontId="15" fillId="2" borderId="7" xfId="0" applyFont="1" applyFill="1" applyBorder="1" applyAlignment="1">
      <alignment horizontal="center" vertical="center" wrapText="1" readingOrder="1"/>
    </xf>
    <xf numFmtId="0" fontId="15" fillId="2" borderId="2" xfId="0" applyFont="1" applyFill="1" applyBorder="1" applyAlignment="1">
      <alignment horizontal="center" vertical="center" wrapText="1" readingOrder="1"/>
    </xf>
    <xf numFmtId="0" fontId="56" fillId="3" borderId="9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 readingOrder="1"/>
    </xf>
    <xf numFmtId="0" fontId="15" fillId="2" borderId="18" xfId="0" applyFont="1" applyFill="1" applyBorder="1" applyAlignment="1">
      <alignment horizontal="center" vertical="center" wrapText="1" readingOrder="1"/>
    </xf>
    <xf numFmtId="0" fontId="15" fillId="2" borderId="19" xfId="0" applyFont="1" applyFill="1" applyBorder="1" applyAlignment="1">
      <alignment horizontal="center" vertical="center" wrapText="1" readingOrder="1"/>
    </xf>
    <xf numFmtId="0" fontId="15" fillId="2" borderId="30" xfId="0" applyFont="1" applyFill="1" applyBorder="1" applyAlignment="1">
      <alignment horizontal="center" vertical="center" wrapText="1" readingOrder="1"/>
    </xf>
    <xf numFmtId="0" fontId="36" fillId="0" borderId="0" xfId="0" applyFont="1" applyAlignment="1">
      <alignment horizontal="left" vertical="center" wrapText="1"/>
    </xf>
    <xf numFmtId="0" fontId="56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0" fillId="3" borderId="23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3" fillId="3" borderId="0" xfId="0" applyFont="1" applyFill="1" applyAlignment="1">
      <alignment horizontal="center" vertical="center" readingOrder="1"/>
    </xf>
    <xf numFmtId="0" fontId="47" fillId="0" borderId="8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/>
    </xf>
    <xf numFmtId="0" fontId="48" fillId="8" borderId="8" xfId="0" applyFont="1" applyFill="1" applyBorder="1" applyAlignment="1">
      <alignment horizontal="center" wrapText="1"/>
    </xf>
    <xf numFmtId="0" fontId="48" fillId="8" borderId="8" xfId="0" applyFont="1" applyFill="1" applyBorder="1" applyAlignment="1">
      <alignment horizontal="center"/>
    </xf>
    <xf numFmtId="0" fontId="63" fillId="23" borderId="4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 wrapText="1"/>
    </xf>
    <xf numFmtId="165" fontId="15" fillId="17" borderId="11" xfId="0" applyNumberFormat="1" applyFont="1" applyFill="1" applyBorder="1" applyAlignment="1">
      <alignment horizontal="center"/>
    </xf>
    <xf numFmtId="165" fontId="15" fillId="17" borderId="10" xfId="0" applyNumberFormat="1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17" borderId="11" xfId="0" applyFont="1" applyFill="1" applyBorder="1" applyAlignment="1">
      <alignment horizontal="center"/>
    </xf>
    <xf numFmtId="0" fontId="15" fillId="17" borderId="10" xfId="0" applyFont="1" applyFill="1" applyBorder="1" applyAlignment="1">
      <alignment horizontal="center"/>
    </xf>
    <xf numFmtId="165" fontId="15" fillId="3" borderId="11" xfId="0" applyNumberFormat="1" applyFont="1" applyFill="1" applyBorder="1" applyAlignment="1">
      <alignment horizontal="center"/>
    </xf>
    <xf numFmtId="165" fontId="15" fillId="3" borderId="10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0" fillId="12" borderId="39" xfId="0" applyFill="1" applyBorder="1" applyAlignment="1">
      <alignment horizontal="center" wrapText="1"/>
    </xf>
    <xf numFmtId="0" fontId="0" fillId="12" borderId="16" xfId="0" applyFill="1" applyBorder="1" applyAlignment="1">
      <alignment horizontal="center" wrapText="1"/>
    </xf>
    <xf numFmtId="0" fontId="25" fillId="8" borderId="13" xfId="0" applyFont="1" applyFill="1" applyBorder="1" applyAlignment="1">
      <alignment horizontal="center" wrapText="1"/>
    </xf>
    <xf numFmtId="0" fontId="25" fillId="8" borderId="40" xfId="0" applyFont="1" applyFill="1" applyBorder="1" applyAlignment="1">
      <alignment horizontal="center" wrapText="1"/>
    </xf>
    <xf numFmtId="0" fontId="25" fillId="8" borderId="14" xfId="0" applyFont="1" applyFill="1" applyBorder="1" applyAlignment="1">
      <alignment horizontal="center" wrapText="1"/>
    </xf>
    <xf numFmtId="0" fontId="0" fillId="18" borderId="8" xfId="0" applyFill="1" applyBorder="1" applyAlignment="1">
      <alignment horizontal="center"/>
    </xf>
    <xf numFmtId="0" fontId="0" fillId="19" borderId="8" xfId="0" applyFill="1" applyBorder="1" applyAlignment="1">
      <alignment horizontal="center" vertical="center" wrapText="1"/>
    </xf>
    <xf numFmtId="0" fontId="0" fillId="20" borderId="8" xfId="0" applyFill="1" applyBorder="1" applyAlignment="1">
      <alignment horizontal="center" wrapText="1"/>
    </xf>
    <xf numFmtId="0" fontId="0" fillId="21" borderId="8" xfId="0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1" xfId="0" applyBorder="1" applyAlignment="1">
      <alignment horizontal="center"/>
    </xf>
  </cellXfs>
  <cellStyles count="4">
    <cellStyle name="Currency 2" xfId="3" xr:uid="{00000000-0005-0000-0000-000007000000}"/>
    <cellStyle name="Normal" xfId="0" builtinId="0"/>
    <cellStyle name="Normal 2" xfId="2" xr:uid="{00000000-0005-0000-0000-000006000000}"/>
    <cellStyle name="Percent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MA!$B$2</c:f>
              <c:strCache>
                <c:ptCount val="1"/>
                <c:pt idx="0">
                  <c:v>Actual Sales Figure (No. of Units)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MA!$B$3:$B$15</c:f>
              <c:numCache>
                <c:formatCode>General</c:formatCode>
                <c:ptCount val="13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B-4EB1-82C6-F4C19621D771}"/>
            </c:ext>
          </c:extLst>
        </c:ser>
        <c:ser>
          <c:idx val="1"/>
          <c:order val="1"/>
          <c:tx>
            <c:strRef>
              <c:f>MA!$C$2</c:f>
              <c:strCache>
                <c:ptCount val="1"/>
                <c:pt idx="0">
                  <c:v>Forecast
(N = 3)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MA!$C$3:$C$15</c:f>
              <c:numCache>
                <c:formatCode>General</c:formatCode>
                <c:ptCount val="13"/>
                <c:pt idx="3" formatCode="0.00">
                  <c:v>427.33333333333331</c:v>
                </c:pt>
                <c:pt idx="4" formatCode="0.00">
                  <c:v>417.66666666666669</c:v>
                </c:pt>
                <c:pt idx="5" formatCode="0.00">
                  <c:v>388.66666666666669</c:v>
                </c:pt>
                <c:pt idx="6" formatCode="0.00">
                  <c:v>393.66666666666669</c:v>
                </c:pt>
                <c:pt idx="7" formatCode="0.00">
                  <c:v>359.66666666666669</c:v>
                </c:pt>
                <c:pt idx="8" formatCode="0.00">
                  <c:v>391.33333333333331</c:v>
                </c:pt>
                <c:pt idx="9" formatCode="0.00">
                  <c:v>406.33333333333331</c:v>
                </c:pt>
                <c:pt idx="10" formatCode="0.00">
                  <c:v>395</c:v>
                </c:pt>
                <c:pt idx="11" formatCode="0.00">
                  <c:v>378.66666666666669</c:v>
                </c:pt>
                <c:pt idx="12" formatCode="0.00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B-4EB1-82C6-F4C19621D771}"/>
            </c:ext>
          </c:extLst>
        </c:ser>
        <c:ser>
          <c:idx val="2"/>
          <c:order val="2"/>
          <c:tx>
            <c:strRef>
              <c:f>MA!$F$2</c:f>
              <c:strCache>
                <c:ptCount val="1"/>
                <c:pt idx="0">
                  <c:v>Forecast
(N = 6)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MA!$F$3:$F$15</c:f>
              <c:numCache>
                <c:formatCode>General</c:formatCode>
                <c:ptCount val="13"/>
                <c:pt idx="6" formatCode="0.00">
                  <c:v>410.5</c:v>
                </c:pt>
                <c:pt idx="7" formatCode="0.00">
                  <c:v>388.66666666666669</c:v>
                </c:pt>
                <c:pt idx="8" formatCode="0.00">
                  <c:v>390</c:v>
                </c:pt>
                <c:pt idx="9" formatCode="0.00">
                  <c:v>400</c:v>
                </c:pt>
                <c:pt idx="10" formatCode="0.00">
                  <c:v>377.33333333333331</c:v>
                </c:pt>
                <c:pt idx="11" formatCode="0.00">
                  <c:v>385</c:v>
                </c:pt>
                <c:pt idx="12" formatCode="0.00">
                  <c:v>381.16666666666669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B-4EB1-82C6-F4C19621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72668"/>
        <c:axId val="34497856"/>
      </c:lineChart>
      <c:catAx>
        <c:axId val="66772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7856"/>
        <c:crosses val="autoZero"/>
        <c:auto val="1"/>
        <c:lblAlgn val="ctr"/>
        <c:lblOffset val="100"/>
        <c:noMultiLvlLbl val="0"/>
      </c:catAx>
      <c:valAx>
        <c:axId val="3449785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7266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WMA!$B$1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WMA!$B$2:$B$14</c:f>
              <c:numCache>
                <c:formatCode>General</c:formatCode>
                <c:ptCount val="13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2-4FBF-B607-67DDB171EBE7}"/>
            </c:ext>
          </c:extLst>
        </c:ser>
        <c:ser>
          <c:idx val="1"/>
          <c:order val="1"/>
          <c:tx>
            <c:strRef>
              <c:f>WMA!$C$1</c:f>
              <c:strCache>
                <c:ptCount val="1"/>
                <c:pt idx="0">
                  <c:v>Forecast
(N = 3, Weight: 5,3,1)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WMA!$C$2:$C$14</c:f>
              <c:numCache>
                <c:formatCode>General</c:formatCode>
                <c:ptCount val="13"/>
                <c:pt idx="3" formatCode="0.00">
                  <c:v>394.22222222222223</c:v>
                </c:pt>
                <c:pt idx="4" formatCode="0.00">
                  <c:v>427.22222222222223</c:v>
                </c:pt>
                <c:pt idx="5" formatCode="0.00">
                  <c:v>386.44444444444446</c:v>
                </c:pt>
                <c:pt idx="6" formatCode="0.00">
                  <c:v>370.33333333333331</c:v>
                </c:pt>
                <c:pt idx="7" formatCode="0.00">
                  <c:v>365.88888888888891</c:v>
                </c:pt>
                <c:pt idx="8" formatCode="0.00">
                  <c:v>406.88888888888891</c:v>
                </c:pt>
                <c:pt idx="9" formatCode="0.00">
                  <c:v>415.66666666666669</c:v>
                </c:pt>
                <c:pt idx="10" formatCode="0.00">
                  <c:v>372.55555555555554</c:v>
                </c:pt>
                <c:pt idx="11" formatCode="0.00">
                  <c:v>373.33333333333331</c:v>
                </c:pt>
                <c:pt idx="12" formatCode="0.00">
                  <c:v>357.77777777777777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2-4FBF-B607-67DDB171E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01392"/>
        <c:axId val="47018459"/>
      </c:lineChart>
      <c:catAx>
        <c:axId val="330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8459"/>
        <c:crosses val="autoZero"/>
        <c:auto val="1"/>
        <c:lblAlgn val="ctr"/>
        <c:lblOffset val="100"/>
        <c:noMultiLvlLbl val="0"/>
      </c:catAx>
      <c:valAx>
        <c:axId val="47018459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139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val>
            <c:numRef>
              <c:f>SES!$B$2:$B$13</c:f>
              <c:numCache>
                <c:formatCode>General</c:formatCode>
                <c:ptCount val="12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2-4672-9096-BACB5921BC02}"/>
            </c:ext>
          </c:extLst>
        </c:ser>
        <c:ser>
          <c:idx val="1"/>
          <c:order val="1"/>
          <c:tx>
            <c:strRef>
              <c:f>SES!$C$1</c:f>
              <c:strCache>
                <c:ptCount val="1"/>
                <c:pt idx="0">
                  <c:v>Forecast
(alpha = 0.2)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val>
            <c:numRef>
              <c:f>SES!$C$2:$C$14</c:f>
              <c:numCache>
                <c:formatCode>General</c:formatCode>
                <c:ptCount val="13"/>
                <c:pt idx="0" formatCode="0.00">
                  <c:v>419.2</c:v>
                </c:pt>
                <c:pt idx="1">
                  <c:v>435.56</c:v>
                </c:pt>
                <c:pt idx="2" formatCode="0.00">
                  <c:v>434.24800000000005</c:v>
                </c:pt>
                <c:pt idx="3" formatCode="0.00">
                  <c:v>417.79840000000002</c:v>
                </c:pt>
                <c:pt idx="4" formatCode="0.00">
                  <c:v>428.63872000000003</c:v>
                </c:pt>
                <c:pt idx="5" formatCode="0.00">
                  <c:v>411.3109760000001</c:v>
                </c:pt>
                <c:pt idx="6" formatCode="0.00">
                  <c:v>402.44878080000012</c:v>
                </c:pt>
                <c:pt idx="7" formatCode="0.00">
                  <c:v>395.95902464000011</c:v>
                </c:pt>
                <c:pt idx="8" formatCode="0.00">
                  <c:v>404.16721971200013</c:v>
                </c:pt>
                <c:pt idx="9" formatCode="0.00">
                  <c:v>405.73377576960013</c:v>
                </c:pt>
                <c:pt idx="10" formatCode="0.00">
                  <c:v>391.78702061568009</c:v>
                </c:pt>
                <c:pt idx="11" formatCode="0.00">
                  <c:v>391.02961649254411</c:v>
                </c:pt>
                <c:pt idx="12" formatCode="0.00">
                  <c:v>381.6236931940353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2-4672-9096-BACB5921BC02}"/>
            </c:ext>
          </c:extLst>
        </c:ser>
        <c:ser>
          <c:idx val="2"/>
          <c:order val="2"/>
          <c:tx>
            <c:strRef>
              <c:f>SES!$C$19</c:f>
              <c:strCache>
                <c:ptCount val="1"/>
                <c:pt idx="0">
                  <c:v>Forecast
(alpha = 0.7)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val>
            <c:numRef>
              <c:f>SES!$C$20:$C$32</c:f>
              <c:numCache>
                <c:formatCode>General</c:formatCode>
                <c:ptCount val="13"/>
                <c:pt idx="0" formatCode="0.00">
                  <c:v>419.2</c:v>
                </c:pt>
                <c:pt idx="1">
                  <c:v>476.46000000000004</c:v>
                </c:pt>
                <c:pt idx="2" formatCode="0.00">
                  <c:v>443.238</c:v>
                </c:pt>
                <c:pt idx="3" formatCode="0.00">
                  <c:v>379.37139999999999</c:v>
                </c:pt>
                <c:pt idx="4" formatCode="0.00">
                  <c:v>444.21141999999998</c:v>
                </c:pt>
                <c:pt idx="5" formatCode="0.00">
                  <c:v>372.66342599999996</c:v>
                </c:pt>
                <c:pt idx="6" formatCode="0.00">
                  <c:v>368.69902779999995</c:v>
                </c:pt>
                <c:pt idx="7" formatCode="0.00">
                  <c:v>369.60970834</c:v>
                </c:pt>
                <c:pt idx="8" formatCode="0.00">
                  <c:v>416.78291250199999</c:v>
                </c:pt>
                <c:pt idx="9" formatCode="0.00">
                  <c:v>413.43487375059999</c:v>
                </c:pt>
                <c:pt idx="10" formatCode="0.00">
                  <c:v>359.23046212518</c:v>
                </c:pt>
                <c:pt idx="11" formatCode="0.00">
                  <c:v>379.36913863755399</c:v>
                </c:pt>
                <c:pt idx="12" formatCode="0.00">
                  <c:v>354.61074159126622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2-4672-9096-BACB5921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96728"/>
        <c:axId val="15058359"/>
      </c:lineChart>
      <c:catAx>
        <c:axId val="6449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59"/>
        <c:crosses val="autoZero"/>
        <c:auto val="1"/>
        <c:lblAlgn val="ctr"/>
        <c:lblOffset val="100"/>
        <c:noMultiLvlLbl val="0"/>
      </c:catAx>
      <c:valAx>
        <c:axId val="15058359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672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B'!$B$1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val>
            <c:numRef>
              <c:f>'Product B'!$B$2:$B$14</c:f>
              <c:numCache>
                <c:formatCode>General</c:formatCode>
                <c:ptCount val="13"/>
                <c:pt idx="0">
                  <c:v>446</c:v>
                </c:pt>
                <c:pt idx="1">
                  <c:v>517</c:v>
                </c:pt>
                <c:pt idx="2">
                  <c:v>604</c:v>
                </c:pt>
                <c:pt idx="3">
                  <c:v>697</c:v>
                </c:pt>
                <c:pt idx="4">
                  <c:v>772</c:v>
                </c:pt>
                <c:pt idx="5">
                  <c:v>876</c:v>
                </c:pt>
                <c:pt idx="6">
                  <c:v>931</c:v>
                </c:pt>
                <c:pt idx="7">
                  <c:v>1017</c:v>
                </c:pt>
                <c:pt idx="8">
                  <c:v>1103</c:v>
                </c:pt>
                <c:pt idx="9">
                  <c:v>1296</c:v>
                </c:pt>
                <c:pt idx="10">
                  <c:v>1535</c:v>
                </c:pt>
                <c:pt idx="11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B-4AA7-B6C4-1AE9BB6A05E7}"/>
            </c:ext>
          </c:extLst>
        </c:ser>
        <c:ser>
          <c:idx val="1"/>
          <c:order val="1"/>
          <c:tx>
            <c:strRef>
              <c:f>'Product B'!$C$1</c:f>
              <c:strCache>
                <c:ptCount val="1"/>
                <c:pt idx="0">
                  <c:v>(MA, N = 3)</c:v>
                </c:pt>
              </c:strCache>
            </c:strRef>
          </c:tx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val>
            <c:numRef>
              <c:f>'Product B'!$C$2:$C$14</c:f>
              <c:numCache>
                <c:formatCode>General</c:formatCode>
                <c:ptCount val="13"/>
                <c:pt idx="3" formatCode="0.00">
                  <c:v>522.33333333333337</c:v>
                </c:pt>
                <c:pt idx="4" formatCode="0.00">
                  <c:v>606</c:v>
                </c:pt>
                <c:pt idx="5" formatCode="0.00">
                  <c:v>691</c:v>
                </c:pt>
                <c:pt idx="6" formatCode="0.00">
                  <c:v>781.66666666666663</c:v>
                </c:pt>
                <c:pt idx="7" formatCode="0.00">
                  <c:v>859.66666666666663</c:v>
                </c:pt>
                <c:pt idx="8" formatCode="0.00">
                  <c:v>941.33333333333337</c:v>
                </c:pt>
                <c:pt idx="9" formatCode="0.00">
                  <c:v>1017</c:v>
                </c:pt>
                <c:pt idx="10" formatCode="0.00">
                  <c:v>1138.6666666666667</c:v>
                </c:pt>
                <c:pt idx="11" formatCode="0.00">
                  <c:v>1311.3333333333333</c:v>
                </c:pt>
                <c:pt idx="12" formatCode="0.00">
                  <c:v>1510.3333333333333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5B-4AA7-B6C4-1AE9BB6A05E7}"/>
            </c:ext>
          </c:extLst>
        </c:ser>
        <c:ser>
          <c:idx val="2"/>
          <c:order val="2"/>
          <c:tx>
            <c:strRef>
              <c:f>'Product B'!$D$1</c:f>
              <c:strCache>
                <c:ptCount val="1"/>
                <c:pt idx="0">
                  <c:v>WMA (5,3,1)</c:v>
                </c:pt>
              </c:strCache>
            </c:strRef>
          </c:tx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val>
            <c:numRef>
              <c:f>'Product B'!$D$2:$D$14</c:f>
              <c:numCache>
                <c:formatCode>0.00</c:formatCode>
                <c:ptCount val="13"/>
                <c:pt idx="3">
                  <c:v>557.44444444444446</c:v>
                </c:pt>
                <c:pt idx="4">
                  <c:v>646</c:v>
                </c:pt>
                <c:pt idx="5">
                  <c:v>728.33333333333337</c:v>
                </c:pt>
                <c:pt idx="6">
                  <c:v>821.44444444444446</c:v>
                </c:pt>
                <c:pt idx="7">
                  <c:v>895</c:v>
                </c:pt>
                <c:pt idx="8">
                  <c:v>972.66666666666663</c:v>
                </c:pt>
                <c:pt idx="9">
                  <c:v>1055.2222222222222</c:v>
                </c:pt>
                <c:pt idx="10">
                  <c:v>1200.6666666666667</c:v>
                </c:pt>
                <c:pt idx="11">
                  <c:v>1407.3333333333333</c:v>
                </c:pt>
                <c:pt idx="12">
                  <c:v>1600.1111111111111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5B-4AA7-B6C4-1AE9BB6A05E7}"/>
            </c:ext>
          </c:extLst>
        </c:ser>
        <c:ser>
          <c:idx val="3"/>
          <c:order val="3"/>
          <c:tx>
            <c:strRef>
              <c:f>'Product B'!$E$1</c:f>
              <c:strCache>
                <c:ptCount val="1"/>
                <c:pt idx="0">
                  <c:v>SES (0.2)</c:v>
                </c:pt>
              </c:strCache>
            </c:strRef>
          </c:tx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>
                <a:solidFill>
                  <a:schemeClr val="accent4"/>
                </a:solidFill>
              </a:ln>
              <a:effectLst/>
            </c:spPr>
          </c:marker>
          <c:val>
            <c:numRef>
              <c:f>'Product B'!$E$2:$E$14</c:f>
              <c:numCache>
                <c:formatCode>0.00</c:formatCode>
                <c:ptCount val="13"/>
                <c:pt idx="0">
                  <c:v>607.20000000000005</c:v>
                </c:pt>
                <c:pt idx="1">
                  <c:v>574.96</c:v>
                </c:pt>
                <c:pt idx="2">
                  <c:v>563.36800000000005</c:v>
                </c:pt>
                <c:pt idx="3">
                  <c:v>571.49440000000004</c:v>
                </c:pt>
                <c:pt idx="4">
                  <c:v>596.59552000000008</c:v>
                </c:pt>
                <c:pt idx="5">
                  <c:v>631.67641600000013</c:v>
                </c:pt>
                <c:pt idx="6">
                  <c:v>680.54113280000013</c:v>
                </c:pt>
                <c:pt idx="7">
                  <c:v>730.63290624000012</c:v>
                </c:pt>
                <c:pt idx="8">
                  <c:v>787.90632499200012</c:v>
                </c:pt>
                <c:pt idx="9">
                  <c:v>850.92505999360014</c:v>
                </c:pt>
                <c:pt idx="10">
                  <c:v>939.94004799488016</c:v>
                </c:pt>
                <c:pt idx="11">
                  <c:v>1058.9520383959043</c:v>
                </c:pt>
                <c:pt idx="12">
                  <c:v>1187.1616307167235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5B-4AA7-B6C4-1AE9BB6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4727"/>
        <c:axId val="17292633"/>
      </c:lineChart>
      <c:catAx>
        <c:axId val="51374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2633"/>
        <c:crosses val="autoZero"/>
        <c:auto val="1"/>
        <c:lblAlgn val="ctr"/>
        <c:lblOffset val="100"/>
        <c:noMultiLvlLbl val="0"/>
      </c:catAx>
      <c:valAx>
        <c:axId val="1729263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4727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LR!$B$16</c:f>
              <c:strCache>
                <c:ptCount val="1"/>
                <c:pt idx="0">
                  <c:v>Sales Price (SGD)</c:v>
                </c:pt>
              </c:strCache>
            </c:strRef>
          </c:tx>
          <c:spPr>
            <a:ln w="28575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4857830271216099E-2"/>
                  <c:y val="8.0202682997958602E-2"/>
                </c:manualLayout>
              </c:layout>
              <c:numFmt formatCode="General" sourceLinked="0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900" b="0" i="0" u="non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LR!$A$17:$A$28</c:f>
              <c:numCache>
                <c:formatCode>General</c:formatCode>
                <c:ptCount val="12"/>
                <c:pt idx="0">
                  <c:v>9927</c:v>
                </c:pt>
                <c:pt idx="1">
                  <c:v>34947</c:v>
                </c:pt>
                <c:pt idx="2">
                  <c:v>52178</c:v>
                </c:pt>
                <c:pt idx="3">
                  <c:v>26817</c:v>
                </c:pt>
                <c:pt idx="4">
                  <c:v>42047</c:v>
                </c:pt>
                <c:pt idx="5">
                  <c:v>34147</c:v>
                </c:pt>
                <c:pt idx="6">
                  <c:v>25003</c:v>
                </c:pt>
                <c:pt idx="7">
                  <c:v>34159</c:v>
                </c:pt>
                <c:pt idx="8">
                  <c:v>43017</c:v>
                </c:pt>
                <c:pt idx="9">
                  <c:v>12378</c:v>
                </c:pt>
                <c:pt idx="10">
                  <c:v>46168</c:v>
                </c:pt>
                <c:pt idx="11">
                  <c:v>28947</c:v>
                </c:pt>
              </c:numCache>
            </c:numRef>
          </c:xVal>
          <c:yVal>
            <c:numRef>
              <c:f>LR!$B$17:$B$28</c:f>
              <c:numCache>
                <c:formatCode>"$"#,##0_);[Red]\("$"#,##0\)</c:formatCode>
                <c:ptCount val="12"/>
                <c:pt idx="0">
                  <c:v>81048</c:v>
                </c:pt>
                <c:pt idx="1">
                  <c:v>72248</c:v>
                </c:pt>
                <c:pt idx="2">
                  <c:v>64258</c:v>
                </c:pt>
                <c:pt idx="3">
                  <c:v>77088</c:v>
                </c:pt>
                <c:pt idx="4">
                  <c:v>66448</c:v>
                </c:pt>
                <c:pt idx="5">
                  <c:v>76248</c:v>
                </c:pt>
                <c:pt idx="6">
                  <c:v>76248</c:v>
                </c:pt>
                <c:pt idx="7">
                  <c:v>73048</c:v>
                </c:pt>
                <c:pt idx="8">
                  <c:v>70648</c:v>
                </c:pt>
                <c:pt idx="9">
                  <c:v>81128</c:v>
                </c:pt>
                <c:pt idx="10">
                  <c:v>68448</c:v>
                </c:pt>
                <c:pt idx="11">
                  <c:v>75848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1F-48ED-BBEA-34FD3C47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64145"/>
        <c:axId val="7357302"/>
      </c:scatterChart>
      <c:valAx>
        <c:axId val="51964145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7302"/>
        <c:crosses val="autoZero"/>
        <c:crossBetween val="midCat"/>
      </c:valAx>
      <c:valAx>
        <c:axId val="7357302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4145"/>
        <c:crosses val="autoZero"/>
        <c:crossBetween val="midCat"/>
      </c:valAx>
      <c:spPr>
        <a:noFill/>
        <a:ln w="9525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SG" sz="1400" b="0" i="0" u="non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Percentage of Senior Citizen</a:t>
            </a:r>
          </a:p>
        </c:rich>
      </c:tx>
      <c:overlay val="0"/>
      <c:spPr>
        <a:noFill/>
        <a:ln w="9525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44030930218301"/>
          <c:y val="0.16514531811937999"/>
          <c:w val="0.84345245500844201"/>
          <c:h val="0.6505041205429730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92847769028903"/>
                  <c:y val="0.11431466899970801"/>
                </c:manualLayout>
              </c:layout>
              <c:numFmt formatCode="General" sourceLinked="0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900" b="0" i="0" u="non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'Holt''s &amp; LR (HC)'!$B$4:$B$16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'Holt''s &amp; LR (HC)'!$C$4:$C$16</c:f>
              <c:numCache>
                <c:formatCode>General</c:formatCode>
                <c:ptCount val="13"/>
                <c:pt idx="0">
                  <c:v>4.0999999999999996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4.5999999999999996</c:v>
                </c:pt>
                <c:pt idx="5">
                  <c:v>5.0999999999999996</c:v>
                </c:pt>
                <c:pt idx="6">
                  <c:v>5.5</c:v>
                </c:pt>
                <c:pt idx="7">
                  <c:v>5.7</c:v>
                </c:pt>
                <c:pt idx="8">
                  <c:v>6.1</c:v>
                </c:pt>
                <c:pt idx="9">
                  <c:v>6.3</c:v>
                </c:pt>
                <c:pt idx="10">
                  <c:v>6.9</c:v>
                </c:pt>
                <c:pt idx="11">
                  <c:v>8.5</c:v>
                </c:pt>
                <c:pt idx="12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65-4A8E-A7B0-D4B05B15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55191"/>
        <c:axId val="59529185"/>
      </c:scatterChart>
      <c:valAx>
        <c:axId val="64955191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SG" sz="1000" b="0" i="0" u="non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Period</a:t>
                </a:r>
              </a:p>
            </c:rich>
          </c:tx>
          <c:layout>
            <c:manualLayout>
              <c:xMode val="edge"/>
              <c:yMode val="edge"/>
              <c:x val="0.46769390028848601"/>
              <c:y val="0.85974249363488997"/>
            </c:manualLayout>
          </c:layout>
          <c:overlay val="0"/>
          <c:spPr>
            <a:noFill/>
            <a:ln w="9525"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9185"/>
        <c:crosses val="autoZero"/>
        <c:crossBetween val="midCat"/>
      </c:valAx>
      <c:valAx>
        <c:axId val="59529185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/>
                </a:pPr>
                <a:r>
                  <a:rPr lang="en-US" sz="10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Percentage of Senior Citizen (%)</a:t>
                </a:r>
              </a:p>
            </c:rich>
          </c:tx>
          <c:overlay val="0"/>
          <c:spPr>
            <a:noFill/>
            <a:ln w="9525"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5191"/>
        <c:crosses val="autoZero"/>
        <c:crossBetween val="midCat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SG" sz="1400" b="0" i="0" u="non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Percentage of Senior Citizens</a:t>
            </a:r>
          </a:p>
        </c:rich>
      </c:tx>
      <c:overlay val="0"/>
      <c:spPr>
        <a:noFill/>
        <a:ln w="9525"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Data</c:v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(HC)'!$C$4:$C$16</c:f>
              <c:numCache>
                <c:formatCode>General</c:formatCode>
                <c:ptCount val="13"/>
                <c:pt idx="0">
                  <c:v>4.0999999999999996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4.5999999999999996</c:v>
                </c:pt>
                <c:pt idx="5">
                  <c:v>5.0999999999999996</c:v>
                </c:pt>
                <c:pt idx="6">
                  <c:v>5.5</c:v>
                </c:pt>
                <c:pt idx="7">
                  <c:v>5.7</c:v>
                </c:pt>
                <c:pt idx="8">
                  <c:v>6.1</c:v>
                </c:pt>
                <c:pt idx="9">
                  <c:v>6.3</c:v>
                </c:pt>
                <c:pt idx="10">
                  <c:v>6.9</c:v>
                </c:pt>
                <c:pt idx="11">
                  <c:v>8.5</c:v>
                </c:pt>
                <c:pt idx="12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7D-43A1-96B5-A25CFE905C62}"/>
            </c:ext>
          </c:extLst>
        </c:ser>
        <c:ser>
          <c:idx val="1"/>
          <c:order val="1"/>
          <c:tx>
            <c:v>Linear Regression</c:v>
          </c:tx>
          <c:spPr>
            <a:ln w="19050" cap="rnd" cmpd="sng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>
                <a:solidFill>
                  <a:schemeClr val="accent2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(HC)'!$D$4:$D$16</c:f>
              <c:numCache>
                <c:formatCode>0.0000</c:formatCode>
                <c:ptCount val="13"/>
                <c:pt idx="0">
                  <c:v>3.3021978021978029</c:v>
                </c:pt>
                <c:pt idx="1">
                  <c:v>3.7120879120879131</c:v>
                </c:pt>
                <c:pt idx="2">
                  <c:v>4.1219780219780233</c:v>
                </c:pt>
                <c:pt idx="3">
                  <c:v>4.5318681318681326</c:v>
                </c:pt>
                <c:pt idx="4">
                  <c:v>4.941758241758242</c:v>
                </c:pt>
                <c:pt idx="5">
                  <c:v>5.3516483516483522</c:v>
                </c:pt>
                <c:pt idx="6">
                  <c:v>5.7615384615384624</c:v>
                </c:pt>
                <c:pt idx="7">
                  <c:v>6.1714285714285726</c:v>
                </c:pt>
                <c:pt idx="8">
                  <c:v>6.5813186813186819</c:v>
                </c:pt>
                <c:pt idx="9">
                  <c:v>6.9912087912087912</c:v>
                </c:pt>
                <c:pt idx="10">
                  <c:v>7.4010989010989015</c:v>
                </c:pt>
                <c:pt idx="11">
                  <c:v>7.8109890109890117</c:v>
                </c:pt>
                <c:pt idx="12">
                  <c:v>8.2208791208791219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7D-43A1-96B5-A25CFE905C62}"/>
            </c:ext>
          </c:extLst>
        </c:ser>
        <c:ser>
          <c:idx val="2"/>
          <c:order val="2"/>
          <c:tx>
            <c:v>Holt's Method</c:v>
          </c:tx>
          <c:spPr>
            <a:ln w="19050" cap="rnd" cmpd="sng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>
                <a:solidFill>
                  <a:schemeClr val="accent3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(HC)'!$F$23:$F$37</c:f>
              <c:numCache>
                <c:formatCode>0.0000</c:formatCode>
                <c:ptCount val="15"/>
                <c:pt idx="0">
                  <c:v>3.3021978021978029</c:v>
                </c:pt>
                <c:pt idx="1">
                  <c:v>4.3822417582417579</c:v>
                </c:pt>
                <c:pt idx="2">
                  <c:v>4.7507410989010985</c:v>
                </c:pt>
                <c:pt idx="3">
                  <c:v>4.7841871472527471</c:v>
                </c:pt>
                <c:pt idx="4">
                  <c:v>4.7124347611428572</c:v>
                </c:pt>
                <c:pt idx="5">
                  <c:v>4.95516817874989</c:v>
                </c:pt>
                <c:pt idx="6">
                  <c:v>5.3982646590070154</c:v>
                </c:pt>
                <c:pt idx="7">
                  <c:v>5.8254365508231709</c:v>
                </c:pt>
                <c:pt idx="8">
                  <c:v>6.0760270012527737</c:v>
                </c:pt>
                <c:pt idx="9">
                  <c:v>6.4345603562062657</c:v>
                </c:pt>
                <c:pt idx="10">
                  <c:v>6.663281912823436</c:v>
                </c:pt>
                <c:pt idx="11">
                  <c:v>7.1850389120133071</c:v>
                </c:pt>
                <c:pt idx="12">
                  <c:v>8.6456605640884057</c:v>
                </c:pt>
                <c:pt idx="13">
                  <c:v>9.9034545807385577</c:v>
                </c:pt>
                <c:pt idx="14">
                  <c:v>10.563210992250593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7D-43A1-96B5-A25CFE90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57750"/>
        <c:axId val="51866094"/>
      </c:scatterChart>
      <c:valAx>
        <c:axId val="57957750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SG" sz="1000" b="0" i="0" u="non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Period</a:t>
                </a:r>
              </a:p>
            </c:rich>
          </c:tx>
          <c:overlay val="0"/>
          <c:spPr>
            <a:noFill/>
            <a:ln w="9525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6094"/>
        <c:crosses val="autoZero"/>
        <c:crossBetween val="midCat"/>
      </c:valAx>
      <c:valAx>
        <c:axId val="51866094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/>
                </a:pPr>
                <a:r>
                  <a:rPr lang="en-US" sz="1000" b="0" i="0" u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Percentage of senior citizens (%)</a:t>
                </a:r>
              </a:p>
            </c:rich>
          </c:tx>
          <c:overlay val="0"/>
          <c:spPr>
            <a:noFill/>
            <a:ln w="9525"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7750"/>
        <c:crosses val="autoZero"/>
        <c:crossBetween val="midCat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lang="en-US" sz="900" b="0" i="0" u="non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SG" u="none" baseline="0"/>
            </a:pPr>
            <a:r>
              <a:rPr lang="en-SG"/>
              <a:t>Multiplicative Decomposition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973313289999697E-2"/>
          <c:y val="0.14795781201244099"/>
          <c:w val="0.90317683327614595"/>
          <c:h val="0.67825720518564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spPr>
            <a:ln w="19050" cmpd="sng">
              <a:solidFill>
                <a:srgbClr val="FF0000"/>
              </a:solidFill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6350" cap="flat" cmpd="sng">
                <a:solidFill>
                  <a:srgbClr val="FF000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D-4748-A1C8-956CB8E4FC9C}"/>
            </c:ext>
          </c:extLst>
        </c:ser>
        <c:ser>
          <c:idx val="1"/>
          <c:order val="1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spPr>
            <a:ln w="19050" cmpd="sng">
              <a:solidFill>
                <a:srgbClr val="00B0F0"/>
              </a:solidFill>
            </a:ln>
            <a:effectLst/>
          </c:spPr>
          <c:marker>
            <c:symbol val="square"/>
            <c:size val="7"/>
            <c:spPr>
              <a:solidFill>
                <a:srgbClr val="00B0F0"/>
              </a:solidFill>
              <a:ln w="6350" cap="flat" cmpd="sng">
                <a:solidFill>
                  <a:srgbClr val="00B0F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D-4748-A1C8-956CB8E4FC9C}"/>
            </c:ext>
          </c:extLst>
        </c:ser>
        <c:ser>
          <c:idx val="2"/>
          <c:order val="2"/>
          <c:tx>
            <c:strRef>
              <c:f>Solutions!$J$2</c:f>
              <c:strCache>
                <c:ptCount val="1"/>
                <c:pt idx="0">
                  <c:v>Seasonalized forecast
(= Seasonal Indexi *Deseasonalized forecasti)</c:v>
                </c:pt>
              </c:strCache>
            </c:strRef>
          </c:tx>
          <c:spPr>
            <a:ln w="19050" cmpd="sng">
              <a:solidFill>
                <a:srgbClr val="7030A0"/>
              </a:solidFill>
            </a:ln>
            <a:effectLst/>
          </c:spPr>
          <c:marker>
            <c:symbol val="triangle"/>
            <c:size val="7"/>
            <c:spPr>
              <a:ln w="6350" cap="flat" cmpd="sng">
                <a:solidFill>
                  <a:srgbClr val="7030A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Solutions!$J$3:$J$18</c:f>
              <c:numCache>
                <c:formatCode>0.000</c:formatCode>
                <c:ptCount val="16"/>
                <c:pt idx="0">
                  <c:v>350.31064183111727</c:v>
                </c:pt>
                <c:pt idx="1">
                  <c:v>539.53493090228994</c:v>
                </c:pt>
                <c:pt idx="2">
                  <c:v>591.62031904732112</c:v>
                </c:pt>
                <c:pt idx="3">
                  <c:v>897.7880900776106</c:v>
                </c:pt>
                <c:pt idx="4">
                  <c:v>372.8004567153086</c:v>
                </c:pt>
                <c:pt idx="5">
                  <c:v>573.62572175927301</c:v>
                </c:pt>
                <c:pt idx="6">
                  <c:v>628.42083693135464</c:v>
                </c:pt>
                <c:pt idx="7">
                  <c:v>952.77800719253298</c:v>
                </c:pt>
                <c:pt idx="8">
                  <c:v>395.29027159949987</c:v>
                </c:pt>
                <c:pt idx="9">
                  <c:v>607.71651261625607</c:v>
                </c:pt>
                <c:pt idx="10">
                  <c:v>665.22135481538817</c:v>
                </c:pt>
                <c:pt idx="11">
                  <c:v>1007.7679243074555</c:v>
                </c:pt>
                <c:pt idx="12">
                  <c:v>417.78008648369121</c:v>
                </c:pt>
                <c:pt idx="13">
                  <c:v>641.80730347323924</c:v>
                </c:pt>
                <c:pt idx="14">
                  <c:v>702.02187269942181</c:v>
                </c:pt>
                <c:pt idx="15">
                  <c:v>1062.7578414223779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CD-4748-A1C8-956CB8E4FC9C}"/>
            </c:ext>
          </c:extLst>
        </c:ser>
        <c:ser>
          <c:idx val="3"/>
          <c:order val="3"/>
          <c:tx>
            <c:strRef>
              <c:f>Solutions!$E$2</c:f>
              <c:strCache>
                <c:ptCount val="1"/>
                <c:pt idx="0">
                  <c:v>Centred Moving Average 
(=(MAi-1 + MAi)/2)
</c:v>
                </c:pt>
              </c:strCache>
            </c:strRef>
          </c:tx>
          <c:spPr>
            <a:ln w="19050" cmpd="sng">
              <a:solidFill>
                <a:srgbClr val="FFC000"/>
              </a:solidFill>
            </a:ln>
            <a:effectLst/>
          </c:spPr>
          <c:marker>
            <c:symbol val="x"/>
            <c:size val="7"/>
            <c:spPr>
              <a:ln w="6350" cap="flat" cmpd="sng">
                <a:solidFill>
                  <a:srgbClr val="FFC00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Solutions!$E$3:$E$18</c:f>
              <c:numCache>
                <c:formatCode>General</c:formatCode>
                <c:ptCount val="16"/>
                <c:pt idx="2" formatCode="0.000">
                  <c:v>591.25</c:v>
                </c:pt>
                <c:pt idx="3" formatCode="0.000">
                  <c:v>595</c:v>
                </c:pt>
                <c:pt idx="4" formatCode="0.000">
                  <c:v>604.375</c:v>
                </c:pt>
                <c:pt idx="5" formatCode="0.000">
                  <c:v>626.25</c:v>
                </c:pt>
                <c:pt idx="6" formatCode="0.000">
                  <c:v>641.25</c:v>
                </c:pt>
                <c:pt idx="7" formatCode="0.000">
                  <c:v>646.875</c:v>
                </c:pt>
                <c:pt idx="8" formatCode="0.000">
                  <c:v>650</c:v>
                </c:pt>
                <c:pt idx="9" formatCode="0.000">
                  <c:v>653.125</c:v>
                </c:pt>
                <c:pt idx="10" formatCode="0.000">
                  <c:v>659.375</c:v>
                </c:pt>
                <c:pt idx="11" formatCode="0.000">
                  <c:v>670.625</c:v>
                </c:pt>
                <c:pt idx="12" formatCode="0.000">
                  <c:v>688.125</c:v>
                </c:pt>
                <c:pt idx="13" formatCode="0.000">
                  <c:v>705.625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CD-4748-A1C8-956CB8E4F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9741"/>
        <c:axId val="35624262"/>
      </c:scatterChart>
      <c:valAx>
        <c:axId val="42569741"/>
        <c:scaling>
          <c:orientation val="minMax"/>
          <c:max val="16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SG" u="none" baseline="0"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92320641854704599"/>
              <c:y val="0.89672288058467098"/>
            </c:manualLayout>
          </c:layout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rot="0" vert="horz" wrap="square"/>
          <a:lstStyle/>
          <a:p>
            <a:pPr>
              <a:defRPr lang="en-US" u="none" baseline="0"/>
            </a:pPr>
            <a:endParaRPr lang="en-US"/>
          </a:p>
        </c:txPr>
        <c:crossAx val="35624262"/>
        <c:crosses val="autoZero"/>
        <c:crossBetween val="midCat"/>
        <c:majorUnit val="1"/>
      </c:valAx>
      <c:valAx>
        <c:axId val="3562426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2569741"/>
        <c:crossesAt val="0"/>
        <c:crossBetween val="midCat"/>
      </c:valAx>
    </c:plotArea>
    <c:legend>
      <c:legendPos val="b"/>
      <c:layout>
        <c:manualLayout>
          <c:xMode val="edge"/>
          <c:yMode val="edge"/>
          <c:x val="0"/>
          <c:y val="0.911509109600666"/>
          <c:w val="0.93157726000140995"/>
          <c:h val="7.09093320419885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SG" u="none" baseline="0"/>
            </a:pPr>
            <a:r>
              <a:rPr lang="en-SG"/>
              <a:t>Centred Moving Average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1118227485408E-2"/>
          <c:y val="0.147669361671319"/>
          <c:w val="0.90297659046690804"/>
          <c:h val="0.68619435093569803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8-4E58-9210-E0E291F3E695}"/>
            </c:ext>
          </c:extLst>
        </c:ser>
        <c:ser>
          <c:idx val="3"/>
          <c:order val="1"/>
          <c:tx>
            <c:strRef>
              <c:f>Solutions!$E$2</c:f>
              <c:strCache>
                <c:ptCount val="1"/>
                <c:pt idx="0">
                  <c:v>Centred Moving Average 
(=(MAi-1 + MAi)/2)
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Solutions!$E$3:$E$18</c:f>
              <c:numCache>
                <c:formatCode>General</c:formatCode>
                <c:ptCount val="16"/>
                <c:pt idx="2" formatCode="0.000">
                  <c:v>591.25</c:v>
                </c:pt>
                <c:pt idx="3" formatCode="0.000">
                  <c:v>595</c:v>
                </c:pt>
                <c:pt idx="4" formatCode="0.000">
                  <c:v>604.375</c:v>
                </c:pt>
                <c:pt idx="5" formatCode="0.000">
                  <c:v>626.25</c:v>
                </c:pt>
                <c:pt idx="6" formatCode="0.000">
                  <c:v>641.25</c:v>
                </c:pt>
                <c:pt idx="7" formatCode="0.000">
                  <c:v>646.875</c:v>
                </c:pt>
                <c:pt idx="8" formatCode="0.000">
                  <c:v>650</c:v>
                </c:pt>
                <c:pt idx="9" formatCode="0.000">
                  <c:v>653.125</c:v>
                </c:pt>
                <c:pt idx="10" formatCode="0.000">
                  <c:v>659.375</c:v>
                </c:pt>
                <c:pt idx="11" formatCode="0.000">
                  <c:v>670.625</c:v>
                </c:pt>
                <c:pt idx="12" formatCode="0.000">
                  <c:v>688.125</c:v>
                </c:pt>
                <c:pt idx="13" formatCode="0.000">
                  <c:v>705.625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8-4E58-9210-E0E291F3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8970"/>
        <c:axId val="58650605"/>
      </c:scatterChart>
      <c:valAx>
        <c:axId val="43498970"/>
        <c:scaling>
          <c:orientation val="minMax"/>
          <c:max val="16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SG" u="none" baseline="0"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90919109052736502"/>
              <c:y val="0.90072466130981799"/>
            </c:manualLayout>
          </c:layout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spPr>
          <a:ln w="6350" cap="flat" cmpd="sng"/>
        </c:spPr>
        <c:txPr>
          <a:bodyPr rot="0" vert="horz" wrap="square"/>
          <a:lstStyle/>
          <a:p>
            <a:pPr>
              <a:defRPr lang="en-US" u="none" baseline="0"/>
            </a:pPr>
            <a:endParaRPr lang="en-US"/>
          </a:p>
        </c:txPr>
        <c:crossAx val="58650605"/>
        <c:crosses val="autoZero"/>
        <c:crossBetween val="midCat"/>
        <c:majorUnit val="1"/>
      </c:valAx>
      <c:valAx>
        <c:axId val="5865060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3498970"/>
        <c:crossesAt val="0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vert="horz" wrap="square"/>
        <a:lstStyle/>
        <a:p>
          <a:pPr>
            <a:defRPr lang="en-US" sz="1800" b="1" u="none" baseline="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59544382680802E-2"/>
          <c:y val="0.13665912258493501"/>
          <c:w val="0.88064385442905502"/>
          <c:h val="0.70634393340749502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trendline>
            <c:spPr>
              <a:ln w="19050" cap="flat" cmpd="sng">
                <a:solidFill>
                  <a:srgbClr val="FF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005486592827498"/>
                  <c:y val="0.18723367209355299"/>
                </c:manualLayout>
              </c:layout>
              <c:numFmt formatCode="General" sourceLinked="0"/>
              <c:txPr>
                <a:bodyPr rot="0" vert="horz" wrap="square"/>
                <a:lstStyle/>
                <a:p>
                  <a:pPr algn="ctr">
                    <a:defRPr lang="en-US" sz="1000" b="1" u="none" baseline="0">
                      <a:solidFill>
                        <a:srgbClr val="FF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8C-4223-A2DB-6A95E789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8701"/>
        <c:axId val="19528603"/>
      </c:scatterChart>
      <c:valAx>
        <c:axId val="2968701"/>
        <c:scaling>
          <c:orientation val="minMax"/>
          <c:max val="16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SG" u="none" baseline="0"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89804880959914801"/>
              <c:y val="0.91462222051734499"/>
            </c:manualLayout>
          </c:layout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9528603"/>
        <c:crosses val="autoZero"/>
        <c:crossBetween val="midCat"/>
        <c:majorUnit val="1"/>
      </c:valAx>
      <c:valAx>
        <c:axId val="19528603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spPr>
          <a:ln w="6350" cap="flat" cmpd="sng"/>
        </c:spPr>
        <c:crossAx val="296870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5735045864810901"/>
          <c:y val="0.90646924188371902"/>
          <c:w val="0.73567401899138696"/>
          <c:h val="8.33078880407124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SG" u="none" baseline="0"/>
            </a:pPr>
            <a:r>
              <a:rPr lang="en-SG"/>
              <a:t>Cyclicity and Irregular Variations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976209333460103E-2"/>
          <c:y val="0.16915606984721099"/>
          <c:w val="0.91709053618173697"/>
          <c:h val="0.66063440371444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Solutions!$N$2</c:f>
              <c:strCache>
                <c:ptCount val="1"/>
                <c:pt idx="0">
                  <c:v>Cyclicity (3-period MA)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Solutions!$N$3:$N$18</c:f>
              <c:numCache>
                <c:formatCode>0.000</c:formatCode>
                <c:ptCount val="16"/>
                <c:pt idx="1">
                  <c:v>1.0119552152923532</c:v>
                </c:pt>
                <c:pt idx="2">
                  <c:v>0.98870536781867446</c:v>
                </c:pt>
                <c:pt idx="3">
                  <c:v>0.98867723228116711</c:v>
                </c:pt>
                <c:pt idx="4">
                  <c:v>0.98448938839097744</c:v>
                </c:pt>
                <c:pt idx="5">
                  <c:v>1.0099656965284183</c:v>
                </c:pt>
                <c:pt idx="6">
                  <c:v>1.0095535300766045</c:v>
                </c:pt>
                <c:pt idx="7">
                  <c:v>1.0130103374423267</c:v>
                </c:pt>
                <c:pt idx="8">
                  <c:v>0.99458907515578288</c:v>
                </c:pt>
                <c:pt idx="9">
                  <c:v>0.97592581326854011</c:v>
                </c:pt>
                <c:pt idx="10">
                  <c:v>0.97947136952183678</c:v>
                </c:pt>
                <c:pt idx="11">
                  <c:v>0.97624957281504032</c:v>
                </c:pt>
                <c:pt idx="12">
                  <c:v>1.0035299965768771</c:v>
                </c:pt>
                <c:pt idx="13">
                  <c:v>1.0058595977156504</c:v>
                </c:pt>
                <c:pt idx="14">
                  <c:v>1.0214644111511644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D-481C-8DB0-27EE4677022A}"/>
            </c:ext>
          </c:extLst>
        </c:ser>
        <c:ser>
          <c:idx val="1"/>
          <c:order val="1"/>
          <c:tx>
            <c:strRef>
              <c:f>Solutions!$O$2</c:f>
              <c:strCache>
                <c:ptCount val="1"/>
                <c:pt idx="0">
                  <c:v>Irregular Variations (=Cyclicity*Irregulari/Cyclicityi)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Solutions!$O$3:$O$18</c:f>
              <c:numCache>
                <c:formatCode>0.000</c:formatCode>
                <c:ptCount val="16"/>
                <c:pt idx="1">
                  <c:v>1.0073533365656298</c:v>
                </c:pt>
                <c:pt idx="2">
                  <c:v>1.000105677572239</c:v>
                </c:pt>
                <c:pt idx="3">
                  <c:v>0.968880194463969</c:v>
                </c:pt>
                <c:pt idx="4">
                  <c:v>1.0353712980422838</c:v>
                </c:pt>
                <c:pt idx="5">
                  <c:v>0.96661334487568584</c:v>
                </c:pt>
                <c:pt idx="6">
                  <c:v>1.0245506381504237</c:v>
                </c:pt>
                <c:pt idx="7">
                  <c:v>1.0050001653312259</c:v>
                </c:pt>
                <c:pt idx="8">
                  <c:v>0.99198429469343263</c:v>
                </c:pt>
                <c:pt idx="9">
                  <c:v>1.003226795844532</c:v>
                </c:pt>
                <c:pt idx="10">
                  <c:v>0.9822500186194586</c:v>
                </c:pt>
                <c:pt idx="11">
                  <c:v>1.0215148244444168</c:v>
                </c:pt>
                <c:pt idx="12">
                  <c:v>0.9659995613621043</c:v>
                </c:pt>
                <c:pt idx="13">
                  <c:v>1.0378456840361854</c:v>
                </c:pt>
                <c:pt idx="14">
                  <c:v>0.9831396996716284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9D-481C-8DB0-27EE4677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74268"/>
        <c:axId val="10712672"/>
      </c:scatterChart>
      <c:valAx>
        <c:axId val="54074268"/>
        <c:scaling>
          <c:orientation val="minMax"/>
          <c:max val="16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SG" u="none" baseline="0"/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89308192151051302"/>
              <c:y val="0.898339856238628"/>
            </c:manualLayout>
          </c:layout>
          <c:overlay val="0"/>
          <c:spPr>
            <a:noFill/>
          </c:spPr>
        </c:title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10712672"/>
        <c:crosses val="autoZero"/>
        <c:crossBetween val="midCat"/>
        <c:majorUnit val="1"/>
      </c:valAx>
      <c:valAx>
        <c:axId val="10712672"/>
        <c:scaling>
          <c:orientation val="minMax"/>
          <c:max val="1.3"/>
          <c:min val="0.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5407426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SG" sz="2000" u="none" baseline="0">
                <a:latin typeface="Calibri"/>
                <a:ea typeface="Calibri"/>
              </a:defRPr>
            </a:pPr>
            <a:r>
              <a:rPr lang="en-SG"/>
              <a:t>Forecast for the Next 4 Quarters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551165656365504E-2"/>
          <c:y val="0.14239444688703301"/>
          <c:w val="0.89655864252027695"/>
          <c:h val="0.681421030786065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Solutions!$B$2</c:f>
              <c:strCache>
                <c:ptCount val="1"/>
                <c:pt idx="0">
                  <c:v>Sales (No. of Units) 
(Y)</c:v>
                </c:pt>
              </c:strCache>
            </c:strRef>
          </c:tx>
          <c:spPr>
            <a:ln w="19050" cmpd="sng">
              <a:solidFill>
                <a:srgbClr val="7030A0"/>
              </a:solidFill>
            </a:ln>
            <a:effectLst/>
          </c:spPr>
          <c:marker>
            <c:symbol val="diamond"/>
            <c:size val="7"/>
            <c:spPr>
              <a:solidFill>
                <a:srgbClr val="7030A0"/>
              </a:solidFill>
              <a:ln w="6350" cap="flat" cmpd="sng">
                <a:solidFill>
                  <a:srgbClr val="7030A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Solutions!$B$3:$B$18</c:f>
              <c:numCache>
                <c:formatCode>General</c:formatCode>
                <c:ptCount val="16"/>
                <c:pt idx="0">
                  <c:v>360</c:v>
                </c:pt>
                <c:pt idx="1">
                  <c:v>550</c:v>
                </c:pt>
                <c:pt idx="2">
                  <c:v>585</c:v>
                </c:pt>
                <c:pt idx="3">
                  <c:v>860</c:v>
                </c:pt>
                <c:pt idx="4">
                  <c:v>380</c:v>
                </c:pt>
                <c:pt idx="5">
                  <c:v>560</c:v>
                </c:pt>
                <c:pt idx="6">
                  <c:v>650</c:v>
                </c:pt>
                <c:pt idx="7">
                  <c:v>970</c:v>
                </c:pt>
                <c:pt idx="8">
                  <c:v>390</c:v>
                </c:pt>
                <c:pt idx="9">
                  <c:v>595</c:v>
                </c:pt>
                <c:pt idx="10">
                  <c:v>640</c:v>
                </c:pt>
                <c:pt idx="11">
                  <c:v>1005</c:v>
                </c:pt>
                <c:pt idx="12">
                  <c:v>405</c:v>
                </c:pt>
                <c:pt idx="13">
                  <c:v>670</c:v>
                </c:pt>
                <c:pt idx="14">
                  <c:v>705</c:v>
                </c:pt>
                <c:pt idx="15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7-4CCC-A7A7-B9517E53DF9C}"/>
            </c:ext>
          </c:extLst>
        </c:ser>
        <c:ser>
          <c:idx val="1"/>
          <c:order val="1"/>
          <c:tx>
            <c:strRef>
              <c:f>Solutions!$H$2</c:f>
              <c:strCache>
                <c:ptCount val="1"/>
                <c:pt idx="0">
                  <c:v>Deseasonalized value 
(= Yi / Seasonal Indexi)</c:v>
                </c:pt>
              </c:strCache>
            </c:strRef>
          </c:tx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Solutions!$H$3:$H$18</c:f>
              <c:numCache>
                <c:formatCode>0.000</c:formatCode>
                <c:ptCount val="16"/>
                <c:pt idx="0">
                  <c:v>593.75293817994907</c:v>
                </c:pt>
                <c:pt idx="1">
                  <c:v>598.43193979728437</c:v>
                </c:pt>
                <c:pt idx="2">
                  <c:v>589.6456342441478</c:v>
                </c:pt>
                <c:pt idx="3">
                  <c:v>580.10223387791791</c:v>
                </c:pt>
                <c:pt idx="4">
                  <c:v>626.73921252327955</c:v>
                </c:pt>
                <c:pt idx="5">
                  <c:v>609.31252052087143</c:v>
                </c:pt>
                <c:pt idx="6">
                  <c:v>655.16181582683089</c:v>
                </c:pt>
                <c:pt idx="7">
                  <c:v>654.30135681579111</c:v>
                </c:pt>
                <c:pt idx="8">
                  <c:v>643.23234969494479</c:v>
                </c:pt>
                <c:pt idx="9">
                  <c:v>647.39455305342585</c:v>
                </c:pt>
                <c:pt idx="10">
                  <c:v>645.08240327564886</c:v>
                </c:pt>
                <c:pt idx="11">
                  <c:v>677.9101686596598</c:v>
                </c:pt>
                <c:pt idx="12">
                  <c:v>667.97205545244265</c:v>
                </c:pt>
                <c:pt idx="13">
                  <c:v>728.99890848032828</c:v>
                </c:pt>
                <c:pt idx="14">
                  <c:v>710.59858485833195</c:v>
                </c:pt>
                <c:pt idx="15">
                  <c:v>728.50047975366431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E7-4CCC-A7A7-B9517E53DF9C}"/>
            </c:ext>
          </c:extLst>
        </c:ser>
        <c:ser>
          <c:idx val="2"/>
          <c:order val="2"/>
          <c:tx>
            <c:strRef>
              <c:f>Solutions!$J$2</c:f>
              <c:strCache>
                <c:ptCount val="1"/>
                <c:pt idx="0">
                  <c:v>Seasonalized forecast
(= Seasonal Indexi *Deseasonalized forecasti)</c:v>
                </c:pt>
              </c:strCache>
            </c:strRef>
          </c:tx>
          <c:spPr>
            <a:ln w="19050" cmpd="sng">
              <a:solidFill>
                <a:srgbClr val="00B050"/>
              </a:solidFill>
            </a:ln>
            <a:effectLst/>
          </c:spPr>
          <c:marker>
            <c:symbol val="triangle"/>
            <c:size val="7"/>
            <c:spPr>
              <a:solidFill>
                <a:srgbClr val="00B050"/>
              </a:solidFill>
              <a:ln w="6350" cap="flat" cmpd="sng">
                <a:solidFill>
                  <a:srgbClr val="00B050"/>
                </a:solidFill>
              </a:ln>
              <a:effectLst/>
            </c:spPr>
          </c:marker>
          <c:xVal>
            <c:numRef>
              <c:f>Solutions!$C$3:$C$18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Solutions!$J$3:$J$18</c:f>
              <c:numCache>
                <c:formatCode>0.000</c:formatCode>
                <c:ptCount val="16"/>
                <c:pt idx="0">
                  <c:v>350.31064183111727</c:v>
                </c:pt>
                <c:pt idx="1">
                  <c:v>539.53493090228994</c:v>
                </c:pt>
                <c:pt idx="2">
                  <c:v>591.62031904732112</c:v>
                </c:pt>
                <c:pt idx="3">
                  <c:v>897.7880900776106</c:v>
                </c:pt>
                <c:pt idx="4">
                  <c:v>372.8004567153086</c:v>
                </c:pt>
                <c:pt idx="5">
                  <c:v>573.62572175927301</c:v>
                </c:pt>
                <c:pt idx="6">
                  <c:v>628.42083693135464</c:v>
                </c:pt>
                <c:pt idx="7">
                  <c:v>952.77800719253298</c:v>
                </c:pt>
                <c:pt idx="8">
                  <c:v>395.29027159949987</c:v>
                </c:pt>
                <c:pt idx="9">
                  <c:v>607.71651261625607</c:v>
                </c:pt>
                <c:pt idx="10">
                  <c:v>665.22135481538817</c:v>
                </c:pt>
                <c:pt idx="11">
                  <c:v>1007.7679243074555</c:v>
                </c:pt>
                <c:pt idx="12">
                  <c:v>417.78008648369121</c:v>
                </c:pt>
                <c:pt idx="13">
                  <c:v>641.80730347323924</c:v>
                </c:pt>
                <c:pt idx="14">
                  <c:v>702.02187269942181</c:v>
                </c:pt>
                <c:pt idx="15">
                  <c:v>1062.7578414223779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E7-4CCC-A7A7-B9517E53DF9C}"/>
            </c:ext>
          </c:extLst>
        </c:ser>
        <c:ser>
          <c:idx val="4"/>
          <c:order val="3"/>
          <c:tx>
            <c:strRef>
              <c:f>Solutions!$A$71</c:f>
              <c:strCache>
                <c:ptCount val="1"/>
                <c:pt idx="0">
                  <c:v>Forecast for the next 4 quarters</c:v>
                </c:pt>
              </c:strCache>
            </c:strRef>
          </c:tx>
          <c:spPr>
            <a:ln w="19050" cmpd="sng">
              <a:solidFill>
                <a:srgbClr val="FF0000"/>
              </a:solidFill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6350" cap="flat" cmpd="sng">
                <a:solidFill>
                  <a:srgbClr val="FF0000"/>
                </a:solidFill>
              </a:ln>
              <a:effectLst/>
            </c:spPr>
          </c:marker>
          <c:xVal>
            <c:numRef>
              <c:f>Solutions!$B$73:$B$76</c:f>
              <c:numCache>
                <c:formatCode>General</c:formatCode>
                <c:ptCount val="4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</c:numCache>
            </c:numRef>
          </c:xVal>
          <c:yVal>
            <c:numRef>
              <c:f>Solutions!$E$73:$E$76</c:f>
              <c:numCache>
                <c:formatCode>0.000</c:formatCode>
                <c:ptCount val="4"/>
                <c:pt idx="0">
                  <c:v>440.27053387628649</c:v>
                </c:pt>
                <c:pt idx="1">
                  <c:v>675.89905310697645</c:v>
                </c:pt>
                <c:pt idx="2">
                  <c:v>738.82342556915671</c:v>
                </c:pt>
                <c:pt idx="3">
                  <c:v>1117.7493050855885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E7-4CCC-A7A7-B9517E53D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314"/>
        <c:axId val="557466"/>
      </c:scatterChart>
      <c:valAx>
        <c:axId val="15226314"/>
        <c:scaling>
          <c:orientation val="minMax"/>
          <c:max val="20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SG" sz="1400" u="none" baseline="0">
                    <a:latin typeface="Calibri"/>
                    <a:ea typeface="Calibri"/>
                  </a:defRPr>
                </a:pPr>
                <a:r>
                  <a:rPr lang="en-SG"/>
                  <a:t>Quarter</a:t>
                </a:r>
              </a:p>
            </c:rich>
          </c:tx>
          <c:layout>
            <c:manualLayout>
              <c:xMode val="edge"/>
              <c:yMode val="edge"/>
              <c:x val="0.89655044633978698"/>
              <c:y val="0.90352842308468095"/>
            </c:manualLayout>
          </c:layout>
          <c:overlay val="0"/>
          <c:spPr>
            <a:noFill/>
          </c:spPr>
        </c:title>
        <c:numFmt formatCode="General" sourceLinked="1"/>
        <c:majorTickMark val="none"/>
        <c:minorTickMark val="none"/>
        <c:tickLblPos val="nextTo"/>
        <c:spPr>
          <a:ln w="6350" cap="flat" cmpd="sng"/>
        </c:spPr>
        <c:txPr>
          <a:bodyPr rot="0" vert="horz" wrap="square"/>
          <a:lstStyle/>
          <a:p>
            <a:pPr>
              <a:defRPr lang="en-US" sz="1100" u="none" baseline="0">
                <a:latin typeface="Calibri"/>
                <a:ea typeface="Calibri"/>
              </a:defRPr>
            </a:pPr>
            <a:endParaRPr lang="en-US"/>
          </a:p>
        </c:txPr>
        <c:crossAx val="557466"/>
        <c:crossesAt val="0"/>
        <c:crossBetween val="midCat"/>
        <c:majorUnit val="1"/>
      </c:valAx>
      <c:valAx>
        <c:axId val="55746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 cap="flat" cmpd="sng"/>
        </c:spPr>
        <c:txPr>
          <a:bodyPr wrap="square"/>
          <a:lstStyle/>
          <a:p>
            <a:pPr>
              <a:defRPr lang="en-US" sz="1100" u="none" baseline="0">
                <a:latin typeface="Calibri"/>
                <a:ea typeface="Calibri"/>
              </a:defRPr>
            </a:pPr>
            <a:endParaRPr lang="en-US"/>
          </a:p>
        </c:txPr>
        <c:crossAx val="15226314"/>
        <c:crossesAt val="0"/>
        <c:crossBetween val="midCat"/>
      </c:valAx>
    </c:plotArea>
    <c:legend>
      <c:legendPos val="b"/>
      <c:layout>
        <c:manualLayout>
          <c:xMode val="edge"/>
          <c:yMode val="edge"/>
          <c:x val="3.7952665853523297E-2"/>
          <c:y val="0.91267056203308095"/>
          <c:w val="0.79695323768365001"/>
          <c:h val="7.2538988029035897E-2"/>
        </c:manualLayout>
      </c:layout>
      <c:overlay val="0"/>
      <c:txPr>
        <a:bodyPr wrap="square"/>
        <a:lstStyle/>
        <a:p>
          <a:pPr algn="l">
            <a:defRPr lang="en-US" sz="1100" u="none" baseline="0"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40.png"/><Relationship Id="rId1" Type="http://schemas.openxmlformats.org/officeDocument/2006/relationships/customXml" Target="../ink/ink1.xml"/><Relationship Id="rId6" Type="http://schemas.openxmlformats.org/officeDocument/2006/relationships/image" Target="../media/image16.png"/><Relationship Id="rId5" Type="http://schemas.openxmlformats.org/officeDocument/2006/relationships/customXml" Target="../ink/ink3.xml"/><Relationship Id="rId4" Type="http://schemas.openxmlformats.org/officeDocument/2006/relationships/image" Target="../media/image15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customXml" Target="../ink/ink4.xml"/><Relationship Id="rId1" Type="http://schemas.openxmlformats.org/officeDocument/2006/relationships/image" Target="../media/image17.png"/><Relationship Id="rId5" Type="http://schemas.openxmlformats.org/officeDocument/2006/relationships/image" Target="../media/image19.png"/><Relationship Id="rId4" Type="http://schemas.openxmlformats.org/officeDocument/2006/relationships/customXml" Target="../ink/ink5.xml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6.png"/><Relationship Id="rId18" Type="http://schemas.openxmlformats.org/officeDocument/2006/relationships/customXml" Target="../ink/ink14.xml"/><Relationship Id="rId26" Type="http://schemas.openxmlformats.org/officeDocument/2006/relationships/customXml" Target="../ink/ink18.xml"/><Relationship Id="rId39" Type="http://schemas.openxmlformats.org/officeDocument/2006/relationships/image" Target="../media/image39.png"/><Relationship Id="rId21" Type="http://schemas.openxmlformats.org/officeDocument/2006/relationships/image" Target="../media/image30.png"/><Relationship Id="rId34" Type="http://schemas.openxmlformats.org/officeDocument/2006/relationships/customXml" Target="../ink/ink22.xml"/><Relationship Id="rId7" Type="http://schemas.openxmlformats.org/officeDocument/2006/relationships/image" Target="../media/image23.png"/><Relationship Id="rId12" Type="http://schemas.openxmlformats.org/officeDocument/2006/relationships/customXml" Target="../ink/ink11.xml"/><Relationship Id="rId17" Type="http://schemas.openxmlformats.org/officeDocument/2006/relationships/image" Target="../media/image28.png"/><Relationship Id="rId25" Type="http://schemas.openxmlformats.org/officeDocument/2006/relationships/image" Target="../media/image32.png"/><Relationship Id="rId33" Type="http://schemas.openxmlformats.org/officeDocument/2006/relationships/image" Target="../media/image36.png"/><Relationship Id="rId38" Type="http://schemas.openxmlformats.org/officeDocument/2006/relationships/customXml" Target="../ink/ink24.xml"/><Relationship Id="rId2" Type="http://schemas.openxmlformats.org/officeDocument/2006/relationships/customXml" Target="../ink/ink6.xml"/><Relationship Id="rId16" Type="http://schemas.openxmlformats.org/officeDocument/2006/relationships/customXml" Target="../ink/ink13.xml"/><Relationship Id="rId20" Type="http://schemas.openxmlformats.org/officeDocument/2006/relationships/customXml" Target="../ink/ink15.xml"/><Relationship Id="rId29" Type="http://schemas.openxmlformats.org/officeDocument/2006/relationships/image" Target="../media/image34.png"/><Relationship Id="rId1" Type="http://schemas.openxmlformats.org/officeDocument/2006/relationships/image" Target="../media/image20.png"/><Relationship Id="rId6" Type="http://schemas.openxmlformats.org/officeDocument/2006/relationships/customXml" Target="../ink/ink8.xml"/><Relationship Id="rId11" Type="http://schemas.openxmlformats.org/officeDocument/2006/relationships/image" Target="../media/image25.png"/><Relationship Id="rId24" Type="http://schemas.openxmlformats.org/officeDocument/2006/relationships/customXml" Target="../ink/ink17.xml"/><Relationship Id="rId32" Type="http://schemas.openxmlformats.org/officeDocument/2006/relationships/customXml" Target="../ink/ink21.xml"/><Relationship Id="rId37" Type="http://schemas.openxmlformats.org/officeDocument/2006/relationships/image" Target="../media/image38.png"/><Relationship Id="rId5" Type="http://schemas.openxmlformats.org/officeDocument/2006/relationships/image" Target="../media/image22.png"/><Relationship Id="rId15" Type="http://schemas.openxmlformats.org/officeDocument/2006/relationships/image" Target="../media/image27.png"/><Relationship Id="rId23" Type="http://schemas.openxmlformats.org/officeDocument/2006/relationships/image" Target="../media/image31.png"/><Relationship Id="rId28" Type="http://schemas.openxmlformats.org/officeDocument/2006/relationships/customXml" Target="../ink/ink19.xml"/><Relationship Id="rId36" Type="http://schemas.openxmlformats.org/officeDocument/2006/relationships/customXml" Target="../ink/ink23.xml"/><Relationship Id="rId10" Type="http://schemas.openxmlformats.org/officeDocument/2006/relationships/customXml" Target="../ink/ink10.xml"/><Relationship Id="rId19" Type="http://schemas.openxmlformats.org/officeDocument/2006/relationships/image" Target="../media/image29.png"/><Relationship Id="rId31" Type="http://schemas.openxmlformats.org/officeDocument/2006/relationships/image" Target="../media/image35.png"/><Relationship Id="rId4" Type="http://schemas.openxmlformats.org/officeDocument/2006/relationships/customXml" Target="../ink/ink7.xml"/><Relationship Id="rId9" Type="http://schemas.openxmlformats.org/officeDocument/2006/relationships/image" Target="../media/image24.png"/><Relationship Id="rId14" Type="http://schemas.openxmlformats.org/officeDocument/2006/relationships/customXml" Target="../ink/ink12.xml"/><Relationship Id="rId22" Type="http://schemas.openxmlformats.org/officeDocument/2006/relationships/customXml" Target="../ink/ink16.xml"/><Relationship Id="rId27" Type="http://schemas.openxmlformats.org/officeDocument/2006/relationships/image" Target="../media/image33.png"/><Relationship Id="rId30" Type="http://schemas.openxmlformats.org/officeDocument/2006/relationships/customXml" Target="../ink/ink20.xml"/><Relationship Id="rId35" Type="http://schemas.openxmlformats.org/officeDocument/2006/relationships/image" Target="../media/image37.png"/><Relationship Id="rId8" Type="http://schemas.openxmlformats.org/officeDocument/2006/relationships/customXml" Target="../ink/ink9.xml"/><Relationship Id="rId3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gi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customXml" Target="../ink/ink30.xml"/><Relationship Id="rId3" Type="http://schemas.openxmlformats.org/officeDocument/2006/relationships/customXml" Target="../ink/ink25.xml"/><Relationship Id="rId7" Type="http://schemas.openxmlformats.org/officeDocument/2006/relationships/customXml" Target="../ink/ink27.xml"/><Relationship Id="rId12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3.png"/><Relationship Id="rId11" Type="http://schemas.openxmlformats.org/officeDocument/2006/relationships/customXml" Target="../ink/ink29.xml"/><Relationship Id="rId5" Type="http://schemas.openxmlformats.org/officeDocument/2006/relationships/customXml" Target="../ink/ink26.xml"/><Relationship Id="rId10" Type="http://schemas.openxmlformats.org/officeDocument/2006/relationships/image" Target="../media/image45.png"/><Relationship Id="rId4" Type="http://schemas.openxmlformats.org/officeDocument/2006/relationships/image" Target="../media/image42.png"/><Relationship Id="rId9" Type="http://schemas.openxmlformats.org/officeDocument/2006/relationships/customXml" Target="../ink/ink28.xml"/><Relationship Id="rId14" Type="http://schemas.openxmlformats.org/officeDocument/2006/relationships/image" Target="../media/image4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2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png"/><Relationship Id="rId3" Type="http://schemas.openxmlformats.org/officeDocument/2006/relationships/image" Target="../media/image54.png"/><Relationship Id="rId7" Type="http://schemas.openxmlformats.org/officeDocument/2006/relationships/image" Target="../media/image56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6" Type="http://schemas.openxmlformats.org/officeDocument/2006/relationships/image" Target="../media/image50.png"/><Relationship Id="rId5" Type="http://schemas.openxmlformats.org/officeDocument/2006/relationships/image" Target="../media/image55.png"/><Relationship Id="rId10" Type="http://schemas.openxmlformats.org/officeDocument/2006/relationships/image" Target="../media/image58.png"/><Relationship Id="rId4" Type="http://schemas.openxmlformats.org/officeDocument/2006/relationships/customXml" Target="../ink/ink31.xml"/><Relationship Id="rId9" Type="http://schemas.openxmlformats.org/officeDocument/2006/relationships/customXml" Target="../ink/ink32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3" Type="http://schemas.openxmlformats.org/officeDocument/2006/relationships/image" Target="../media/image61.png"/><Relationship Id="rId7" Type="http://schemas.openxmlformats.org/officeDocument/2006/relationships/image" Target="../media/image50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6" Type="http://schemas.openxmlformats.org/officeDocument/2006/relationships/image" Target="../media/image57.png"/><Relationship Id="rId5" Type="http://schemas.openxmlformats.org/officeDocument/2006/relationships/image" Target="../media/image62.png"/><Relationship Id="rId10" Type="http://schemas.openxmlformats.org/officeDocument/2006/relationships/image" Target="../media/image63.png"/><Relationship Id="rId4" Type="http://schemas.openxmlformats.org/officeDocument/2006/relationships/customXml" Target="../ink/ink33.xml"/><Relationship Id="rId9" Type="http://schemas.openxmlformats.org/officeDocument/2006/relationships/customXml" Target="../ink/ink34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chart" Target="../charts/chart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5.png"/><Relationship Id="rId1" Type="http://schemas.openxmlformats.org/officeDocument/2006/relationships/chart" Target="../charts/chart2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chart" Target="../charts/chart3.xml"/><Relationship Id="rId1" Type="http://schemas.openxmlformats.org/officeDocument/2006/relationships/image" Target="../media/image66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66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chart" Target="../charts/chart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69.png"/><Relationship Id="rId1" Type="http://schemas.openxmlformats.org/officeDocument/2006/relationships/image" Target="../media/image70.png"/><Relationship Id="rId6" Type="http://schemas.openxmlformats.org/officeDocument/2006/relationships/image" Target="../media/image72.png"/><Relationship Id="rId5" Type="http://schemas.openxmlformats.org/officeDocument/2006/relationships/image" Target="../media/image71.png"/><Relationship Id="rId4" Type="http://schemas.openxmlformats.org/officeDocument/2006/relationships/chart" Target="../charts/chart7.xm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5.png"/><Relationship Id="rId3" Type="http://schemas.openxmlformats.org/officeDocument/2006/relationships/chart" Target="../charts/chart10.xml"/><Relationship Id="rId7" Type="http://schemas.openxmlformats.org/officeDocument/2006/relationships/image" Target="../media/image74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73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2</xdr:col>
      <xdr:colOff>247255</xdr:colOff>
      <xdr:row>3</xdr:row>
      <xdr:rowOff>2977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74295-A85E-434C-9C2A-72CF5ED44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0"/>
          <a:ext cx="4482705" cy="352227"/>
        </a:xfrm>
        <a:prstGeom prst="rect">
          <a:avLst/>
        </a:prstGeom>
      </xdr:spPr>
    </xdr:pic>
    <xdr:clientData/>
  </xdr:twoCellAnchor>
  <xdr:twoCellAnchor editAs="oneCell">
    <xdr:from>
      <xdr:col>5</xdr:col>
      <xdr:colOff>516081</xdr:colOff>
      <xdr:row>2</xdr:row>
      <xdr:rowOff>136171</xdr:rowOff>
    </xdr:from>
    <xdr:to>
      <xdr:col>11</xdr:col>
      <xdr:colOff>511513</xdr:colOff>
      <xdr:row>13</xdr:row>
      <xdr:rowOff>168024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D9864-35CF-431B-86B0-00D91D27B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8931" y="504471"/>
          <a:ext cx="3653032" cy="20892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520347</xdr:colOff>
      <xdr:row>16</xdr:row>
      <xdr:rowOff>150129</xdr:rowOff>
    </xdr:from>
    <xdr:to>
      <xdr:col>11</xdr:col>
      <xdr:colOff>525902</xdr:colOff>
      <xdr:row>29</xdr:row>
      <xdr:rowOff>83333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20F25C-2600-4652-A263-98012763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3197" y="3166379"/>
          <a:ext cx="3663155" cy="251130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31</xdr:row>
      <xdr:rowOff>69289</xdr:rowOff>
    </xdr:from>
    <xdr:to>
      <xdr:col>2</xdr:col>
      <xdr:colOff>728597</xdr:colOff>
      <xdr:row>33</xdr:row>
      <xdr:rowOff>9478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E93D09-23C7-4550-A491-CD66AE67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254189"/>
          <a:ext cx="4964047" cy="308489"/>
        </a:xfrm>
        <a:prstGeom prst="rect">
          <a:avLst/>
        </a:prstGeom>
      </xdr:spPr>
    </xdr:pic>
    <xdr:clientData/>
  </xdr:twoCellAnchor>
  <xdr:twoCellAnchor editAs="oneCell">
    <xdr:from>
      <xdr:col>5</xdr:col>
      <xdr:colOff>544980</xdr:colOff>
      <xdr:row>32</xdr:row>
      <xdr:rowOff>107023</xdr:rowOff>
    </xdr:from>
    <xdr:to>
      <xdr:col>12</xdr:col>
      <xdr:colOff>459948</xdr:colOff>
      <xdr:row>45</xdr:row>
      <xdr:rowOff>52878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6D6033-C155-4C92-B186-66A427E3D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7830" y="6476073"/>
          <a:ext cx="4182168" cy="23969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548861</xdr:colOff>
      <xdr:row>45</xdr:row>
      <xdr:rowOff>60630</xdr:rowOff>
    </xdr:from>
    <xdr:to>
      <xdr:col>12</xdr:col>
      <xdr:colOff>453773</xdr:colOff>
      <xdr:row>60</xdr:row>
      <xdr:rowOff>113844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91514A-1EA4-4447-AB1C-217D87019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41711" y="8880780"/>
          <a:ext cx="4172112" cy="30313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63</xdr:row>
      <xdr:rowOff>19844</xdr:rowOff>
    </xdr:from>
    <xdr:to>
      <xdr:col>2</xdr:col>
      <xdr:colOff>247255</xdr:colOff>
      <xdr:row>65</xdr:row>
      <xdr:rowOff>3472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520942-9EB9-4793-925A-DE18D09E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30944"/>
          <a:ext cx="4482705" cy="351928"/>
        </a:xfrm>
        <a:prstGeom prst="rect">
          <a:avLst/>
        </a:prstGeom>
      </xdr:spPr>
    </xdr:pic>
    <xdr:clientData/>
  </xdr:twoCellAnchor>
  <xdr:twoCellAnchor editAs="oneCell">
    <xdr:from>
      <xdr:col>5</xdr:col>
      <xdr:colOff>421754</xdr:colOff>
      <xdr:row>68</xdr:row>
      <xdr:rowOff>15894</xdr:rowOff>
    </xdr:from>
    <xdr:to>
      <xdr:col>12</xdr:col>
      <xdr:colOff>327099</xdr:colOff>
      <xdr:row>80</xdr:row>
      <xdr:rowOff>81518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7DE53B-E354-4BDB-89E4-B987E9679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4604" y="13547744"/>
          <a:ext cx="4172545" cy="23706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425571</xdr:colOff>
      <xdr:row>80</xdr:row>
      <xdr:rowOff>42163</xdr:rowOff>
    </xdr:from>
    <xdr:to>
      <xdr:col>12</xdr:col>
      <xdr:colOff>330534</xdr:colOff>
      <xdr:row>94</xdr:row>
      <xdr:rowOff>159101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91E207-7C66-4E6B-A165-2A2AEB29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18421" y="15879063"/>
          <a:ext cx="4172163" cy="28537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94776</xdr:colOff>
      <xdr:row>2</xdr:row>
      <xdr:rowOff>142164</xdr:rowOff>
    </xdr:from>
    <xdr:to>
      <xdr:col>20</xdr:col>
      <xdr:colOff>300720</xdr:colOff>
      <xdr:row>7</xdr:row>
      <xdr:rowOff>175371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162851-4516-4574-886F-B3CA5EB5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54826" y="510464"/>
          <a:ext cx="5082744" cy="953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2</xdr:col>
      <xdr:colOff>247255</xdr:colOff>
      <xdr:row>3</xdr:row>
      <xdr:rowOff>2977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9BD50-3AA7-4C10-91F1-21D84AE1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556"/>
          <a:ext cx="4489785" cy="349507"/>
        </a:xfrm>
        <a:prstGeom prst="rect">
          <a:avLst/>
        </a:prstGeom>
      </xdr:spPr>
    </xdr:pic>
    <xdr:clientData/>
  </xdr:twoCellAnchor>
  <xdr:twoCellAnchor editAs="oneCell">
    <xdr:from>
      <xdr:col>5</xdr:col>
      <xdr:colOff>516081</xdr:colOff>
      <xdr:row>2</xdr:row>
      <xdr:rowOff>136171</xdr:rowOff>
    </xdr:from>
    <xdr:to>
      <xdr:col>11</xdr:col>
      <xdr:colOff>511513</xdr:colOff>
      <xdr:row>13</xdr:row>
      <xdr:rowOff>168024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6C1D6-7AD0-4980-B323-6D562F1D5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6428" y="506588"/>
          <a:ext cx="3646680" cy="20850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520347</xdr:colOff>
      <xdr:row>16</xdr:row>
      <xdr:rowOff>150129</xdr:rowOff>
    </xdr:from>
    <xdr:to>
      <xdr:col>11</xdr:col>
      <xdr:colOff>525902</xdr:colOff>
      <xdr:row>29</xdr:row>
      <xdr:rowOff>83333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E2768D-EDDC-4F7F-93EB-2D9FC2E80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0694" y="2610754"/>
          <a:ext cx="3656803" cy="24820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31</xdr:row>
      <xdr:rowOff>69289</xdr:rowOff>
    </xdr:from>
    <xdr:to>
      <xdr:col>2</xdr:col>
      <xdr:colOff>728597</xdr:colOff>
      <xdr:row>33</xdr:row>
      <xdr:rowOff>9478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25E8BE-217F-4BB3-AD6F-07DDD098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011752"/>
          <a:ext cx="4971558" cy="300338"/>
        </a:xfrm>
        <a:prstGeom prst="rect">
          <a:avLst/>
        </a:prstGeom>
      </xdr:spPr>
    </xdr:pic>
    <xdr:clientData/>
  </xdr:twoCellAnchor>
  <xdr:twoCellAnchor editAs="oneCell">
    <xdr:from>
      <xdr:col>5</xdr:col>
      <xdr:colOff>544980</xdr:colOff>
      <xdr:row>32</xdr:row>
      <xdr:rowOff>107023</xdr:rowOff>
    </xdr:from>
    <xdr:to>
      <xdr:col>12</xdr:col>
      <xdr:colOff>459948</xdr:colOff>
      <xdr:row>45</xdr:row>
      <xdr:rowOff>52878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A4A1D0-B83A-4DA3-94A0-F919307B5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9699" y="6321461"/>
          <a:ext cx="4160192" cy="242884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548861</xdr:colOff>
      <xdr:row>45</xdr:row>
      <xdr:rowOff>60630</xdr:rowOff>
    </xdr:from>
    <xdr:to>
      <xdr:col>12</xdr:col>
      <xdr:colOff>453773</xdr:colOff>
      <xdr:row>60</xdr:row>
      <xdr:rowOff>113844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87E50-3C40-4CF7-AB40-95BBDE3B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4434" y="8719120"/>
          <a:ext cx="4164703" cy="30562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63</xdr:row>
      <xdr:rowOff>19844</xdr:rowOff>
    </xdr:from>
    <xdr:to>
      <xdr:col>2</xdr:col>
      <xdr:colOff>247255</xdr:colOff>
      <xdr:row>65</xdr:row>
      <xdr:rowOff>3472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108594-1D64-4BC4-B18E-B49BB68F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43594"/>
          <a:ext cx="4492182" cy="348912"/>
        </a:xfrm>
        <a:prstGeom prst="rect">
          <a:avLst/>
        </a:prstGeom>
      </xdr:spPr>
    </xdr:pic>
    <xdr:clientData/>
  </xdr:twoCellAnchor>
  <xdr:twoCellAnchor editAs="oneCell">
    <xdr:from>
      <xdr:col>5</xdr:col>
      <xdr:colOff>421754</xdr:colOff>
      <xdr:row>68</xdr:row>
      <xdr:rowOff>15894</xdr:rowOff>
    </xdr:from>
    <xdr:to>
      <xdr:col>12</xdr:col>
      <xdr:colOff>327099</xdr:colOff>
      <xdr:row>80</xdr:row>
      <xdr:rowOff>81518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0CF9D22-A20A-483B-836F-40C8054D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948" y="13019178"/>
          <a:ext cx="4151314" cy="236868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425571</xdr:colOff>
      <xdr:row>80</xdr:row>
      <xdr:rowOff>42163</xdr:rowOff>
    </xdr:from>
    <xdr:to>
      <xdr:col>12</xdr:col>
      <xdr:colOff>330534</xdr:colOff>
      <xdr:row>94</xdr:row>
      <xdr:rowOff>159101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DC800B-0F28-4C25-8F8E-3CEBE615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81765" y="15528581"/>
          <a:ext cx="4150932" cy="28559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94776</xdr:colOff>
      <xdr:row>2</xdr:row>
      <xdr:rowOff>142164</xdr:rowOff>
    </xdr:from>
    <xdr:to>
      <xdr:col>20</xdr:col>
      <xdr:colOff>300720</xdr:colOff>
      <xdr:row>7</xdr:row>
      <xdr:rowOff>175371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6AE7A1-3AAB-7440-0454-F51D7325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0" y="502313"/>
          <a:ext cx="5058481" cy="9335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520788</xdr:colOff>
      <xdr:row>13</xdr:row>
      <xdr:rowOff>82512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05201-7CA5-4A3B-93E3-C88BE47A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200025"/>
          <a:ext cx="4181475" cy="23526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604549</xdr:colOff>
      <xdr:row>14</xdr:row>
      <xdr:rowOff>34636</xdr:rowOff>
    </xdr:from>
    <xdr:to>
      <xdr:col>11</xdr:col>
      <xdr:colOff>526358</xdr:colOff>
      <xdr:row>29</xdr:row>
      <xdr:rowOff>28101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1DDAE6-A482-4C02-86E8-F58650144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67425" y="2705100"/>
          <a:ext cx="4191000" cy="27813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BC68A-7DE3-4D6F-860C-861F43FB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295775" cy="342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520789</xdr:colOff>
      <xdr:row>13</xdr:row>
      <xdr:rowOff>111376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930C0-60E7-4854-A699-C02AFF03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200025"/>
          <a:ext cx="4181475" cy="23526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603834</xdr:colOff>
      <xdr:row>13</xdr:row>
      <xdr:rowOff>164471</xdr:rowOff>
    </xdr:from>
    <xdr:to>
      <xdr:col>11</xdr:col>
      <xdr:colOff>508000</xdr:colOff>
      <xdr:row>29</xdr:row>
      <xdr:rowOff>130817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121C1-3C3F-4F33-B85B-B3A5C9024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2609850"/>
          <a:ext cx="4171950" cy="29908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269B8F-2475-ADBB-3E5F-3F1F329B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295775" cy="342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23502</xdr:rowOff>
    </xdr:from>
    <xdr:to>
      <xdr:col>11</xdr:col>
      <xdr:colOff>520789</xdr:colOff>
      <xdr:row>13</xdr:row>
      <xdr:rowOff>82512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7DD7E-542C-4178-8654-AC7D9AE26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200025"/>
          <a:ext cx="4181475" cy="23526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3817</xdr:colOff>
      <xdr:row>13</xdr:row>
      <xdr:rowOff>184727</xdr:rowOff>
    </xdr:from>
    <xdr:to>
      <xdr:col>11</xdr:col>
      <xdr:colOff>524224</xdr:colOff>
      <xdr:row>29</xdr:row>
      <xdr:rowOff>37918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64681-78E3-4AA0-9600-2FA419FF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5" y="2657475"/>
          <a:ext cx="4181475" cy="28384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242454</xdr:colOff>
      <xdr:row>1</xdr:row>
      <xdr:rowOff>160908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9B257E-BC23-4090-B907-2A720654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295775" cy="342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25</xdr:row>
      <xdr:rowOff>28575</xdr:rowOff>
    </xdr:from>
    <xdr:to>
      <xdr:col>2</xdr:col>
      <xdr:colOff>1066676</xdr:colOff>
      <xdr:row>27</xdr:row>
      <xdr:rowOff>140343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27582-3A72-478E-B8A7-EC84933E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850" y="5495925"/>
          <a:ext cx="990476" cy="543568"/>
        </a:xfrm>
        <a:prstGeom prst="rect">
          <a:avLst/>
        </a:prstGeom>
      </xdr:spPr>
    </xdr:pic>
    <xdr:clientData/>
  </xdr:twoCellAnchor>
  <xdr:twoCellAnchor editAs="oneCell">
    <xdr:from>
      <xdr:col>6</xdr:col>
      <xdr:colOff>183363</xdr:colOff>
      <xdr:row>5</xdr:row>
      <xdr:rowOff>85690</xdr:rowOff>
    </xdr:from>
    <xdr:to>
      <xdr:col>6</xdr:col>
      <xdr:colOff>913258</xdr:colOff>
      <xdr:row>7</xdr:row>
      <xdr:rowOff>201199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25307D-A222-4FFC-8CE4-AE6B00B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2363" y="1019140"/>
          <a:ext cx="729895" cy="57270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29</xdr:row>
      <xdr:rowOff>38100</xdr:rowOff>
    </xdr:from>
    <xdr:to>
      <xdr:col>2</xdr:col>
      <xdr:colOff>904798</xdr:colOff>
      <xdr:row>31</xdr:row>
      <xdr:rowOff>69076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15B21-D49B-4B9D-BF24-E4F7CA7C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54400" y="6330950"/>
          <a:ext cx="619048" cy="462776"/>
        </a:xfrm>
        <a:prstGeom prst="rect">
          <a:avLst/>
        </a:prstGeom>
      </xdr:spPr>
    </xdr:pic>
    <xdr:clientData/>
  </xdr:twoCellAnchor>
  <xdr:twoCellAnchor editAs="oneCell">
    <xdr:from>
      <xdr:col>2</xdr:col>
      <xdr:colOff>239713</xdr:colOff>
      <xdr:row>33</xdr:row>
      <xdr:rowOff>84138</xdr:rowOff>
    </xdr:from>
    <xdr:to>
      <xdr:col>2</xdr:col>
      <xdr:colOff>1030189</xdr:colOff>
      <xdr:row>35</xdr:row>
      <xdr:rowOff>138909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3BFF44-9E5A-476E-9BFA-14266B52B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8363" y="7202488"/>
          <a:ext cx="790476" cy="473871"/>
        </a:xfrm>
        <a:prstGeom prst="rect">
          <a:avLst/>
        </a:prstGeom>
      </xdr:spPr>
    </xdr:pic>
    <xdr:clientData/>
  </xdr:twoCellAnchor>
  <xdr:twoCellAnchor editAs="oneCell">
    <xdr:from>
      <xdr:col>9</xdr:col>
      <xdr:colOff>164101</xdr:colOff>
      <xdr:row>5</xdr:row>
      <xdr:rowOff>35674</xdr:rowOff>
    </xdr:from>
    <xdr:to>
      <xdr:col>18</xdr:col>
      <xdr:colOff>4253</xdr:colOff>
      <xdr:row>25</xdr:row>
      <xdr:rowOff>92547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5A7F53-4E91-4AD3-AD71-0655EE679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1473451" y="969124"/>
          <a:ext cx="5326552" cy="4590773"/>
        </a:xfrm>
        <a:prstGeom prst="re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48993</xdr:colOff>
      <xdr:row>6</xdr:row>
      <xdr:rowOff>73131</xdr:rowOff>
    </xdr:from>
    <xdr:to>
      <xdr:col>8</xdr:col>
      <xdr:colOff>1264928</xdr:colOff>
      <xdr:row>7</xdr:row>
      <xdr:rowOff>209954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4D3AA2-66C3-49BE-A855-B35FD5091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2293" y="1241531"/>
          <a:ext cx="1215935" cy="359073"/>
        </a:xfrm>
        <a:prstGeom prst="rect">
          <a:avLst/>
        </a:prstGeom>
      </xdr:spPr>
    </xdr:pic>
    <xdr:clientData/>
  </xdr:twoCellAnchor>
  <xdr:twoCellAnchor editAs="oneCell">
    <xdr:from>
      <xdr:col>7</xdr:col>
      <xdr:colOff>52442</xdr:colOff>
      <xdr:row>6</xdr:row>
      <xdr:rowOff>72892</xdr:rowOff>
    </xdr:from>
    <xdr:to>
      <xdr:col>8</xdr:col>
      <xdr:colOff>0</xdr:colOff>
      <xdr:row>7</xdr:row>
      <xdr:rowOff>175944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9C199E-8A6F-41C5-958F-CF442DDE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9992" y="1241292"/>
          <a:ext cx="1503308" cy="32530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23813</xdr:rowOff>
    </xdr:from>
    <xdr:to>
      <xdr:col>4</xdr:col>
      <xdr:colOff>144884</xdr:colOff>
      <xdr:row>3</xdr:row>
      <xdr:rowOff>111125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37643E-CB23-4AA5-AA21-3E4219635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25" y="23813"/>
          <a:ext cx="6316468" cy="639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25</xdr:row>
      <xdr:rowOff>28575</xdr:rowOff>
    </xdr:from>
    <xdr:to>
      <xdr:col>2</xdr:col>
      <xdr:colOff>1066676</xdr:colOff>
      <xdr:row>27</xdr:row>
      <xdr:rowOff>140343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BA092-C85B-4A6B-9AD0-127CAD11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5410200"/>
          <a:ext cx="990600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183363</xdr:colOff>
      <xdr:row>5</xdr:row>
      <xdr:rowOff>85690</xdr:rowOff>
    </xdr:from>
    <xdr:to>
      <xdr:col>6</xdr:col>
      <xdr:colOff>913258</xdr:colOff>
      <xdr:row>7</xdr:row>
      <xdr:rowOff>201199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283F77-3E67-4C48-ABF9-08A930341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5" y="1000125"/>
          <a:ext cx="733425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29</xdr:row>
      <xdr:rowOff>38100</xdr:rowOff>
    </xdr:from>
    <xdr:to>
      <xdr:col>2</xdr:col>
      <xdr:colOff>904798</xdr:colOff>
      <xdr:row>31</xdr:row>
      <xdr:rowOff>69076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FDD797-FFE5-4679-A451-E575C25FD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4700" y="6219825"/>
          <a:ext cx="619125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239713</xdr:colOff>
      <xdr:row>33</xdr:row>
      <xdr:rowOff>84138</xdr:rowOff>
    </xdr:from>
    <xdr:to>
      <xdr:col>2</xdr:col>
      <xdr:colOff>1030189</xdr:colOff>
      <xdr:row>35</xdr:row>
      <xdr:rowOff>138909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1117F-030A-4066-A21F-F47FF1D22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7075" y="7067550"/>
          <a:ext cx="79057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164101</xdr:colOff>
      <xdr:row>5</xdr:row>
      <xdr:rowOff>35674</xdr:rowOff>
    </xdr:from>
    <xdr:to>
      <xdr:col>18</xdr:col>
      <xdr:colOff>4254</xdr:colOff>
      <xdr:row>25</xdr:row>
      <xdr:rowOff>92547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A5E785-37FF-4F27-A9FC-3B8E59CD8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0963275" y="952500"/>
          <a:ext cx="5324475" cy="4524375"/>
        </a:xfrm>
        <a:prstGeom prst="re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48993</xdr:colOff>
      <xdr:row>6</xdr:row>
      <xdr:rowOff>73131</xdr:rowOff>
    </xdr:from>
    <xdr:to>
      <xdr:col>8</xdr:col>
      <xdr:colOff>1264928</xdr:colOff>
      <xdr:row>7</xdr:row>
      <xdr:rowOff>209954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543508-EC56-4E9A-81F1-5922FA47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6425" y="1219200"/>
          <a:ext cx="1219200" cy="352425"/>
        </a:xfrm>
        <a:prstGeom prst="rect">
          <a:avLst/>
        </a:prstGeom>
      </xdr:spPr>
    </xdr:pic>
    <xdr:clientData/>
  </xdr:twoCellAnchor>
  <xdr:twoCellAnchor editAs="oneCell">
    <xdr:from>
      <xdr:col>7</xdr:col>
      <xdr:colOff>52442</xdr:colOff>
      <xdr:row>6</xdr:row>
      <xdr:rowOff>72892</xdr:rowOff>
    </xdr:from>
    <xdr:to>
      <xdr:col>8</xdr:col>
      <xdr:colOff>-1</xdr:colOff>
      <xdr:row>7</xdr:row>
      <xdr:rowOff>175944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B50BC0A-65F1-420D-89E8-0075AEBD7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20050" y="1219200"/>
          <a:ext cx="1428750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23813</xdr:rowOff>
    </xdr:from>
    <xdr:to>
      <xdr:col>4</xdr:col>
      <xdr:colOff>268093</xdr:colOff>
      <xdr:row>3</xdr:row>
      <xdr:rowOff>111125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306D95-B187-ED3A-7E02-803497FCE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25" y="28575"/>
          <a:ext cx="6038850" cy="628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24</xdr:row>
      <xdr:rowOff>28575</xdr:rowOff>
    </xdr:from>
    <xdr:to>
      <xdr:col>2</xdr:col>
      <xdr:colOff>1066676</xdr:colOff>
      <xdr:row>26</xdr:row>
      <xdr:rowOff>104568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DE5277-E578-45D7-B4A5-0C43D278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875" y="5886450"/>
          <a:ext cx="990600" cy="533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183363</xdr:colOff>
      <xdr:row>4</xdr:row>
      <xdr:rowOff>85690</xdr:rowOff>
    </xdr:from>
    <xdr:to>
      <xdr:col>7</xdr:col>
      <xdr:colOff>913258</xdr:colOff>
      <xdr:row>6</xdr:row>
      <xdr:rowOff>201199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4A2767-3D60-492B-8815-C3865E18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250" y="1438275"/>
          <a:ext cx="733425" cy="5619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28</xdr:row>
      <xdr:rowOff>38100</xdr:rowOff>
    </xdr:from>
    <xdr:to>
      <xdr:col>2</xdr:col>
      <xdr:colOff>904798</xdr:colOff>
      <xdr:row>30</xdr:row>
      <xdr:rowOff>33302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BFE117-FD82-4896-B5C7-6CE689084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0425" y="7010400"/>
          <a:ext cx="619125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239713</xdr:colOff>
      <xdr:row>32</xdr:row>
      <xdr:rowOff>84138</xdr:rowOff>
    </xdr:from>
    <xdr:to>
      <xdr:col>2</xdr:col>
      <xdr:colOff>1030189</xdr:colOff>
      <xdr:row>34</xdr:row>
      <xdr:rowOff>138909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73212B-D89A-4702-85F9-F7D2C944C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52800" y="7934325"/>
          <a:ext cx="790575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164101</xdr:colOff>
      <xdr:row>4</xdr:row>
      <xdr:rowOff>35674</xdr:rowOff>
    </xdr:from>
    <xdr:to>
      <xdr:col>19</xdr:col>
      <xdr:colOff>4253</xdr:colOff>
      <xdr:row>24</xdr:row>
      <xdr:rowOff>53294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FC7C8E-C725-47A2-8755-88BE2B5C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14144625" y="1390650"/>
          <a:ext cx="5324475" cy="4524375"/>
        </a:xfrm>
        <a:prstGeom prst="re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48993</xdr:colOff>
      <xdr:row>5</xdr:row>
      <xdr:rowOff>73131</xdr:rowOff>
    </xdr:from>
    <xdr:to>
      <xdr:col>9</xdr:col>
      <xdr:colOff>1264928</xdr:colOff>
      <xdr:row>6</xdr:row>
      <xdr:rowOff>209954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8BA5A7-B297-4EE0-8337-E4F5D184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87300" y="1657350"/>
          <a:ext cx="1219200" cy="352425"/>
        </a:xfrm>
        <a:prstGeom prst="rect">
          <a:avLst/>
        </a:prstGeom>
      </xdr:spPr>
    </xdr:pic>
    <xdr:clientData/>
  </xdr:twoCellAnchor>
  <xdr:twoCellAnchor editAs="oneCell">
    <xdr:from>
      <xdr:col>8</xdr:col>
      <xdr:colOff>52442</xdr:colOff>
      <xdr:row>5</xdr:row>
      <xdr:rowOff>72892</xdr:rowOff>
    </xdr:from>
    <xdr:to>
      <xdr:col>8</xdr:col>
      <xdr:colOff>1549559</xdr:colOff>
      <xdr:row>6</xdr:row>
      <xdr:rowOff>175944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47F97D-9615-4DC0-A445-D16ABD70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96575" y="1657350"/>
          <a:ext cx="1495425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67347</xdr:colOff>
      <xdr:row>3</xdr:row>
      <xdr:rowOff>86591</xdr:rowOff>
    </xdr:from>
    <xdr:to>
      <xdr:col>7</xdr:col>
      <xdr:colOff>147091</xdr:colOff>
      <xdr:row>11</xdr:row>
      <xdr:rowOff>106171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id="{C8A1CC3B-031D-41E9-A063-1ABC22E41102}"/>
            </a:ext>
          </a:extLst>
        </xdr:cNvPr>
        <xdr:cNvGrpSpPr>
          <a:grpSpLocks/>
        </xdr:cNvGrpSpPr>
      </xdr:nvGrpSpPr>
      <xdr:grpSpPr>
        <a:xfrm>
          <a:off x="1284430" y="818605"/>
          <a:ext cx="3122453" cy="1712913"/>
          <a:chOff x="717550" y="1926430"/>
          <a:chExt cx="2940048" cy="1712913"/>
        </a:xfrm>
      </xdr:grpSpPr>
      <xdr:cxnSp macro="">
        <xdr:nvCxnSpPr>
          <xdr:cNvPr id="3" name="AutoShape 314">
            <a:extLst>
              <a:ext uri="{FF2B5EF4-FFF2-40B4-BE49-F238E27FC236}">
                <a16:creationId xmlns:a16="http://schemas.microsoft.com/office/drawing/2014/main" id="{1792FA0B-BBF8-47A6-B3AB-45A8880D77AE}"/>
              </a:ext>
            </a:extLst>
          </xdr:cNvPr>
          <xdr:cNvCxnSpPr>
            <a:cxnSpLocks noChangeShapeType="1"/>
          </xdr:cNvCxnSpPr>
        </xdr:nvCxnSpPr>
        <xdr:spPr>
          <a:xfrm>
            <a:off x="1010233" y="3132159"/>
            <a:ext cx="507417" cy="337322"/>
          </a:xfrm>
          <a:prstGeom prst="straightConnector1">
            <a:avLst/>
          </a:prstGeom>
          <a:noFill/>
          <a:ln w="9525">
            <a:solidFill>
              <a:srgbClr val="333333"/>
            </a:solidFill>
            <a:round/>
            <a:tailEnd type="triangle" w="med" len="med"/>
          </a:ln>
        </xdr:spPr>
      </xdr:cxnSp>
      <xdr:cxnSp macro="">
        <xdr:nvCxnSpPr>
          <xdr:cNvPr id="4" name="AutoShape 316">
            <a:extLst>
              <a:ext uri="{FF2B5EF4-FFF2-40B4-BE49-F238E27FC236}">
                <a16:creationId xmlns:a16="http://schemas.microsoft.com/office/drawing/2014/main" id="{10CFB345-5ADE-458F-9852-9BF33559CCB1}"/>
              </a:ext>
            </a:extLst>
          </xdr:cNvPr>
          <xdr:cNvCxnSpPr>
            <a:cxnSpLocks noChangeShapeType="1"/>
          </xdr:cNvCxnSpPr>
        </xdr:nvCxnSpPr>
        <xdr:spPr>
          <a:xfrm flipV="1">
            <a:off x="1810332" y="3018631"/>
            <a:ext cx="215317" cy="329383"/>
          </a:xfrm>
          <a:prstGeom prst="straightConnector1">
            <a:avLst/>
          </a:prstGeom>
          <a:noFill/>
          <a:ln w="9525">
            <a:solidFill>
              <a:srgbClr val="333333"/>
            </a:solidFill>
            <a:round/>
            <a:tailEnd type="triangle" w="med" len="med"/>
          </a:ln>
        </xdr:spPr>
      </xdr:cxnSp>
      <xdr:sp macro="" textlink="">
        <xdr:nvSpPr>
          <xdr:cNvPr id="5" name="Text Box 318">
            <a:extLst>
              <a:ext uri="{FF2B5EF4-FFF2-40B4-BE49-F238E27FC236}">
                <a16:creationId xmlns:a16="http://schemas.microsoft.com/office/drawing/2014/main" id="{BD9D0BEC-A611-4C4F-B694-86553AF4FD79}"/>
              </a:ext>
            </a:extLst>
          </xdr:cNvPr>
          <xdr:cNvSpPr txBox="1">
            <a:spLocks noChangeArrowheads="1"/>
          </xdr:cNvSpPr>
        </xdr:nvSpPr>
        <xdr:spPr>
          <a:xfrm>
            <a:off x="1357336" y="2934084"/>
            <a:ext cx="457200" cy="228600"/>
          </a:xfrm>
          <a:prstGeom prst="rect">
            <a:avLst/>
          </a:prstGeom>
          <a:noFill/>
          <a:ln>
            <a:noFill/>
          </a:ln>
        </xdr:spPr>
        <xdr:txBody>
          <a:bodyPr wrap="square"/>
          <a:lstStyle/>
          <a:p>
            <a:pPr eaLnBrk="1" hangingPunct="1"/>
            <a:r>
              <a:rPr lang="en-US" altLang="zh-CN" sz="1100">
                <a:ea typeface="SimSun" pitchFamily="2" charset="-122"/>
              </a:rPr>
              <a:t>15</a:t>
            </a:r>
            <a:endParaRPr lang="en-US">
              <a:ea typeface="SimSun" pitchFamily="2" charset="-122"/>
            </a:endParaRPr>
          </a:p>
        </xdr:txBody>
      </xdr:sp>
      <xdr:sp macro="" textlink="">
        <xdr:nvSpPr>
          <xdr:cNvPr id="6" name="AutoShape 319">
            <a:extLst>
              <a:ext uri="{FF2B5EF4-FFF2-40B4-BE49-F238E27FC236}">
                <a16:creationId xmlns:a16="http://schemas.microsoft.com/office/drawing/2014/main" id="{731A7D51-11A3-422E-B065-865806AEE4CA}"/>
              </a:ext>
            </a:extLst>
          </xdr:cNvPr>
          <xdr:cNvSpPr>
            <a:spLocks noChangeArrowheads="1"/>
          </xdr:cNvSpPr>
        </xdr:nvSpPr>
        <xdr:spPr>
          <a:xfrm>
            <a:off x="3086100" y="1981200"/>
            <a:ext cx="342900" cy="341313"/>
          </a:xfrm>
          <a:prstGeom prst="flowChartConnector">
            <a:avLst/>
          </a:prstGeom>
          <a:solidFill>
            <a:srgbClr val="CCFFFF"/>
          </a:solidFill>
          <a:ln w="9525">
            <a:solidFill>
              <a:srgbClr val="000000"/>
            </a:solidFill>
            <a:round/>
          </a:ln>
        </xdr:spPr>
        <xdr:txBody>
          <a:bodyPr wrap="square"/>
          <a:lstStyle/>
          <a:p>
            <a:r>
              <a:rPr lang="en-US" altLang="zh-CN" sz="1200">
                <a:ea typeface="SimSun" pitchFamily="2" charset="-122"/>
              </a:rPr>
              <a:t>D</a:t>
            </a:r>
            <a:endParaRPr lang="en-US">
              <a:ea typeface="SimSun" pitchFamily="2" charset="-122"/>
            </a:endParaRPr>
          </a:p>
        </xdr:txBody>
      </xdr:sp>
      <xdr:sp macro="" textlink="">
        <xdr:nvSpPr>
          <xdr:cNvPr id="7" name="AutoShape 322">
            <a:extLst>
              <a:ext uri="{FF2B5EF4-FFF2-40B4-BE49-F238E27FC236}">
                <a16:creationId xmlns:a16="http://schemas.microsoft.com/office/drawing/2014/main" id="{41838632-F015-4722-BD96-13EE4B58F4A6}"/>
              </a:ext>
            </a:extLst>
          </xdr:cNvPr>
          <xdr:cNvSpPr>
            <a:spLocks noChangeArrowheads="1"/>
          </xdr:cNvSpPr>
        </xdr:nvSpPr>
        <xdr:spPr>
          <a:xfrm>
            <a:off x="3200400" y="2552700"/>
            <a:ext cx="342900" cy="341313"/>
          </a:xfrm>
          <a:prstGeom prst="flowChartConnector">
            <a:avLst/>
          </a:prstGeom>
          <a:solidFill>
            <a:srgbClr val="CCFFFF"/>
          </a:solidFill>
          <a:ln w="9525">
            <a:solidFill>
              <a:srgbClr val="000000"/>
            </a:solidFill>
            <a:round/>
          </a:ln>
        </xdr:spPr>
        <xdr:txBody>
          <a:bodyPr wrap="square"/>
          <a:lstStyle/>
          <a:p>
            <a:r>
              <a:rPr lang="en-US" altLang="zh-CN" sz="1200">
                <a:ea typeface="SimSun" pitchFamily="2" charset="-122"/>
              </a:rPr>
              <a:t>E</a:t>
            </a:r>
            <a:endParaRPr lang="en-US">
              <a:ea typeface="SimSun" pitchFamily="2" charset="-122"/>
            </a:endParaRPr>
          </a:p>
        </xdr:txBody>
      </xdr:sp>
      <xdr:cxnSp macro="">
        <xdr:nvCxnSpPr>
          <xdr:cNvPr id="8" name="AutoShape 323">
            <a:extLst>
              <a:ext uri="{FF2B5EF4-FFF2-40B4-BE49-F238E27FC236}">
                <a16:creationId xmlns:a16="http://schemas.microsoft.com/office/drawing/2014/main" id="{DC3685E5-2B51-4001-9B0A-F75FBCCDF8D0}"/>
              </a:ext>
            </a:extLst>
          </xdr:cNvPr>
          <xdr:cNvCxnSpPr>
            <a:cxnSpLocks noChangeShapeType="1"/>
          </xdr:cNvCxnSpPr>
        </xdr:nvCxnSpPr>
        <xdr:spPr>
          <a:xfrm>
            <a:off x="3257550" y="2322513"/>
            <a:ext cx="114300" cy="230187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tailEnd type="triangle" w="med" len="med"/>
          </a:ln>
        </xdr:spPr>
      </xdr:cxnSp>
      <xdr:grpSp>
        <xdr:nvGrpSpPr>
          <xdr:cNvPr id="9" name="Group 16">
            <a:extLst>
              <a:ext uri="{FF2B5EF4-FFF2-40B4-BE49-F238E27FC236}">
                <a16:creationId xmlns:a16="http://schemas.microsoft.com/office/drawing/2014/main" id="{6289CE81-039F-4030-9EC1-C1B29185A5DE}"/>
              </a:ext>
            </a:extLst>
          </xdr:cNvPr>
          <xdr:cNvGrpSpPr>
            <a:grpSpLocks/>
          </xdr:cNvGrpSpPr>
        </xdr:nvGrpSpPr>
        <xdr:grpSpPr>
          <a:xfrm>
            <a:off x="717550" y="1926430"/>
            <a:ext cx="2940048" cy="1712913"/>
            <a:chOff x="571500" y="2095500"/>
            <a:chExt cx="2940048" cy="1712913"/>
          </a:xfrm>
        </xdr:grpSpPr>
        <xdr:sp macro="" textlink="">
          <xdr:nvSpPr>
            <xdr:cNvPr id="10" name="AutoShape 309">
              <a:extLst>
                <a:ext uri="{FF2B5EF4-FFF2-40B4-BE49-F238E27FC236}">
                  <a16:creationId xmlns:a16="http://schemas.microsoft.com/office/drawing/2014/main" id="{08D12B4F-B5C2-43E1-B1AF-DA2B17C31667}"/>
                </a:ext>
              </a:extLst>
            </xdr:cNvPr>
            <xdr:cNvSpPr>
              <a:spLocks noChangeArrowheads="1"/>
            </xdr:cNvSpPr>
          </xdr:nvSpPr>
          <xdr:spPr>
            <a:xfrm>
              <a:off x="571500" y="30099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r>
                <a:rPr lang="en-US" altLang="zh-CN" sz="1200">
                  <a:ea typeface="SimSun" pitchFamily="2" charset="-122"/>
                </a:rPr>
                <a:t>O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11" name="AutoShape 310">
              <a:extLst>
                <a:ext uri="{FF2B5EF4-FFF2-40B4-BE49-F238E27FC236}">
                  <a16:creationId xmlns:a16="http://schemas.microsoft.com/office/drawing/2014/main" id="{CB32D98F-7944-42F6-9D51-9348ABB8A3D9}"/>
                </a:ext>
              </a:extLst>
            </xdr:cNvPr>
            <xdr:cNvSpPr>
              <a:spLocks noChangeArrowheads="1"/>
            </xdr:cNvSpPr>
          </xdr:nvSpPr>
          <xdr:spPr>
            <a:xfrm>
              <a:off x="1600200" y="20955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r>
                <a:rPr lang="en-US" altLang="zh-CN" sz="1200">
                  <a:ea typeface="SimSun" pitchFamily="2" charset="-122"/>
                </a:rPr>
                <a:t>A</a:t>
              </a:r>
              <a:endParaRPr lang="en-US">
                <a:ea typeface="SimSun" pitchFamily="2" charset="-122"/>
              </a:endParaRPr>
            </a:p>
          </xdr:txBody>
        </xdr:sp>
        <xdr:cxnSp macro="">
          <xdr:nvCxnSpPr>
            <xdr:cNvPr id="12" name="AutoShape 311">
              <a:extLst>
                <a:ext uri="{FF2B5EF4-FFF2-40B4-BE49-F238E27FC236}">
                  <a16:creationId xmlns:a16="http://schemas.microsoft.com/office/drawing/2014/main" id="{B4D7F551-92FE-40E7-92AB-A2ED78F0F914}"/>
                </a:ext>
              </a:extLst>
            </xdr:cNvPr>
            <xdr:cNvCxnSpPr>
              <a:cxnSpLocks noChangeShapeType="1"/>
            </xdr:cNvCxnSpPr>
          </xdr:nvCxnSpPr>
          <xdr:spPr>
            <a:xfrm flipV="1">
              <a:off x="864183" y="2386829"/>
              <a:ext cx="786234" cy="673055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tailEnd type="triangle" w="med" len="med"/>
            </a:ln>
          </xdr:spPr>
        </xdr:cxnSp>
        <xdr:sp macro="" textlink="">
          <xdr:nvSpPr>
            <xdr:cNvPr id="13" name="AutoShape 312">
              <a:extLst>
                <a:ext uri="{FF2B5EF4-FFF2-40B4-BE49-F238E27FC236}">
                  <a16:creationId xmlns:a16="http://schemas.microsoft.com/office/drawing/2014/main" id="{1DB7AF3F-CACC-4646-99CE-4AB15F276437}"/>
                </a:ext>
              </a:extLst>
            </xdr:cNvPr>
            <xdr:cNvSpPr>
              <a:spLocks noChangeArrowheads="1"/>
            </xdr:cNvSpPr>
          </xdr:nvSpPr>
          <xdr:spPr>
            <a:xfrm>
              <a:off x="1371600" y="34671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r>
                <a:rPr lang="en-US" altLang="zh-CN" sz="1200">
                  <a:ea typeface="SimSun" pitchFamily="2" charset="-122"/>
                </a:rPr>
                <a:t>C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14" name="AutoShape 313">
              <a:extLst>
                <a:ext uri="{FF2B5EF4-FFF2-40B4-BE49-F238E27FC236}">
                  <a16:creationId xmlns:a16="http://schemas.microsoft.com/office/drawing/2014/main" id="{B0E452C1-BCFD-427D-A76D-C02FB9F55C29}"/>
                </a:ext>
              </a:extLst>
            </xdr:cNvPr>
            <xdr:cNvSpPr>
              <a:spLocks noChangeArrowheads="1"/>
            </xdr:cNvSpPr>
          </xdr:nvSpPr>
          <xdr:spPr>
            <a:xfrm>
              <a:off x="1828800" y="2895600"/>
              <a:ext cx="342900" cy="341313"/>
            </a:xfrm>
            <a:prstGeom prst="flowChartConnector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  <xdr:txBody>
            <a:bodyPr wrap="square"/>
            <a:lstStyle/>
            <a:p>
              <a:r>
                <a:rPr lang="en-US" altLang="zh-CN" sz="1200">
                  <a:ea typeface="SimSun" pitchFamily="2" charset="-122"/>
                </a:rPr>
                <a:t>B</a:t>
              </a:r>
              <a:endParaRPr lang="en-US">
                <a:ea typeface="SimSun" pitchFamily="2" charset="-122"/>
              </a:endParaRPr>
            </a:p>
          </xdr:txBody>
        </xdr:sp>
        <xdr:cxnSp macro="">
          <xdr:nvCxnSpPr>
            <xdr:cNvPr id="15" name="AutoShape 315">
              <a:extLst>
                <a:ext uri="{FF2B5EF4-FFF2-40B4-BE49-F238E27FC236}">
                  <a16:creationId xmlns:a16="http://schemas.microsoft.com/office/drawing/2014/main" id="{0438FF07-1981-4D8C-9620-FC706C91D722}"/>
                </a:ext>
              </a:extLst>
            </xdr:cNvPr>
            <xdr:cNvCxnSpPr>
              <a:cxnSpLocks noChangeShapeType="1"/>
            </xdr:cNvCxnSpPr>
          </xdr:nvCxnSpPr>
          <xdr:spPr>
            <a:xfrm>
              <a:off x="1892300" y="2387600"/>
              <a:ext cx="107950" cy="50800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tailEnd type="triangle" w="med" len="med"/>
            </a:ln>
          </xdr:spPr>
        </xdr:cxnSp>
        <xdr:sp macro="" textlink="">
          <xdr:nvSpPr>
            <xdr:cNvPr id="16" name="Text Box 317">
              <a:extLst>
                <a:ext uri="{FF2B5EF4-FFF2-40B4-BE49-F238E27FC236}">
                  <a16:creationId xmlns:a16="http://schemas.microsoft.com/office/drawing/2014/main" id="{1F417E47-51D8-48BB-AD7F-BCE7C6F6740E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900113" y="2565400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25</a:t>
              </a:r>
              <a:endParaRPr lang="en-US">
                <a:ea typeface="SimSun" pitchFamily="2" charset="-122"/>
              </a:endParaRPr>
            </a:p>
          </xdr:txBody>
        </xdr:sp>
        <xdr:cxnSp macro="">
          <xdr:nvCxnSpPr>
            <xdr:cNvPr id="17" name="AutoShape 320">
              <a:extLst>
                <a:ext uri="{FF2B5EF4-FFF2-40B4-BE49-F238E27FC236}">
                  <a16:creationId xmlns:a16="http://schemas.microsoft.com/office/drawing/2014/main" id="{8465536A-5C01-49D0-B724-5BA94C3BF595}"/>
                </a:ext>
              </a:extLst>
            </xdr:cNvPr>
            <xdr:cNvCxnSpPr>
              <a:cxnSpLocks noChangeShapeType="1"/>
            </xdr:cNvCxnSpPr>
          </xdr:nvCxnSpPr>
          <xdr:spPr>
            <a:xfrm>
              <a:off x="1892883" y="2145484"/>
              <a:ext cx="1193216" cy="7166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tailEnd type="triangle" w="med" len="med"/>
            </a:ln>
          </xdr:spPr>
        </xdr:cxnSp>
        <xdr:cxnSp macro="">
          <xdr:nvCxnSpPr>
            <xdr:cNvPr id="18" name="AutoShape 321">
              <a:extLst>
                <a:ext uri="{FF2B5EF4-FFF2-40B4-BE49-F238E27FC236}">
                  <a16:creationId xmlns:a16="http://schemas.microsoft.com/office/drawing/2014/main" id="{E17A2E5D-684B-4E2F-9DC9-C16527B21FD4}"/>
                </a:ext>
              </a:extLst>
            </xdr:cNvPr>
            <xdr:cNvCxnSpPr>
              <a:cxnSpLocks noChangeShapeType="1"/>
            </xdr:cNvCxnSpPr>
          </xdr:nvCxnSpPr>
          <xdr:spPr>
            <a:xfrm flipV="1">
              <a:off x="2120900" y="2320927"/>
              <a:ext cx="819150" cy="623887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tailEnd type="triangle" w="med" len="med"/>
            </a:ln>
          </xdr:spPr>
        </xdr:cxnSp>
        <xdr:cxnSp macro="">
          <xdr:nvCxnSpPr>
            <xdr:cNvPr id="19" name="AutoShape 324">
              <a:extLst>
                <a:ext uri="{FF2B5EF4-FFF2-40B4-BE49-F238E27FC236}">
                  <a16:creationId xmlns:a16="http://schemas.microsoft.com/office/drawing/2014/main" id="{53ECA792-D0CD-4DBA-A037-AD0C0258BB73}"/>
                </a:ext>
              </a:extLst>
            </xdr:cNvPr>
            <xdr:cNvCxnSpPr>
              <a:cxnSpLocks noChangeShapeType="1"/>
            </xdr:cNvCxnSpPr>
          </xdr:nvCxnSpPr>
          <xdr:spPr>
            <a:xfrm>
              <a:off x="1943100" y="2266157"/>
              <a:ext cx="1257300" cy="457993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tailEnd type="triangle" w="med" len="med"/>
            </a:ln>
          </xdr:spPr>
        </xdr:cxnSp>
        <xdr:cxnSp macro="">
          <xdr:nvCxnSpPr>
            <xdr:cNvPr id="20" name="AutoShape 325">
              <a:extLst>
                <a:ext uri="{FF2B5EF4-FFF2-40B4-BE49-F238E27FC236}">
                  <a16:creationId xmlns:a16="http://schemas.microsoft.com/office/drawing/2014/main" id="{3B4FDF80-B385-4659-BDDF-84D98EACD00B}"/>
                </a:ext>
              </a:extLst>
            </xdr:cNvPr>
            <xdr:cNvCxnSpPr>
              <a:cxnSpLocks noChangeShapeType="1"/>
            </xdr:cNvCxnSpPr>
          </xdr:nvCxnSpPr>
          <xdr:spPr>
            <a:xfrm flipV="1">
              <a:off x="914400" y="3067050"/>
              <a:ext cx="914400" cy="113507"/>
            </a:xfrm>
            <a:prstGeom prst="straightConnector1">
              <a:avLst/>
            </a:prstGeom>
            <a:noFill/>
            <a:ln w="9525">
              <a:solidFill>
                <a:srgbClr val="333333"/>
              </a:solidFill>
              <a:round/>
              <a:tailEnd type="triangle" w="med" len="med"/>
            </a:ln>
          </xdr:spPr>
        </xdr:cxnSp>
        <xdr:sp macro="" textlink="">
          <xdr:nvSpPr>
            <xdr:cNvPr id="21" name="Text Box 326">
              <a:extLst>
                <a:ext uri="{FF2B5EF4-FFF2-40B4-BE49-F238E27FC236}">
                  <a16:creationId xmlns:a16="http://schemas.microsoft.com/office/drawing/2014/main" id="{B4497593-2A37-41BD-AE7B-50C426C07945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971550" y="3284538"/>
              <a:ext cx="4572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13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2" name="Text Box 327">
              <a:extLst>
                <a:ext uri="{FF2B5EF4-FFF2-40B4-BE49-F238E27FC236}">
                  <a16:creationId xmlns:a16="http://schemas.microsoft.com/office/drawing/2014/main" id="{208F5B6B-3DA7-4A5E-90F5-54739DE9E534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1763713" y="3357563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12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3" name="Text Box 328">
              <a:extLst>
                <a:ext uri="{FF2B5EF4-FFF2-40B4-BE49-F238E27FC236}">
                  <a16:creationId xmlns:a16="http://schemas.microsoft.com/office/drawing/2014/main" id="{35356AD5-AAC5-4FE1-9612-062F5965B2AE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2743200" y="2667000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31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4" name="Text Box 329">
              <a:extLst>
                <a:ext uri="{FF2B5EF4-FFF2-40B4-BE49-F238E27FC236}">
                  <a16:creationId xmlns:a16="http://schemas.microsoft.com/office/drawing/2014/main" id="{8C6CCF4D-9B85-499D-98EC-558B692BD27C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2171700" y="2781300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32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5" name="Text Box 330">
              <a:extLst>
                <a:ext uri="{FF2B5EF4-FFF2-40B4-BE49-F238E27FC236}">
                  <a16:creationId xmlns:a16="http://schemas.microsoft.com/office/drawing/2014/main" id="{01FF3647-39F6-4726-B984-17803DBC921B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2286000" y="2117108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30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6" name="Text Box 331">
              <a:extLst>
                <a:ext uri="{FF2B5EF4-FFF2-40B4-BE49-F238E27FC236}">
                  <a16:creationId xmlns:a16="http://schemas.microsoft.com/office/drawing/2014/main" id="{3C92EC06-656B-4256-8445-923A2CE06580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1676400" y="2514600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12</a:t>
              </a:r>
              <a:endParaRPr lang="en-US">
                <a:ea typeface="SimSun" pitchFamily="2" charset="-122"/>
              </a:endParaRPr>
            </a:p>
          </xdr:txBody>
        </xdr:sp>
        <xdr:sp macro="" textlink="">
          <xdr:nvSpPr>
            <xdr:cNvPr id="27" name="Text Box 339">
              <a:extLst>
                <a:ext uri="{FF2B5EF4-FFF2-40B4-BE49-F238E27FC236}">
                  <a16:creationId xmlns:a16="http://schemas.microsoft.com/office/drawing/2014/main" id="{13F70A34-2A87-4429-B7F3-5FE47BEF2790}"/>
                </a:ext>
              </a:extLst>
            </xdr:cNvPr>
            <xdr:cNvSpPr txBox="1">
              <a:spLocks noChangeArrowheads="1"/>
            </xdr:cNvSpPr>
          </xdr:nvSpPr>
          <xdr:spPr>
            <a:xfrm>
              <a:off x="3168648" y="2386808"/>
              <a:ext cx="34290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/>
            <a:lstStyle/>
            <a:p>
              <a:pPr eaLnBrk="1" hangingPunct="1"/>
              <a:r>
                <a:rPr lang="en-US" altLang="zh-CN" sz="1100">
                  <a:ea typeface="SimSun" pitchFamily="2" charset="-122"/>
                </a:rPr>
                <a:t>7</a:t>
              </a:r>
              <a:endParaRPr lang="en-US">
                <a:ea typeface="SimSun" pitchFamily="2" charset="-122"/>
              </a:endParaRPr>
            </a:p>
          </xdr:txBody>
        </xdr:sp>
      </xdr:grpSp>
    </xdr:grpSp>
    <xdr:clientData/>
  </xdr:twoCellAnchor>
  <xdr:twoCellAnchor editAs="oneCell">
    <xdr:from>
      <xdr:col>2</xdr:col>
      <xdr:colOff>321942</xdr:colOff>
      <xdr:row>3</xdr:row>
      <xdr:rowOff>182876</xdr:rowOff>
    </xdr:from>
    <xdr:to>
      <xdr:col>4</xdr:col>
      <xdr:colOff>285324</xdr:colOff>
      <xdr:row>10</xdr:row>
      <xdr:rowOff>127901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8" name="Ink 35">
              <a:extLst>
                <a:ext uri="{FF2B5EF4-FFF2-40B4-BE49-F238E27FC236}">
                  <a16:creationId xmlns:a16="http://schemas.microsoft.com/office/drawing/2014/main" id="{A6EB5E67-4883-42D1-803A-E23FC1E4BDEF}"/>
                </a:ext>
              </a:extLst>
            </xdr14:cNvPr>
            <xdr14:cNvContentPartPr/>
          </xdr14:nvContentPartPr>
          <xdr14:nvPr macro=""/>
          <xdr14:xfrm>
            <a:off x="1543050" y="904875"/>
            <a:ext cx="1181100" cy="14097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27" name="Ink 35">
              <a:extLst>
                <a:ext uri="{FF2B5EF4-FFF2-40B4-BE49-F238E27FC236}">
                  <a16:creationId xmlns:a16="http://schemas.microsoft.com/office/drawing/2014/main" id="{a6eb5e67-4883-42d1-803a-e23fc1e4bdef}"/>
                </a:ext>
              </a:extLst>
            </xdr:cNvPr>
            <xdr:cNvPicPr/>
          </xdr:nvPicPr>
          <xdr:blipFill>
            <a:blip r:embed="rId2"/>
            <a:stretch>
              <a:fillRect/>
            </a:stretch>
          </xdr:blipFill>
          <xdr:spPr>
            <xdr:xfrm>
              <a:off x="1543050" y="904875"/>
              <a:ext cx="1181100" cy="1409700"/>
            </xdr:xfrm>
            <a:prstGeom prst="rect"/>
          </xdr:spPr>
        </xdr:pic>
      </mc:Fallback>
    </mc:AlternateContent>
    <xdr:clientData/>
  </xdr:twoCellAnchor>
  <xdr:twoCellAnchor editAs="oneCell">
    <xdr:from>
      <xdr:col>4</xdr:col>
      <xdr:colOff>428964</xdr:colOff>
      <xdr:row>4</xdr:row>
      <xdr:rowOff>165868</xdr:rowOff>
    </xdr:from>
    <xdr:to>
      <xdr:col>6</xdr:col>
      <xdr:colOff>307026</xdr:colOff>
      <xdr:row>7</xdr:row>
      <xdr:rowOff>134285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9" name="Ink 36">
              <a:extLst>
                <a:ext uri="{FF2B5EF4-FFF2-40B4-BE49-F238E27FC236}">
                  <a16:creationId xmlns:a16="http://schemas.microsoft.com/office/drawing/2014/main" id="{F21D7342-D0BC-4358-AEB2-879413F533A1}"/>
                </a:ext>
              </a:extLst>
            </xdr14:cNvPr>
            <xdr14:cNvContentPartPr/>
          </xdr14:nvContentPartPr>
          <xdr14:nvPr macro=""/>
          <xdr14:xfrm>
            <a:off x="2867025" y="1095375"/>
            <a:ext cx="1095375" cy="6000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28" name="Ink 36">
              <a:extLst>
                <a:ext uri="{FF2B5EF4-FFF2-40B4-BE49-F238E27FC236}">
                  <a16:creationId xmlns:a16="http://schemas.microsoft.com/office/drawing/2014/main" id="{f21d7342-d0bc-4358-aeb2-879413f533a1}"/>
                </a:ext>
              </a:extLst>
            </xdr:cNvPr>
            <xdr:cNvPicPr/>
          </xdr:nvPicPr>
          <xdr:blipFill>
            <a:blip r:embed="rId4"/>
            <a:stretch>
              <a:fillRect/>
            </a:stretch>
          </xdr:blipFill>
          <xdr:spPr>
            <xdr:xfrm>
              <a:off x="2867025" y="1095375"/>
              <a:ext cx="1095375" cy="600075"/>
            </xdr:xfrm>
            <a:prstGeom prst="rect"/>
          </xdr:spPr>
        </xdr:pic>
      </mc:Fallback>
    </mc:AlternateContent>
    <xdr:clientData/>
  </xdr:twoCellAnchor>
  <xdr:twoCellAnchor editAs="oneCell">
    <xdr:from>
      <xdr:col>6</xdr:col>
      <xdr:colOff>357426</xdr:colOff>
      <xdr:row>4</xdr:row>
      <xdr:rowOff>160828</xdr:rowOff>
    </xdr:from>
    <xdr:to>
      <xdr:col>6</xdr:col>
      <xdr:colOff>422586</xdr:colOff>
      <xdr:row>7</xdr:row>
      <xdr:rowOff>146165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0" name="Ink 37">
              <a:extLst>
                <a:ext uri="{FF2B5EF4-FFF2-40B4-BE49-F238E27FC236}">
                  <a16:creationId xmlns:a16="http://schemas.microsoft.com/office/drawing/2014/main" id="{081D4E33-0593-4146-93FC-601A24D4B558}"/>
                </a:ext>
              </a:extLst>
            </xdr14:cNvPr>
            <xdr14:cNvContentPartPr/>
          </xdr14:nvContentPartPr>
          <xdr14:nvPr macro=""/>
          <xdr14:xfrm>
            <a:off x="4019550" y="1095375"/>
            <a:ext cx="66675" cy="6096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29" name="Ink 37">
              <a:extLst>
                <a:ext uri="{FF2B5EF4-FFF2-40B4-BE49-F238E27FC236}">
                  <a16:creationId xmlns:a16="http://schemas.microsoft.com/office/drawing/2014/main" id="{081d4e33-0593-4146-93fc-601a24d4b558}"/>
                </a:ext>
              </a:extLst>
            </xdr:cNvPr>
            <xdr:cNvPicPr/>
          </xdr:nvPicPr>
          <xdr:blipFill>
            <a:blip r:embed="rId6"/>
            <a:stretch>
              <a:fillRect/>
            </a:stretch>
          </xdr:blipFill>
          <xdr:spPr>
            <xdr:xfrm>
              <a:off x="4019550" y="1095375"/>
              <a:ext cx="66675" cy="609600"/>
            </xdr:xfrm>
            <a:prstGeom prst="rect"/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275166</xdr:colOff>
      <xdr:row>2</xdr:row>
      <xdr:rowOff>21167</xdr:rowOff>
    </xdr:from>
    <xdr:to>
      <xdr:col>7</xdr:col>
      <xdr:colOff>606368</xdr:colOff>
      <xdr:row>15</xdr:row>
      <xdr:rowOff>30565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3C541D26-2F92-4CF2-9CFF-6F7CEDFB510F}"/>
            </a:ext>
          </a:extLst>
        </xdr:cNvPr>
        <xdr:cNvGrpSpPr>
          <a:grpSpLocks/>
        </xdr:cNvGrpSpPr>
      </xdr:nvGrpSpPr>
      <xdr:grpSpPr>
        <a:xfrm>
          <a:off x="275166" y="544108"/>
          <a:ext cx="4580099" cy="2801531"/>
          <a:chOff x="632940" y="3080582"/>
          <a:chExt cx="4624860" cy="2898648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34D862D9-C199-47F5-880B-DC366C2F1C72}"/>
              </a:ext>
            </a:extLst>
          </xdr:cNvPr>
          <xdr:cNvGrpSpPr>
            <a:grpSpLocks/>
          </xdr:cNvGrpSpPr>
        </xdr:nvGrpSpPr>
        <xdr:grpSpPr>
          <a:xfrm>
            <a:off x="632940" y="3080582"/>
            <a:ext cx="4624860" cy="2898648"/>
            <a:chOff x="728220" y="2838739"/>
            <a:chExt cx="4455926" cy="2656805"/>
          </a:xfrm>
        </xdr:grpSpPr>
        <xdr:pic>
          <xdr:nvPicPr>
            <xdr:cNvPr id="4" name="Picture 8" descr="A diagram of a network&#10;&#10;AI-generated content may be incorrect.">
              <a:extLst>
                <a:ext uri="{FF2B5EF4-FFF2-40B4-BE49-F238E27FC236}">
                  <a16:creationId xmlns:a16="http://schemas.microsoft.com/office/drawing/2014/main" id="{59CC6B92-6B40-41F9-B386-F5826DAA11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rcRect t="6141"/>
            <a:stretch>
              <a:fillRect/>
            </a:stretch>
          </xdr:blipFill>
          <xdr:spPr>
            <a:xfrm>
              <a:off x="728220" y="2838739"/>
              <a:ext cx="4455926" cy="2656805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5" name="Text Box 24">
              <a:extLst>
                <a:ext uri="{FF2B5EF4-FFF2-40B4-BE49-F238E27FC236}">
                  <a16:creationId xmlns:a16="http://schemas.microsoft.com/office/drawing/2014/main" id="{8572AE73-3E8E-4C8E-8720-0703385B2CE5}"/>
                </a:ext>
              </a:extLst>
            </xdr:cNvPr>
            <xdr:cNvSpPr txBox="1"/>
          </xdr:nvSpPr>
          <xdr:spPr>
            <a:xfrm>
              <a:off x="926338" y="3987808"/>
              <a:ext cx="664718" cy="358665"/>
            </a:xfrm>
            <a:prstGeom prst="rect">
              <a:avLst/>
            </a:prstGeom>
            <a:solidFill>
              <a:schemeClr val="bg1"/>
            </a:solidFill>
            <a:ln w="6350">
              <a:noFill/>
            </a:ln>
            <a:effectLst/>
          </xdr:spPr>
          <xdr:txBody>
            <a:bodyPr vert="horz" wrap="square" lIns="91440" tIns="45720" rIns="91440" bIns="45720" numCol="1" spcCol="0" rtlCol="0" fromWordArt="0" anchor="t" anchorCtr="0">
              <a:prstTxWarp prst="textNoShape">
                <a:avLst/>
              </a:prstTxWarp>
              <a:noAutofit/>
            </a:bodyPr>
            <a:lstStyle/>
            <a:p>
              <a:pPr algn="r">
                <a:buNone/>
              </a:pPr>
              <a:r>
                <a:rPr lang="en-US" sz="1400">
                  <a:solidFill>
                    <a:srgbClr val="000000"/>
                  </a:solidFill>
                  <a:effectLst/>
                  <a:latin typeface="Arial" panose="020B0604020202020204" pitchFamily="34" charset="0"/>
                  <a:ea typeface="SimSun" panose="02010600030101010101" pitchFamily="2" charset="-122"/>
                </a:rPr>
                <a:t>DC</a:t>
              </a:r>
              <a:endParaRPr lang="en-SG" sz="14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SimSun" panose="02010600030101010101" pitchFamily="2" charset="-122"/>
              </a:endParaRPr>
            </a:p>
          </xdr:txBody>
        </xdr:sp>
      </xdr:grpSp>
      <xdr:cxnSp macro="">
        <xdr:nvCxnSpPr>
          <xdr:cNvPr id="6" name="Straight Arrow Connector 6">
            <a:extLst>
              <a:ext uri="{FF2B5EF4-FFF2-40B4-BE49-F238E27FC236}">
                <a16:creationId xmlns:a16="http://schemas.microsoft.com/office/drawing/2014/main" id="{04F9AC0E-24E7-4D03-9444-D2365030CBA5}"/>
              </a:ext>
            </a:extLst>
          </xdr:cNvPr>
          <xdr:cNvCxnSpPr/>
        </xdr:nvCxnSpPr>
        <xdr:spPr>
          <a:xfrm>
            <a:off x="3319272" y="4809744"/>
            <a:ext cx="731520" cy="649224"/>
          </a:xfrm>
          <a:prstGeom prst="straightConnector1">
            <a:avLst/>
          </a:prstGeom>
          <a:ln w="28575">
            <a:solidFill>
              <a:schemeClr val="accent4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TextBox 11">
            <a:extLst>
              <a:ext uri="{FF2B5EF4-FFF2-40B4-BE49-F238E27FC236}">
                <a16:creationId xmlns:a16="http://schemas.microsoft.com/office/drawing/2014/main" id="{C41079CD-75FF-426D-B8A0-FC8F8CABD06E}"/>
              </a:ext>
            </a:extLst>
          </xdr:cNvPr>
          <xdr:cNvSpPr txBox="1"/>
        </xdr:nvSpPr>
        <xdr:spPr>
          <a:xfrm>
            <a:off x="3631388" y="4810468"/>
            <a:ext cx="38343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66</a:t>
            </a:r>
            <a:endParaRPr lang="en-SG" sz="1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2</xdr:col>
      <xdr:colOff>256282</xdr:colOff>
      <xdr:row>4</xdr:row>
      <xdr:rowOff>138830</xdr:rowOff>
    </xdr:from>
    <xdr:to>
      <xdr:col>7</xdr:col>
      <xdr:colOff>162267</xdr:colOff>
      <xdr:row>14</xdr:row>
      <xdr:rowOff>66047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26">
              <a:extLst>
                <a:ext uri="{FF2B5EF4-FFF2-40B4-BE49-F238E27FC236}">
                  <a16:creationId xmlns:a16="http://schemas.microsoft.com/office/drawing/2014/main" id="{8EB16115-7610-4C8B-9BA5-87928F6A3F09}"/>
                </a:ext>
              </a:extLst>
            </xdr14:cNvPr>
            <xdr14:cNvContentPartPr/>
          </xdr14:nvContentPartPr>
          <xdr14:nvPr macro=""/>
          <xdr14:xfrm>
            <a:off x="1476375" y="1076325"/>
            <a:ext cx="2952750" cy="20193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7" name="Ink 26">
              <a:extLst>
                <a:ext uri="{FF2B5EF4-FFF2-40B4-BE49-F238E27FC236}">
                  <a16:creationId xmlns:a16="http://schemas.microsoft.com/office/drawing/2014/main" id="{8eb16115-7610-4c8b-9ba5-87928f6a3f09}"/>
                </a:ext>
              </a:extLst>
            </xdr:cNvPr>
            <xdr:cNvPicPr/>
          </xdr:nvPicPr>
          <xdr:blipFill>
            <a:blip r:embed="rId3"/>
            <a:stretch>
              <a:fillRect/>
            </a:stretch>
          </xdr:blipFill>
          <xdr:spPr>
            <xdr:xfrm>
              <a:off x="1476375" y="1076325"/>
              <a:ext cx="2952750" cy="2019300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514194</xdr:colOff>
      <xdr:row>2</xdr:row>
      <xdr:rowOff>207393</xdr:rowOff>
    </xdr:from>
    <xdr:to>
      <xdr:col>6</xdr:col>
      <xdr:colOff>43789</xdr:colOff>
      <xdr:row>4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27">
              <a:extLst>
                <a:ext uri="{FF2B5EF4-FFF2-40B4-BE49-F238E27FC236}">
                  <a16:creationId xmlns:a16="http://schemas.microsoft.com/office/drawing/2014/main" id="{7D5188CC-6910-4C18-B187-C0F812087D3B}"/>
                </a:ext>
              </a:extLst>
            </xdr14:cNvPr>
            <xdr14:cNvContentPartPr/>
          </xdr14:nvContentPartPr>
          <xdr14:nvPr macro=""/>
          <xdr14:xfrm>
            <a:off x="2343150" y="723900"/>
            <a:ext cx="1362075" cy="2095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8" name="Ink 27">
              <a:extLst>
                <a:ext uri="{FF2B5EF4-FFF2-40B4-BE49-F238E27FC236}">
                  <a16:creationId xmlns:a16="http://schemas.microsoft.com/office/drawing/2014/main" id="{7d5188cc-6910-4c18-b187-c0f812087d3b}"/>
                </a:ext>
              </a:extLst>
            </xdr:cNvPr>
            <xdr:cNvPicPr/>
          </xdr:nvPicPr>
          <xdr:blipFill>
            <a:blip r:embed="rId5"/>
            <a:stretch>
              <a:fillRect/>
            </a:stretch>
          </xdr:blipFill>
          <xdr:spPr>
            <xdr:xfrm>
              <a:off x="2343150" y="723900"/>
              <a:ext cx="1362075" cy="209550"/>
            </xdr:xfrm>
            <a:prstGeom prst="rect"/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32160</xdr:rowOff>
    </xdr:from>
    <xdr:to>
      <xdr:col>6</xdr:col>
      <xdr:colOff>184004</xdr:colOff>
      <xdr:row>14</xdr:row>
      <xdr:rowOff>114529</xdr:rowOff>
    </xdr:to>
    <xdr:pic>
      <xdr:nvPicPr>
        <xdr:cNvPr id="2" name="Picture 49">
          <a:extLst>
            <a:ext uri="{FF2B5EF4-FFF2-40B4-BE49-F238E27FC236}">
              <a16:creationId xmlns:a16="http://schemas.microsoft.com/office/drawing/2014/main" id="{DD0F3C8E-4975-47F8-80F9-146AEC947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4495800" cy="1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860760</xdr:colOff>
      <xdr:row>6</xdr:row>
      <xdr:rowOff>163544</xdr:rowOff>
    </xdr:from>
    <xdr:to>
      <xdr:col>1</xdr:col>
      <xdr:colOff>88356</xdr:colOff>
      <xdr:row>8</xdr:row>
      <xdr:rowOff>94810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1">
              <a:extLst>
                <a:ext uri="{FF2B5EF4-FFF2-40B4-BE49-F238E27FC236}">
                  <a16:creationId xmlns:a16="http://schemas.microsoft.com/office/drawing/2014/main" id="{B05E9DD9-DA96-46C0-9E27-22B30C06D79D}"/>
                </a:ext>
              </a:extLst>
            </xdr14:cNvPr>
            <xdr14:cNvContentPartPr/>
          </xdr14:nvContentPartPr>
          <xdr14:nvPr macro=""/>
          <xdr14:xfrm>
            <a:off x="857250" y="1295400"/>
            <a:ext cx="133350" cy="2952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05e9dd9-da96-46c0-9e27-22b30c06d79d}"/>
                </a:ext>
              </a:extLst>
            </xdr:cNvPr>
            <xdr:cNvPicPr/>
          </xdr:nvPicPr>
          <xdr:blipFill>
            <a:blip r:embed="rId3"/>
            <a:stretch>
              <a:fillRect/>
            </a:stretch>
          </xdr:blipFill>
          <xdr:spPr>
            <xdr:xfrm>
              <a:off x="857250" y="1295400"/>
              <a:ext cx="133350" cy="295275"/>
            </xdr:xfrm>
            <a:prstGeom prst="rect"/>
          </xdr:spPr>
        </xdr:pic>
      </mc:Fallback>
    </mc:AlternateContent>
    <xdr:clientData/>
  </xdr:twoCellAnchor>
  <xdr:twoCellAnchor editAs="oneCell">
    <xdr:from>
      <xdr:col>0</xdr:col>
      <xdr:colOff>779400</xdr:colOff>
      <xdr:row>5</xdr:row>
      <xdr:rowOff>81630</xdr:rowOff>
    </xdr:from>
    <xdr:to>
      <xdr:col>1</xdr:col>
      <xdr:colOff>26796</xdr:colOff>
      <xdr:row>6</xdr:row>
      <xdr:rowOff>56984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5">
              <a:extLst>
                <a:ext uri="{FF2B5EF4-FFF2-40B4-BE49-F238E27FC236}">
                  <a16:creationId xmlns:a16="http://schemas.microsoft.com/office/drawing/2014/main" id="{353A0DAF-8630-48A1-985F-D8EFD23D1709}"/>
                </a:ext>
              </a:extLst>
            </xdr14:cNvPr>
            <xdr14:cNvContentPartPr/>
          </xdr14:nvContentPartPr>
          <xdr14:nvPr macro=""/>
          <xdr14:xfrm>
            <a:off x="781050" y="1038225"/>
            <a:ext cx="152400" cy="1524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3" name="Ink 5">
              <a:extLst>
                <a:ext uri="{FF2B5EF4-FFF2-40B4-BE49-F238E27FC236}">
                  <a16:creationId xmlns:a16="http://schemas.microsoft.com/office/drawing/2014/main" id="{353a0daf-8630-48a1-985f-d8efd23d1709}"/>
                </a:ext>
              </a:extLst>
            </xdr:cNvPr>
            <xdr:cNvPicPr/>
          </xdr:nvPicPr>
          <xdr:blipFill>
            <a:blip r:embed="rId5"/>
            <a:stretch>
              <a:fillRect/>
            </a:stretch>
          </xdr:blipFill>
          <xdr:spPr>
            <xdr:xfrm>
              <a:off x="781050" y="1038225"/>
              <a:ext cx="152400" cy="152400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250333</xdr:colOff>
      <xdr:row>4</xdr:row>
      <xdr:rowOff>75317</xdr:rowOff>
    </xdr:from>
    <xdr:to>
      <xdr:col>3</xdr:col>
      <xdr:colOff>364813</xdr:colOff>
      <xdr:row>5</xdr:row>
      <xdr:rowOff>31950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6">
              <a:extLst>
                <a:ext uri="{FF2B5EF4-FFF2-40B4-BE49-F238E27FC236}">
                  <a16:creationId xmlns:a16="http://schemas.microsoft.com/office/drawing/2014/main" id="{1EBA8104-3A11-4E82-8F3B-5DCA1E6B833B}"/>
                </a:ext>
              </a:extLst>
            </xdr14:cNvPr>
            <xdr14:cNvContentPartPr/>
          </xdr14:nvContentPartPr>
          <xdr14:nvPr macro=""/>
          <xdr14:xfrm>
            <a:off x="2371725" y="847725"/>
            <a:ext cx="114300" cy="1333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4" name="Ink 6">
              <a:extLst>
                <a:ext uri="{FF2B5EF4-FFF2-40B4-BE49-F238E27FC236}">
                  <a16:creationId xmlns:a16="http://schemas.microsoft.com/office/drawing/2014/main" id="{1eba8104-3a11-4e82-8f3b-5dca1e6b833b}"/>
                </a:ext>
              </a:extLst>
            </xdr:cNvPr>
            <xdr:cNvPicPr/>
          </xdr:nvPicPr>
          <xdr:blipFill>
            <a:blip r:embed="rId7"/>
            <a:stretch>
              <a:fillRect/>
            </a:stretch>
          </xdr:blipFill>
          <xdr:spPr>
            <xdr:xfrm>
              <a:off x="2371725" y="847725"/>
              <a:ext cx="114300" cy="133350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528613</xdr:colOff>
      <xdr:row>3</xdr:row>
      <xdr:rowOff>173404</xdr:rowOff>
    </xdr:from>
    <xdr:to>
      <xdr:col>4</xdr:col>
      <xdr:colOff>50522</xdr:colOff>
      <xdr:row>4</xdr:row>
      <xdr:rowOff>90077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7">
              <a:extLst>
                <a:ext uri="{FF2B5EF4-FFF2-40B4-BE49-F238E27FC236}">
                  <a16:creationId xmlns:a16="http://schemas.microsoft.com/office/drawing/2014/main" id="{944D5F4A-90FC-4C04-975B-13A9ADEE542C}"/>
                </a:ext>
              </a:extLst>
            </xdr14:cNvPr>
            <xdr14:cNvContentPartPr/>
          </xdr14:nvContentPartPr>
          <xdr14:nvPr macro=""/>
          <xdr14:xfrm>
            <a:off x="2647950" y="762000"/>
            <a:ext cx="133350" cy="952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5" name="Ink 7">
              <a:extLst>
                <a:ext uri="{FF2B5EF4-FFF2-40B4-BE49-F238E27FC236}">
                  <a16:creationId xmlns:a16="http://schemas.microsoft.com/office/drawing/2014/main" id="{944d5f4a-90fc-4c04-975b-13a9adee542c}"/>
                </a:ext>
              </a:extLst>
            </xdr:cNvPr>
            <xdr:cNvPicPr/>
          </xdr:nvPicPr>
          <xdr:blipFill>
            <a:blip r:embed="rId9"/>
            <a:stretch>
              <a:fillRect/>
            </a:stretch>
          </xdr:blipFill>
          <xdr:spPr>
            <xdr:xfrm>
              <a:off x="2647950" y="762000"/>
              <a:ext cx="133350" cy="95250"/>
            </xdr:xfrm>
            <a:prstGeom prst="rect"/>
          </xdr:spPr>
        </xdr:pic>
      </mc:Fallback>
    </mc:AlternateContent>
    <xdr:clientData/>
  </xdr:twoCellAnchor>
  <xdr:twoCellAnchor editAs="oneCell">
    <xdr:from>
      <xdr:col>5</xdr:col>
      <xdr:colOff>611030</xdr:colOff>
      <xdr:row>5</xdr:row>
      <xdr:rowOff>43881</xdr:rowOff>
    </xdr:from>
    <xdr:to>
      <xdr:col>5</xdr:col>
      <xdr:colOff>818390</xdr:colOff>
      <xdr:row>6</xdr:row>
      <xdr:rowOff>21035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Ink 12">
              <a:extLst>
                <a:ext uri="{FF2B5EF4-FFF2-40B4-BE49-F238E27FC236}">
                  <a16:creationId xmlns:a16="http://schemas.microsoft.com/office/drawing/2014/main" id="{D1403B25-E4AF-48D9-980A-EB71B64EA7E2}"/>
                </a:ext>
              </a:extLst>
            </xdr14:cNvPr>
            <xdr14:cNvContentPartPr/>
          </xdr14:nvContentPartPr>
          <xdr14:nvPr macro=""/>
          <xdr14:xfrm>
            <a:off x="3952875" y="1000125"/>
            <a:ext cx="209550" cy="16192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6" name="Ink 12">
              <a:extLst>
                <a:ext uri="{FF2B5EF4-FFF2-40B4-BE49-F238E27FC236}">
                  <a16:creationId xmlns:a16="http://schemas.microsoft.com/office/drawing/2014/main" id="{d1403b25-e4af-48d9-980a-eb71b64ea7e2}"/>
                </a:ext>
              </a:extLst>
            </xdr:cNvPr>
            <xdr:cNvPicPr/>
          </xdr:nvPicPr>
          <xdr:blipFill>
            <a:blip r:embed="rId11"/>
            <a:stretch>
              <a:fillRect/>
            </a:stretch>
          </xdr:blipFill>
          <xdr:spPr>
            <xdr:xfrm>
              <a:off x="3952875" y="1000125"/>
              <a:ext cx="209550" cy="161925"/>
            </xdr:xfrm>
            <a:prstGeom prst="rect"/>
          </xdr:spPr>
        </xdr:pic>
      </mc:Fallback>
    </mc:AlternateContent>
    <xdr:clientData/>
  </xdr:twoCellAnchor>
  <xdr:twoCellAnchor editAs="oneCell">
    <xdr:from>
      <xdr:col>5</xdr:col>
      <xdr:colOff>233390</xdr:colOff>
      <xdr:row>6</xdr:row>
      <xdr:rowOff>16304</xdr:rowOff>
    </xdr:from>
    <xdr:to>
      <xdr:col>5</xdr:col>
      <xdr:colOff>396470</xdr:colOff>
      <xdr:row>6</xdr:row>
      <xdr:rowOff>153464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Ink 13">
              <a:extLst>
                <a:ext uri="{FF2B5EF4-FFF2-40B4-BE49-F238E27FC236}">
                  <a16:creationId xmlns:a16="http://schemas.microsoft.com/office/drawing/2014/main" id="{E95A8D76-C6C6-44ED-9DB4-7CC6C207201C}"/>
                </a:ext>
              </a:extLst>
            </xdr14:cNvPr>
            <xdr14:cNvContentPartPr/>
          </xdr14:nvContentPartPr>
          <xdr14:nvPr macro=""/>
          <xdr14:xfrm>
            <a:off x="3581400" y="1152525"/>
            <a:ext cx="161925" cy="1333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7" name="Ink 13">
              <a:extLst>
                <a:ext uri="{FF2B5EF4-FFF2-40B4-BE49-F238E27FC236}">
                  <a16:creationId xmlns:a16="http://schemas.microsoft.com/office/drawing/2014/main" id="{e95a8d76-c6c6-44ed-9db4-7cc6c207201c}"/>
                </a:ext>
              </a:extLst>
            </xdr:cNvPr>
            <xdr:cNvPicPr/>
          </xdr:nvPicPr>
          <xdr:blipFill>
            <a:blip r:embed="rId13"/>
            <a:stretch>
              <a:fillRect/>
            </a:stretch>
          </xdr:blipFill>
          <xdr:spPr>
            <xdr:xfrm>
              <a:off x="3581400" y="1152525"/>
              <a:ext cx="161925" cy="133350"/>
            </xdr:xfrm>
            <a:prstGeom prst="rect"/>
          </xdr:spPr>
        </xdr:pic>
      </mc:Fallback>
    </mc:AlternateContent>
    <xdr:clientData/>
  </xdr:twoCellAnchor>
  <xdr:twoCellAnchor editAs="oneCell">
    <xdr:from>
      <xdr:col>2</xdr:col>
      <xdr:colOff>276265</xdr:colOff>
      <xdr:row>7</xdr:row>
      <xdr:rowOff>67760</xdr:rowOff>
    </xdr:from>
    <xdr:to>
      <xdr:col>2</xdr:col>
      <xdr:colOff>605305</xdr:colOff>
      <xdr:row>9</xdr:row>
      <xdr:rowOff>73547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19">
              <a:extLst>
                <a:ext uri="{FF2B5EF4-FFF2-40B4-BE49-F238E27FC236}">
                  <a16:creationId xmlns:a16="http://schemas.microsoft.com/office/drawing/2014/main" id="{7DE573D4-C8CC-4D47-AB2B-6CB1A9E623CD}"/>
                </a:ext>
              </a:extLst>
            </xdr14:cNvPr>
            <xdr14:cNvContentPartPr/>
          </xdr14:nvContentPartPr>
          <xdr14:nvPr macro=""/>
          <xdr14:xfrm>
            <a:off x="1790700" y="1381125"/>
            <a:ext cx="333375" cy="3714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8" name="Ink 19">
              <a:extLst>
                <a:ext uri="{FF2B5EF4-FFF2-40B4-BE49-F238E27FC236}">
                  <a16:creationId xmlns:a16="http://schemas.microsoft.com/office/drawing/2014/main" id="{7de573d4-c8cc-4d47-ab2b-6cb1a9e623cd}"/>
                </a:ext>
              </a:extLst>
            </xdr:cNvPr>
            <xdr:cNvPicPr/>
          </xdr:nvPicPr>
          <xdr:blipFill>
            <a:blip r:embed="rId15"/>
            <a:stretch>
              <a:fillRect/>
            </a:stretch>
          </xdr:blipFill>
          <xdr:spPr>
            <xdr:xfrm>
              <a:off x="1790700" y="1381125"/>
              <a:ext cx="333375" cy="371475"/>
            </xdr:xfrm>
            <a:prstGeom prst="rect"/>
          </xdr:spPr>
        </xdr:pic>
      </mc:Fallback>
    </mc:AlternateContent>
    <xdr:clientData/>
  </xdr:twoCellAnchor>
  <xdr:twoCellAnchor editAs="oneCell">
    <xdr:from>
      <xdr:col>0</xdr:col>
      <xdr:colOff>789480</xdr:colOff>
      <xdr:row>4</xdr:row>
      <xdr:rowOff>37660</xdr:rowOff>
    </xdr:from>
    <xdr:to>
      <xdr:col>1</xdr:col>
      <xdr:colOff>257916</xdr:colOff>
      <xdr:row>6</xdr:row>
      <xdr:rowOff>15367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20">
              <a:extLst>
                <a:ext uri="{FF2B5EF4-FFF2-40B4-BE49-F238E27FC236}">
                  <a16:creationId xmlns:a16="http://schemas.microsoft.com/office/drawing/2014/main" id="{35B1FF79-6F72-46FD-9844-7D85A7D961BA}"/>
                </a:ext>
              </a:extLst>
            </xdr14:cNvPr>
            <xdr14:cNvContentPartPr/>
          </xdr14:nvContentPartPr>
          <xdr14:nvPr macro=""/>
          <xdr14:xfrm>
            <a:off x="790575" y="809625"/>
            <a:ext cx="371475" cy="3429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9" name="Ink 20">
              <a:extLst>
                <a:ext uri="{FF2B5EF4-FFF2-40B4-BE49-F238E27FC236}">
                  <a16:creationId xmlns:a16="http://schemas.microsoft.com/office/drawing/2014/main" id="{35b1ff79-6f72-46fd-9844-7d85a7d961ba}"/>
                </a:ext>
              </a:extLst>
            </xdr:cNvPr>
            <xdr:cNvPicPr/>
          </xdr:nvPicPr>
          <xdr:blipFill>
            <a:blip r:embed="rId17"/>
            <a:stretch>
              <a:fillRect/>
            </a:stretch>
          </xdr:blipFill>
          <xdr:spPr>
            <xdr:xfrm>
              <a:off x="790575" y="809625"/>
              <a:ext cx="371475" cy="342900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280573</xdr:colOff>
      <xdr:row>9</xdr:row>
      <xdr:rowOff>81467</xdr:rowOff>
    </xdr:from>
    <xdr:to>
      <xdr:col>4</xdr:col>
      <xdr:colOff>34682</xdr:colOff>
      <xdr:row>10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" name="Ink 24">
              <a:extLst>
                <a:ext uri="{FF2B5EF4-FFF2-40B4-BE49-F238E27FC236}">
                  <a16:creationId xmlns:a16="http://schemas.microsoft.com/office/drawing/2014/main" id="{69AB450E-0D69-4EB3-AC18-958F62730B36}"/>
                </a:ext>
              </a:extLst>
            </xdr14:cNvPr>
            <xdr14:cNvContentPartPr/>
          </xdr14:nvContentPartPr>
          <xdr14:nvPr macro=""/>
          <xdr14:xfrm>
            <a:off x="2400300" y="1762125"/>
            <a:ext cx="361950" cy="2667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0" name="Ink 24">
              <a:extLst>
                <a:ext uri="{FF2B5EF4-FFF2-40B4-BE49-F238E27FC236}">
                  <a16:creationId xmlns:a16="http://schemas.microsoft.com/office/drawing/2014/main" id="{69ab450e-0d69-4eb3-ac18-958f62730b36}"/>
                </a:ext>
              </a:extLst>
            </xdr:cNvPr>
            <xdr:cNvPicPr/>
          </xdr:nvPicPr>
          <xdr:blipFill>
            <a:blip r:embed="rId19"/>
            <a:stretch>
              <a:fillRect/>
            </a:stretch>
          </xdr:blipFill>
          <xdr:spPr>
            <xdr:xfrm>
              <a:off x="2400300" y="1762125"/>
              <a:ext cx="361950" cy="266700"/>
            </xdr:xfrm>
            <a:prstGeom prst="rect"/>
          </xdr:spPr>
        </xdr:pic>
      </mc:Fallback>
    </mc:AlternateContent>
    <xdr:clientData/>
  </xdr:twoCellAnchor>
  <xdr:twoCellAnchor editAs="oneCell">
    <xdr:from>
      <xdr:col>5</xdr:col>
      <xdr:colOff>583670</xdr:colOff>
      <xdr:row>5</xdr:row>
      <xdr:rowOff>10492</xdr:rowOff>
    </xdr:from>
    <xdr:to>
      <xdr:col>6</xdr:col>
      <xdr:colOff>51156</xdr:colOff>
      <xdr:row>6</xdr:row>
      <xdr:rowOff>57846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" name="Ink 27">
              <a:extLst>
                <a:ext uri="{FF2B5EF4-FFF2-40B4-BE49-F238E27FC236}">
                  <a16:creationId xmlns:a16="http://schemas.microsoft.com/office/drawing/2014/main" id="{C5BB9A0F-1666-40F8-9FC9-28234C2731AF}"/>
                </a:ext>
              </a:extLst>
            </xdr14:cNvPr>
            <xdr14:cNvContentPartPr/>
          </xdr14:nvContentPartPr>
          <xdr14:nvPr macro=""/>
          <xdr14:xfrm>
            <a:off x="3924300" y="962025"/>
            <a:ext cx="438150" cy="2286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1" name="Ink 27">
              <a:extLst>
                <a:ext uri="{FF2B5EF4-FFF2-40B4-BE49-F238E27FC236}">
                  <a16:creationId xmlns:a16="http://schemas.microsoft.com/office/drawing/2014/main" id="{c5bb9a0f-1666-40f8-9fc9-28234c2731af}"/>
                </a:ext>
              </a:extLst>
            </xdr:cNvPr>
            <xdr:cNvPicPr/>
          </xdr:nvPicPr>
          <xdr:blipFill>
            <a:blip r:embed="rId21"/>
            <a:stretch>
              <a:fillRect/>
            </a:stretch>
          </xdr:blipFill>
          <xdr:spPr>
            <xdr:xfrm>
              <a:off x="3924300" y="962025"/>
              <a:ext cx="438150" cy="228600"/>
            </xdr:xfrm>
            <a:prstGeom prst="rect"/>
          </xdr:spPr>
        </xdr:pic>
      </mc:Fallback>
    </mc:AlternateContent>
    <xdr:clientData/>
  </xdr:twoCellAnchor>
  <xdr:twoCellAnchor editAs="oneCell">
    <xdr:from>
      <xdr:col>1</xdr:col>
      <xdr:colOff>132636</xdr:colOff>
      <xdr:row>3</xdr:row>
      <xdr:rowOff>163106</xdr:rowOff>
    </xdr:from>
    <xdr:to>
      <xdr:col>1</xdr:col>
      <xdr:colOff>522156</xdr:colOff>
      <xdr:row>5</xdr:row>
      <xdr:rowOff>27412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" name="Ink 30">
              <a:extLst>
                <a:ext uri="{FF2B5EF4-FFF2-40B4-BE49-F238E27FC236}">
                  <a16:creationId xmlns:a16="http://schemas.microsoft.com/office/drawing/2014/main" id="{8569E8F8-AE8B-4188-AA86-AF46C1D1B398}"/>
                </a:ext>
              </a:extLst>
            </xdr14:cNvPr>
            <xdr14:cNvContentPartPr/>
          </xdr14:nvContentPartPr>
          <xdr14:nvPr macro=""/>
          <xdr14:xfrm>
            <a:off x="1038225" y="752475"/>
            <a:ext cx="390525" cy="2286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2" name="Ink 30">
              <a:extLst>
                <a:ext uri="{FF2B5EF4-FFF2-40B4-BE49-F238E27FC236}">
                  <a16:creationId xmlns:a16="http://schemas.microsoft.com/office/drawing/2014/main" id="{8569e8f8-ae8b-4188-aa86-af46c1d1b398}"/>
                </a:ext>
              </a:extLst>
            </xdr:cNvPr>
            <xdr:cNvPicPr/>
          </xdr:nvPicPr>
          <xdr:blipFill>
            <a:blip r:embed="rId23"/>
            <a:stretch>
              <a:fillRect/>
            </a:stretch>
          </xdr:blipFill>
          <xdr:spPr>
            <xdr:xfrm>
              <a:off x="1038225" y="752475"/>
              <a:ext cx="390525" cy="228600"/>
            </xdr:xfrm>
            <a:prstGeom prst="rect"/>
          </xdr:spPr>
        </xdr:pic>
      </mc:Fallback>
    </mc:AlternateContent>
    <xdr:clientData/>
  </xdr:twoCellAnchor>
  <xdr:twoCellAnchor editAs="oneCell">
    <xdr:from>
      <xdr:col>2</xdr:col>
      <xdr:colOff>350065</xdr:colOff>
      <xdr:row>6</xdr:row>
      <xdr:rowOff>175926</xdr:rowOff>
    </xdr:from>
    <xdr:to>
      <xdr:col>3</xdr:col>
      <xdr:colOff>254653</xdr:colOff>
      <xdr:row>8</xdr:row>
      <xdr:rowOff>71192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4" name="Ink 35">
              <a:extLst>
                <a:ext uri="{FF2B5EF4-FFF2-40B4-BE49-F238E27FC236}">
                  <a16:creationId xmlns:a16="http://schemas.microsoft.com/office/drawing/2014/main" id="{0747BA0D-7481-4B5A-B306-98B31C374730}"/>
                </a:ext>
              </a:extLst>
            </xdr14:cNvPr>
            <xdr14:cNvContentPartPr/>
          </xdr14:nvContentPartPr>
          <xdr14:nvPr macro=""/>
          <xdr14:xfrm>
            <a:off x="1866900" y="1304925"/>
            <a:ext cx="514350" cy="2571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3" name="Ink 35">
              <a:extLst>
                <a:ext uri="{FF2B5EF4-FFF2-40B4-BE49-F238E27FC236}">
                  <a16:creationId xmlns:a16="http://schemas.microsoft.com/office/drawing/2014/main" id="{0747ba0d-7481-4b5a-b306-98b31c374730}"/>
                </a:ext>
              </a:extLst>
            </xdr:cNvPr>
            <xdr:cNvPicPr/>
          </xdr:nvPicPr>
          <xdr:blipFill>
            <a:blip r:embed="rId25"/>
            <a:stretch>
              <a:fillRect/>
            </a:stretch>
          </xdr:blipFill>
          <xdr:spPr>
            <xdr:xfrm>
              <a:off x="1866900" y="1304925"/>
              <a:ext cx="514350" cy="257175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239533</xdr:colOff>
      <xdr:row>12</xdr:row>
      <xdr:rowOff>94065</xdr:rowOff>
    </xdr:from>
    <xdr:to>
      <xdr:col>3</xdr:col>
      <xdr:colOff>383893</xdr:colOff>
      <xdr:row>13</xdr:row>
      <xdr:rowOff>70499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36">
              <a:extLst>
                <a:ext uri="{FF2B5EF4-FFF2-40B4-BE49-F238E27FC236}">
                  <a16:creationId xmlns:a16="http://schemas.microsoft.com/office/drawing/2014/main" id="{82E22B53-FE31-44D3-A6F7-2DE90164B059}"/>
                </a:ext>
              </a:extLst>
            </xdr14:cNvPr>
            <xdr14:cNvContentPartPr/>
          </xdr14:nvContentPartPr>
          <xdr14:nvPr macro=""/>
          <xdr14:xfrm>
            <a:off x="2362200" y="2314575"/>
            <a:ext cx="142875" cy="16192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4" name="Ink 36">
              <a:extLst>
                <a:ext uri="{FF2B5EF4-FFF2-40B4-BE49-F238E27FC236}">
                  <a16:creationId xmlns:a16="http://schemas.microsoft.com/office/drawing/2014/main" id="{82e22b53-fe31-44d3-a6f7-2de90164b059}"/>
                </a:ext>
              </a:extLst>
            </xdr:cNvPr>
            <xdr:cNvPicPr/>
          </xdr:nvPicPr>
          <xdr:blipFill>
            <a:blip r:embed="rId27"/>
            <a:stretch>
              <a:fillRect/>
            </a:stretch>
          </xdr:blipFill>
          <xdr:spPr>
            <xdr:xfrm>
              <a:off x="2362200" y="2314575"/>
              <a:ext cx="142875" cy="161925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169693</xdr:colOff>
      <xdr:row>14</xdr:row>
      <xdr:rowOff>33252</xdr:rowOff>
    </xdr:from>
    <xdr:to>
      <xdr:col>3</xdr:col>
      <xdr:colOff>359773</xdr:colOff>
      <xdr:row>15</xdr:row>
      <xdr:rowOff>25885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" name="Ink 40">
              <a:extLst>
                <a:ext uri="{FF2B5EF4-FFF2-40B4-BE49-F238E27FC236}">
                  <a16:creationId xmlns:a16="http://schemas.microsoft.com/office/drawing/2014/main" id="{8A967E42-0DEF-42CD-85BC-6EDA79F38A52}"/>
                </a:ext>
              </a:extLst>
            </xdr14:cNvPr>
            <xdr14:cNvContentPartPr/>
          </xdr14:nvContentPartPr>
          <xdr14:nvPr macro=""/>
          <xdr14:xfrm>
            <a:off x="2295525" y="2609850"/>
            <a:ext cx="190500" cy="1714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5" name="Ink 40">
              <a:extLst>
                <a:ext uri="{FF2B5EF4-FFF2-40B4-BE49-F238E27FC236}">
                  <a16:creationId xmlns:a16="http://schemas.microsoft.com/office/drawing/2014/main" id="{8a967e42-0def-42cd-85bc-6eda79f38a52}"/>
                </a:ext>
              </a:extLst>
            </xdr:cNvPr>
            <xdr:cNvPicPr/>
          </xdr:nvPicPr>
          <xdr:blipFill>
            <a:blip r:embed="rId29"/>
            <a:stretch>
              <a:fillRect/>
            </a:stretch>
          </xdr:blipFill>
          <xdr:spPr>
            <xdr:xfrm>
              <a:off x="2295525" y="2609850"/>
              <a:ext cx="190500" cy="171450"/>
            </xdr:xfrm>
            <a:prstGeom prst="rect"/>
          </xdr:spPr>
        </xdr:pic>
      </mc:Fallback>
    </mc:AlternateContent>
    <xdr:clientData/>
  </xdr:twoCellAnchor>
  <xdr:twoCellAnchor editAs="oneCell">
    <xdr:from>
      <xdr:col>5</xdr:col>
      <xdr:colOff>270830</xdr:colOff>
      <xdr:row>11</xdr:row>
      <xdr:rowOff>62552</xdr:rowOff>
    </xdr:from>
    <xdr:to>
      <xdr:col>5</xdr:col>
      <xdr:colOff>906950</xdr:colOff>
      <xdr:row>13</xdr:row>
      <xdr:rowOff>135299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7" name="Ink 46">
              <a:extLst>
                <a:ext uri="{FF2B5EF4-FFF2-40B4-BE49-F238E27FC236}">
                  <a16:creationId xmlns:a16="http://schemas.microsoft.com/office/drawing/2014/main" id="{2A742FA0-9AB8-4688-B69E-65E37E901EEE}"/>
                </a:ext>
              </a:extLst>
            </xdr14:cNvPr>
            <xdr14:cNvContentPartPr/>
          </xdr14:nvContentPartPr>
          <xdr14:nvPr macro=""/>
          <xdr14:xfrm>
            <a:off x="3609975" y="2105025"/>
            <a:ext cx="638175" cy="4381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6" name="Ink 46">
              <a:extLst>
                <a:ext uri="{FF2B5EF4-FFF2-40B4-BE49-F238E27FC236}">
                  <a16:creationId xmlns:a16="http://schemas.microsoft.com/office/drawing/2014/main" id="{2a742fa0-9ab8-4688-b69e-65e37e901eee}"/>
                </a:ext>
              </a:extLst>
            </xdr:cNvPr>
            <xdr:cNvPicPr/>
          </xdr:nvPicPr>
          <xdr:blipFill>
            <a:blip r:embed="rId31"/>
            <a:stretch>
              <a:fillRect/>
            </a:stretch>
          </xdr:blipFill>
          <xdr:spPr>
            <xdr:xfrm>
              <a:off x="3609975" y="2105025"/>
              <a:ext cx="638175" cy="438150"/>
            </xdr:xfrm>
            <a:prstGeom prst="rect"/>
          </xdr:spPr>
        </xdr:pic>
      </mc:Fallback>
    </mc:AlternateContent>
    <xdr:clientData/>
  </xdr:twoCellAnchor>
  <xdr:twoCellAnchor editAs="oneCell">
    <xdr:from>
      <xdr:col>0</xdr:col>
      <xdr:colOff>916200</xdr:colOff>
      <xdr:row>11</xdr:row>
      <xdr:rowOff>81272</xdr:rowOff>
    </xdr:from>
    <xdr:to>
      <xdr:col>1</xdr:col>
      <xdr:colOff>119316</xdr:colOff>
      <xdr:row>13</xdr:row>
      <xdr:rowOff>53939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" name="Ink 47">
              <a:extLst>
                <a:ext uri="{FF2B5EF4-FFF2-40B4-BE49-F238E27FC236}">
                  <a16:creationId xmlns:a16="http://schemas.microsoft.com/office/drawing/2014/main" id="{177F9CE1-70EE-43D3-AF7B-2AB14C9455AC}"/>
                </a:ext>
              </a:extLst>
            </xdr14:cNvPr>
            <xdr14:cNvContentPartPr/>
          </xdr14:nvContentPartPr>
          <xdr14:nvPr macro=""/>
          <xdr14:xfrm>
            <a:off x="904875" y="2124075"/>
            <a:ext cx="123825" cy="3333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7" name="Ink 47">
              <a:extLst>
                <a:ext uri="{FF2B5EF4-FFF2-40B4-BE49-F238E27FC236}">
                  <a16:creationId xmlns:a16="http://schemas.microsoft.com/office/drawing/2014/main" id="{177f9ce1-70ee-43d3-af7b-2ab14c9455ac}"/>
                </a:ext>
              </a:extLst>
            </xdr:cNvPr>
            <xdr:cNvPicPr/>
          </xdr:nvPicPr>
          <xdr:blipFill>
            <a:blip r:embed="rId33"/>
            <a:stretch>
              <a:fillRect/>
            </a:stretch>
          </xdr:blipFill>
          <xdr:spPr>
            <xdr:xfrm>
              <a:off x="904875" y="2124075"/>
              <a:ext cx="123825" cy="333375"/>
            </xdr:xfrm>
            <a:prstGeom prst="rect"/>
          </xdr:spPr>
        </xdr:pic>
      </mc:Fallback>
    </mc:AlternateContent>
    <xdr:clientData/>
  </xdr:twoCellAnchor>
  <xdr:twoCellAnchor editAs="oneCell">
    <xdr:from>
      <xdr:col>0</xdr:col>
      <xdr:colOff>757440</xdr:colOff>
      <xdr:row>13</xdr:row>
      <xdr:rowOff>169499</xdr:rowOff>
    </xdr:from>
    <xdr:to>
      <xdr:col>1</xdr:col>
      <xdr:colOff>96996</xdr:colOff>
      <xdr:row>15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" name="Ink 52">
              <a:extLst>
                <a:ext uri="{FF2B5EF4-FFF2-40B4-BE49-F238E27FC236}">
                  <a16:creationId xmlns:a16="http://schemas.microsoft.com/office/drawing/2014/main" id="{146111C1-0499-4F6D-82AF-E82547C53887}"/>
                </a:ext>
              </a:extLst>
            </xdr14:cNvPr>
            <xdr14:cNvContentPartPr/>
          </xdr14:nvContentPartPr>
          <xdr14:nvPr macro=""/>
          <xdr14:xfrm>
            <a:off x="762000" y="2571750"/>
            <a:ext cx="247650" cy="19050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8" name="Ink 52">
              <a:extLst>
                <a:ext uri="{FF2B5EF4-FFF2-40B4-BE49-F238E27FC236}">
                  <a16:creationId xmlns:a16="http://schemas.microsoft.com/office/drawing/2014/main" id="{146111c1-0499-4f6d-82af-e82547c53887}"/>
                </a:ext>
              </a:extLst>
            </xdr:cNvPr>
            <xdr:cNvPicPr/>
          </xdr:nvPicPr>
          <xdr:blipFill>
            <a:blip r:embed="rId35"/>
            <a:stretch>
              <a:fillRect/>
            </a:stretch>
          </xdr:blipFill>
          <xdr:spPr>
            <xdr:xfrm>
              <a:off x="762000" y="2571750"/>
              <a:ext cx="247650" cy="190500"/>
            </xdr:xfrm>
            <a:prstGeom prst="rect"/>
          </xdr:spPr>
        </xdr:pic>
      </mc:Fallback>
    </mc:AlternateContent>
    <xdr:clientData/>
  </xdr:twoCellAnchor>
  <xdr:twoCellAnchor editAs="oneCell">
    <xdr:from>
      <xdr:col>3</xdr:col>
      <xdr:colOff>44773</xdr:colOff>
      <xdr:row>13</xdr:row>
      <xdr:rowOff>175979</xdr:rowOff>
    </xdr:from>
    <xdr:to>
      <xdr:col>4</xdr:col>
      <xdr:colOff>37922</xdr:colOff>
      <xdr:row>15</xdr:row>
      <xdr:rowOff>142525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" name="Ink 55">
              <a:extLst>
                <a:ext uri="{FF2B5EF4-FFF2-40B4-BE49-F238E27FC236}">
                  <a16:creationId xmlns:a16="http://schemas.microsoft.com/office/drawing/2014/main" id="{6BF206C0-E579-40BF-882E-69BA748AD1C2}"/>
                </a:ext>
              </a:extLst>
            </xdr14:cNvPr>
            <xdr14:cNvContentPartPr/>
          </xdr14:nvContentPartPr>
          <xdr14:nvPr macro=""/>
          <xdr14:xfrm>
            <a:off x="2171700" y="2571750"/>
            <a:ext cx="600075" cy="3238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19" name="Ink 55">
              <a:extLst>
                <a:ext uri="{FF2B5EF4-FFF2-40B4-BE49-F238E27FC236}">
                  <a16:creationId xmlns:a16="http://schemas.microsoft.com/office/drawing/2014/main" id="{6bf206c0-e579-40bf-882e-69ba748ad1c2}"/>
                </a:ext>
              </a:extLst>
            </xdr:cNvPr>
            <xdr:cNvPicPr/>
          </xdr:nvPicPr>
          <xdr:blipFill>
            <a:blip r:embed="rId37"/>
            <a:stretch>
              <a:fillRect/>
            </a:stretch>
          </xdr:blipFill>
          <xdr:spPr>
            <xdr:xfrm>
              <a:off x="2171700" y="2571750"/>
              <a:ext cx="600075" cy="323850"/>
            </xdr:xfrm>
            <a:prstGeom prst="rect"/>
          </xdr:spPr>
        </xdr:pic>
      </mc:Fallback>
    </mc:AlternateContent>
    <xdr:clientData/>
  </xdr:twoCellAnchor>
  <xdr:twoCellAnchor editAs="oneCell">
    <xdr:from>
      <xdr:col>5</xdr:col>
      <xdr:colOff>473870</xdr:colOff>
      <xdr:row>11</xdr:row>
      <xdr:rowOff>144632</xdr:rowOff>
    </xdr:from>
    <xdr:to>
      <xdr:col>6</xdr:col>
      <xdr:colOff>275436</xdr:colOff>
      <xdr:row>14</xdr:row>
      <xdr:rowOff>84732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" name="Ink 59">
              <a:extLst>
                <a:ext uri="{FF2B5EF4-FFF2-40B4-BE49-F238E27FC236}">
                  <a16:creationId xmlns:a16="http://schemas.microsoft.com/office/drawing/2014/main" id="{226CFFA2-CE9B-4577-AED0-DEF8A3A8D01E}"/>
                </a:ext>
              </a:extLst>
            </xdr14:cNvPr>
            <xdr14:cNvContentPartPr/>
          </xdr14:nvContentPartPr>
          <xdr14:nvPr macro=""/>
          <xdr14:xfrm>
            <a:off x="3819525" y="2181225"/>
            <a:ext cx="771525" cy="4857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20" name="Ink 59">
              <a:extLst>
                <a:ext uri="{FF2B5EF4-FFF2-40B4-BE49-F238E27FC236}">
                  <a16:creationId xmlns:a16="http://schemas.microsoft.com/office/drawing/2014/main" id="{226cffa2-ce9b-4577-aed0-def8a3a8d01e}"/>
                </a:ext>
              </a:extLst>
            </xdr:cNvPr>
            <xdr:cNvPicPr/>
          </xdr:nvPicPr>
          <xdr:blipFill>
            <a:blip r:embed="rId39"/>
            <a:stretch>
              <a:fillRect/>
            </a:stretch>
          </xdr:blipFill>
          <xdr:spPr>
            <xdr:xfrm>
              <a:off x="3819525" y="2181225"/>
              <a:ext cx="771525" cy="485775"/>
            </xdr:xfrm>
            <a:prstGeom prst="rect"/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368299</xdr:colOff>
      <xdr:row>14</xdr:row>
      <xdr:rowOff>133351</xdr:rowOff>
    </xdr:from>
    <xdr:to>
      <xdr:col>5</xdr:col>
      <xdr:colOff>317500</xdr:colOff>
      <xdr:row>21</xdr:row>
      <xdr:rowOff>127002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20535E40-C407-439A-A54B-5785A609BBFC}"/>
            </a:ext>
          </a:extLst>
        </xdr:cNvPr>
        <xdr:cNvCxnSpPr/>
      </xdr:nvCxnSpPr>
      <xdr:spPr>
        <a:xfrm rot="5400000" flipH="1" flipV="1">
          <a:off x="2809875" y="2771775"/>
          <a:ext cx="561975" cy="1295400"/>
        </a:xfrm>
        <a:prstGeom prst="curvedConnector3">
          <a:avLst>
            <a:gd name="adj1" fmla="val 50000"/>
          </a:avLst>
        </a:prstGeom>
        <a:ln w="28575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558800</xdr:colOff>
      <xdr:row>17</xdr:row>
      <xdr:rowOff>152400</xdr:rowOff>
    </xdr:from>
    <xdr:to>
      <xdr:col>5</xdr:col>
      <xdr:colOff>302466</xdr:colOff>
      <xdr:row>19</xdr:row>
      <xdr:rowOff>826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41DF354-7F01-4EBE-8B58-A5C608F0C10E}"/>
            </a:ext>
          </a:extLst>
        </xdr:cNvPr>
        <xdr:cNvSpPr/>
      </xdr:nvSpPr>
      <xdr:spPr>
        <a:xfrm>
          <a:off x="3000375" y="3362325"/>
          <a:ext cx="352425" cy="209550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36000" tIns="36000" rIns="36000" bIns="36000" rtlCol="0" anchor="t"/>
        <a:lstStyle/>
        <a:p>
          <a:pPr algn="ctr"/>
          <a:r>
            <a:rPr lang="en-SG" sz="1050" b="1">
              <a:solidFill>
                <a:schemeClr val="tx1"/>
              </a:solidFill>
            </a:rPr>
            <a:t>$85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469900</xdr:colOff>
      <xdr:row>27</xdr:row>
      <xdr:rowOff>70485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4E96114-C85E-4686-AAC3-45D86E4BFAA3}"/>
            </a:ext>
          </a:extLst>
        </xdr:cNvPr>
        <xdr:cNvGrpSpPr>
          <a:grpSpLocks/>
        </xdr:cNvGrpSpPr>
      </xdr:nvGrpSpPr>
      <xdr:grpSpPr>
        <a:xfrm>
          <a:off x="0" y="0"/>
          <a:ext cx="4769162" cy="5129665"/>
          <a:chOff x="38100" y="10584"/>
          <a:chExt cx="4737100" cy="5137785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D52A2E0-C123-4753-B125-53ABE8EAD4DF}"/>
              </a:ext>
            </a:extLst>
          </xdr:cNvPr>
          <xdr:cNvGrpSpPr>
            <a:grpSpLocks/>
          </xdr:cNvGrpSpPr>
        </xdr:nvGrpSpPr>
        <xdr:grpSpPr>
          <a:xfrm>
            <a:off x="38100" y="10584"/>
            <a:ext cx="4737100" cy="5137785"/>
            <a:chOff x="38100" y="31750"/>
            <a:chExt cx="4512945" cy="5125085"/>
          </a:xfrm>
        </xdr:grpSpPr>
        <xdr:pic>
          <xdr:nvPicPr>
            <xdr:cNvPr id="6" name="Picture 7" descr="Map of Malaysia States">
              <a:extLst>
                <a:ext uri="{FF2B5EF4-FFF2-40B4-BE49-F238E27FC236}">
                  <a16:creationId xmlns:a16="http://schemas.microsoft.com/office/drawing/2014/main" id="{4C95ECF7-6C7D-48E6-B996-466C46B601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8100" y="31750"/>
              <a:ext cx="4512945" cy="512508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7" name="Group 8">
              <a:extLst>
                <a:ext uri="{FF2B5EF4-FFF2-40B4-BE49-F238E27FC236}">
                  <a16:creationId xmlns:a16="http://schemas.microsoft.com/office/drawing/2014/main" id="{C871903E-6C80-47BE-836E-31F1F30F9FD7}"/>
                </a:ext>
              </a:extLst>
            </xdr:cNvPr>
            <xdr:cNvGrpSpPr>
              <a:grpSpLocks/>
            </xdr:cNvGrpSpPr>
          </xdr:nvGrpSpPr>
          <xdr:grpSpPr>
            <a:xfrm>
              <a:off x="209550" y="425450"/>
              <a:ext cx="3930650" cy="4413249"/>
              <a:chOff x="0" y="0"/>
              <a:chExt cx="3930650" cy="4337268"/>
            </a:xfrm>
          </xdr:grpSpPr>
          <xdr:sp macro="" textlink="">
            <xdr:nvSpPr>
              <xdr:cNvPr id="8" name="Rectangle: Rounded Corners 24">
                <a:extLst>
                  <a:ext uri="{FF2B5EF4-FFF2-40B4-BE49-F238E27FC236}">
                    <a16:creationId xmlns:a16="http://schemas.microsoft.com/office/drawing/2014/main" id="{6F8259E5-9865-43F0-94B2-DA52E0972E78}"/>
                  </a:ext>
                </a:extLst>
              </xdr:cNvPr>
              <xdr:cNvSpPr/>
            </xdr:nvSpPr>
            <xdr:spPr>
              <a:xfrm>
                <a:off x="977900" y="1428750"/>
                <a:ext cx="471922" cy="166031"/>
              </a:xfrm>
              <a:prstGeom prst="roundRect">
                <a:avLst/>
              </a:prstGeom>
              <a:noFill/>
            </xdr:spPr>
            <xdr:style>
              <a:lnRef idx="2">
                <a:schemeClr val="accent2"/>
              </a:lnRef>
              <a:fillRef idx="1">
                <a:schemeClr val="bg1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  <xdr:txBody>
              <a:bodyPr vert="horz" wrap="square" lIns="91440" tIns="45720" rIns="91440" bIns="45720" numCol="1" spcCol="0" rtlCol="0" fromWordArt="0" anchor="ctr" anchorCtr="0">
                <a:prstTxWarp prst="textNoShape">
                  <a:avLst/>
                </a:prstTxWarp>
                <a:noAutofit/>
              </a:bodyPr>
              <a:lstStyle/>
              <a:p>
                <a:endParaRPr lang="en-SG"/>
              </a:p>
            </xdr:txBody>
          </xdr:sp>
          <xdr:grpSp>
            <xdr:nvGrpSpPr>
              <xdr:cNvPr id="9" name="Group 25">
                <a:extLst>
                  <a:ext uri="{FF2B5EF4-FFF2-40B4-BE49-F238E27FC236}">
                    <a16:creationId xmlns:a16="http://schemas.microsoft.com/office/drawing/2014/main" id="{640B59A7-D0A2-41C1-9B49-FF7D40EF905B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0" y="0"/>
                <a:ext cx="3930650" cy="4337268"/>
                <a:chOff x="0" y="0"/>
                <a:chExt cx="3930650" cy="4337268"/>
              </a:xfrm>
            </xdr:grpSpPr>
            <xdr:sp macro="" textlink="">
              <xdr:nvSpPr>
                <xdr:cNvPr id="10" name="Rectangle: Rounded Corners 26">
                  <a:extLst>
                    <a:ext uri="{FF2B5EF4-FFF2-40B4-BE49-F238E27FC236}">
                      <a16:creationId xmlns:a16="http://schemas.microsoft.com/office/drawing/2014/main" id="{0FE9A2B2-BD97-4E8B-8DA5-7A043CB6CC9C}"/>
                    </a:ext>
                  </a:extLst>
                </xdr:cNvPr>
                <xdr:cNvSpPr/>
              </xdr:nvSpPr>
              <xdr:spPr>
                <a:xfrm>
                  <a:off x="3403600" y="4165818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bg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1" name="Rectangle: Rounded Corners 27">
                  <a:extLst>
                    <a:ext uri="{FF2B5EF4-FFF2-40B4-BE49-F238E27FC236}">
                      <a16:creationId xmlns:a16="http://schemas.microsoft.com/office/drawing/2014/main" id="{A8D70A62-3999-4488-83D9-4176C55C7653}"/>
                    </a:ext>
                  </a:extLst>
                </xdr:cNvPr>
                <xdr:cNvSpPr/>
              </xdr:nvSpPr>
              <xdr:spPr>
                <a:xfrm>
                  <a:off x="400050" y="762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2" name="Rectangle: Rounded Corners 28">
                  <a:extLst>
                    <a:ext uri="{FF2B5EF4-FFF2-40B4-BE49-F238E27FC236}">
                      <a16:creationId xmlns:a16="http://schemas.microsoft.com/office/drawing/2014/main" id="{5713EE38-4495-4A11-8D15-DC8B268A380A}"/>
                    </a:ext>
                  </a:extLst>
                </xdr:cNvPr>
                <xdr:cNvSpPr/>
              </xdr:nvSpPr>
              <xdr:spPr>
                <a:xfrm>
                  <a:off x="2190750" y="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3" name="Rectangle: Rounded Corners 29">
                  <a:extLst>
                    <a:ext uri="{FF2B5EF4-FFF2-40B4-BE49-F238E27FC236}">
                      <a16:creationId xmlns:a16="http://schemas.microsoft.com/office/drawing/2014/main" id="{1D98C94A-1DEF-4B92-9989-B367ED79D6D8}"/>
                    </a:ext>
                  </a:extLst>
                </xdr:cNvPr>
                <xdr:cNvSpPr/>
              </xdr:nvSpPr>
              <xdr:spPr>
                <a:xfrm>
                  <a:off x="3009900" y="768350"/>
                  <a:ext cx="577850" cy="2159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4" name="Rectangle: Rounded Corners 30">
                  <a:extLst>
                    <a:ext uri="{FF2B5EF4-FFF2-40B4-BE49-F238E27FC236}">
                      <a16:creationId xmlns:a16="http://schemas.microsoft.com/office/drawing/2014/main" id="{5F3A4D04-E209-42C6-82B4-4301595BEEE3}"/>
                    </a:ext>
                  </a:extLst>
                </xdr:cNvPr>
                <xdr:cNvSpPr/>
              </xdr:nvSpPr>
              <xdr:spPr>
                <a:xfrm>
                  <a:off x="0" y="719284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5" name="Rectangle: Rounded Corners 31">
                  <a:extLst>
                    <a:ext uri="{FF2B5EF4-FFF2-40B4-BE49-F238E27FC236}">
                      <a16:creationId xmlns:a16="http://schemas.microsoft.com/office/drawing/2014/main" id="{F27FC9DC-9BC5-4C86-BB4D-55B87E204100}"/>
                    </a:ext>
                  </a:extLst>
                </xdr:cNvPr>
                <xdr:cNvSpPr/>
              </xdr:nvSpPr>
              <xdr:spPr>
                <a:xfrm>
                  <a:off x="2857500" y="21145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6" name="Rectangle: Rounded Corners 32">
                  <a:extLst>
                    <a:ext uri="{FF2B5EF4-FFF2-40B4-BE49-F238E27FC236}">
                      <a16:creationId xmlns:a16="http://schemas.microsoft.com/office/drawing/2014/main" id="{5976AC44-B407-46DC-A135-126B0082AC3D}"/>
                    </a:ext>
                  </a:extLst>
                </xdr:cNvPr>
                <xdr:cNvSpPr/>
              </xdr:nvSpPr>
              <xdr:spPr>
                <a:xfrm>
                  <a:off x="1492250" y="2660650"/>
                  <a:ext cx="577850" cy="2032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7" name="Rectangle: Rounded Corners 33">
                  <a:extLst>
                    <a:ext uri="{FF2B5EF4-FFF2-40B4-BE49-F238E27FC236}">
                      <a16:creationId xmlns:a16="http://schemas.microsoft.com/office/drawing/2014/main" id="{4251C72A-BFB7-4ED2-AC29-6586B6858699}"/>
                    </a:ext>
                  </a:extLst>
                </xdr:cNvPr>
                <xdr:cNvSpPr/>
              </xdr:nvSpPr>
              <xdr:spPr>
                <a:xfrm>
                  <a:off x="1957981" y="3613150"/>
                  <a:ext cx="505817" cy="179144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8" name="Rectangle: Rounded Corners 34">
                  <a:extLst>
                    <a:ext uri="{FF2B5EF4-FFF2-40B4-BE49-F238E27FC236}">
                      <a16:creationId xmlns:a16="http://schemas.microsoft.com/office/drawing/2014/main" id="{36458181-28A9-4931-905E-5C5EC4FC792F}"/>
                    </a:ext>
                  </a:extLst>
                </xdr:cNvPr>
                <xdr:cNvSpPr/>
              </xdr:nvSpPr>
              <xdr:spPr>
                <a:xfrm>
                  <a:off x="1536700" y="31178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cxnSp macro="">
              <xdr:nvCxnSpPr>
                <xdr:cNvPr id="19" name="Connector: Curved 35">
                  <a:extLst>
                    <a:ext uri="{FF2B5EF4-FFF2-40B4-BE49-F238E27FC236}">
                      <a16:creationId xmlns:a16="http://schemas.microsoft.com/office/drawing/2014/main" id="{08D53E04-896E-4C23-ADCF-5593F420A7C3}"/>
                    </a:ext>
                  </a:extLst>
                </xdr:cNvPr>
                <xdr:cNvCxnSpPr/>
              </xdr:nvCxnSpPr>
              <xdr:spPr>
                <a:xfrm rot="10800000">
                  <a:off x="2463800" y="3702050"/>
                  <a:ext cx="939800" cy="4635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Connector: Curved 36">
                  <a:extLst>
                    <a:ext uri="{FF2B5EF4-FFF2-40B4-BE49-F238E27FC236}">
                      <a16:creationId xmlns:a16="http://schemas.microsoft.com/office/drawing/2014/main" id="{A149DD8C-7472-42E9-AC4E-754705AEC9D3}"/>
                    </a:ext>
                  </a:extLst>
                </xdr:cNvPr>
                <xdr:cNvCxnSpPr/>
              </xdr:nvCxnSpPr>
              <xdr:spPr>
                <a:xfrm rot="10800000">
                  <a:off x="914402" y="152399"/>
                  <a:ext cx="2053851" cy="74978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Connector: Curved 37">
                  <a:extLst>
                    <a:ext uri="{FF2B5EF4-FFF2-40B4-BE49-F238E27FC236}">
                      <a16:creationId xmlns:a16="http://schemas.microsoft.com/office/drawing/2014/main" id="{718F405F-1537-4111-A238-58F779AB6A44}"/>
                    </a:ext>
                  </a:extLst>
                </xdr:cNvPr>
                <xdr:cNvCxnSpPr/>
              </xdr:nvCxnSpPr>
              <xdr:spPr>
                <a:xfrm rot="16200000" flipV="1">
                  <a:off x="2362200" y="260350"/>
                  <a:ext cx="692150" cy="5270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Connector: Curved 38">
                  <a:extLst>
                    <a:ext uri="{FF2B5EF4-FFF2-40B4-BE49-F238E27FC236}">
                      <a16:creationId xmlns:a16="http://schemas.microsoft.com/office/drawing/2014/main" id="{D5B3CA5E-1859-402F-B2E1-19EF17068E62}"/>
                    </a:ext>
                  </a:extLst>
                </xdr:cNvPr>
                <xdr:cNvCxnSpPr/>
              </xdr:nvCxnSpPr>
              <xdr:spPr>
                <a:xfrm rot="16200000" flipV="1">
                  <a:off x="2562225" y="1508125"/>
                  <a:ext cx="1117600" cy="698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nector: Curved 39">
                  <a:extLst>
                    <a:ext uri="{FF2B5EF4-FFF2-40B4-BE49-F238E27FC236}">
                      <a16:creationId xmlns:a16="http://schemas.microsoft.com/office/drawing/2014/main" id="{9C782938-0C2F-479A-9745-F37165C829C3}"/>
                    </a:ext>
                  </a:extLst>
                </xdr:cNvPr>
                <xdr:cNvCxnSpPr/>
              </xdr:nvCxnSpPr>
              <xdr:spPr>
                <a:xfrm rot="16200000" flipV="1">
                  <a:off x="2479675" y="2962275"/>
                  <a:ext cx="1841500" cy="5143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Connector: Curved 40">
                  <a:extLst>
                    <a:ext uri="{FF2B5EF4-FFF2-40B4-BE49-F238E27FC236}">
                      <a16:creationId xmlns:a16="http://schemas.microsoft.com/office/drawing/2014/main" id="{4DAA9FCA-2807-4089-8CF8-805A9261D2DA}"/>
                    </a:ext>
                  </a:extLst>
                </xdr:cNvPr>
                <xdr:cNvCxnSpPr/>
              </xdr:nvCxnSpPr>
              <xdr:spPr>
                <a:xfrm rot="10800000">
                  <a:off x="1443774" y="1526304"/>
                  <a:ext cx="1405836" cy="64987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" name="Connector: Curved 41">
                  <a:extLst>
                    <a:ext uri="{FF2B5EF4-FFF2-40B4-BE49-F238E27FC236}">
                      <a16:creationId xmlns:a16="http://schemas.microsoft.com/office/drawing/2014/main" id="{F440D5B9-FBAA-4E81-99A7-3B7B05A5FA1A}"/>
                    </a:ext>
                  </a:extLst>
                </xdr:cNvPr>
                <xdr:cNvCxnSpPr/>
              </xdr:nvCxnSpPr>
              <xdr:spPr>
                <a:xfrm rot="16200000" flipV="1">
                  <a:off x="476250" y="831850"/>
                  <a:ext cx="615950" cy="5524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6" name="Connector: Curved 42">
                  <a:extLst>
                    <a:ext uri="{FF2B5EF4-FFF2-40B4-BE49-F238E27FC236}">
                      <a16:creationId xmlns:a16="http://schemas.microsoft.com/office/drawing/2014/main" id="{F118C19A-02B5-42C7-9F9A-D12F00331F67}"/>
                    </a:ext>
                  </a:extLst>
                </xdr:cNvPr>
                <xdr:cNvCxnSpPr/>
              </xdr:nvCxnSpPr>
              <xdr:spPr>
                <a:xfrm rot="16200000" flipV="1">
                  <a:off x="384175" y="530225"/>
                  <a:ext cx="1123950" cy="6096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" name="Connector: Curved 43">
                  <a:extLst>
                    <a:ext uri="{FF2B5EF4-FFF2-40B4-BE49-F238E27FC236}">
                      <a16:creationId xmlns:a16="http://schemas.microsoft.com/office/drawing/2014/main" id="{3BC6C258-FEC4-41E4-9C35-45C6947A8264}"/>
                    </a:ext>
                  </a:extLst>
                </xdr:cNvPr>
                <xdr:cNvCxnSpPr/>
              </xdr:nvCxnSpPr>
              <xdr:spPr>
                <a:xfrm rot="5400000" flipH="1" flipV="1">
                  <a:off x="241300" y="412750"/>
                  <a:ext cx="450850" cy="952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" name="Connector: Curved 44">
                  <a:extLst>
                    <a:ext uri="{FF2B5EF4-FFF2-40B4-BE49-F238E27FC236}">
                      <a16:creationId xmlns:a16="http://schemas.microsoft.com/office/drawing/2014/main" id="{276BAC73-B97F-492D-98C0-6A424AB5F87A}"/>
                    </a:ext>
                  </a:extLst>
                </xdr:cNvPr>
                <xdr:cNvCxnSpPr/>
              </xdr:nvCxnSpPr>
              <xdr:spPr>
                <a:xfrm rot="16200000" flipV="1">
                  <a:off x="53975" y="1292225"/>
                  <a:ext cx="1828800" cy="10096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9" name="Connector: Curved 45">
                  <a:extLst>
                    <a:ext uri="{FF2B5EF4-FFF2-40B4-BE49-F238E27FC236}">
                      <a16:creationId xmlns:a16="http://schemas.microsoft.com/office/drawing/2014/main" id="{5E0DFF85-1B84-421F-A314-F3E9E5F0DA72}"/>
                    </a:ext>
                  </a:extLst>
                </xdr:cNvPr>
                <xdr:cNvCxnSpPr/>
              </xdr:nvCxnSpPr>
              <xdr:spPr>
                <a:xfrm rot="16200000" flipV="1">
                  <a:off x="962025" y="1914525"/>
                  <a:ext cx="1035050" cy="393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" name="Connector: Curved 46">
                  <a:extLst>
                    <a:ext uri="{FF2B5EF4-FFF2-40B4-BE49-F238E27FC236}">
                      <a16:creationId xmlns:a16="http://schemas.microsoft.com/office/drawing/2014/main" id="{6129D2A6-B6C7-4A01-9B09-B174FBA932F9}"/>
                    </a:ext>
                  </a:extLst>
                </xdr:cNvPr>
                <xdr:cNvCxnSpPr/>
              </xdr:nvCxnSpPr>
              <xdr:spPr>
                <a:xfrm rot="16200000" flipV="1">
                  <a:off x="1836406" y="3079427"/>
                  <a:ext cx="715020" cy="302473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1" name="Connector: Curved 47">
                  <a:extLst>
                    <a:ext uri="{FF2B5EF4-FFF2-40B4-BE49-F238E27FC236}">
                      <a16:creationId xmlns:a16="http://schemas.microsoft.com/office/drawing/2014/main" id="{4888FAFB-9EA4-4F76-8EEB-587855E0C4D7}"/>
                    </a:ext>
                  </a:extLst>
                </xdr:cNvPr>
                <xdr:cNvCxnSpPr/>
              </xdr:nvCxnSpPr>
              <xdr:spPr>
                <a:xfrm rot="16200000" flipV="1">
                  <a:off x="1911350" y="3302000"/>
                  <a:ext cx="330200" cy="266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2" name="Connector: Curved 48">
                  <a:extLst>
                    <a:ext uri="{FF2B5EF4-FFF2-40B4-BE49-F238E27FC236}">
                      <a16:creationId xmlns:a16="http://schemas.microsoft.com/office/drawing/2014/main" id="{C697B3C1-A1BC-48D6-827F-246CA9D53DAC}"/>
                    </a:ext>
                  </a:extLst>
                </xdr:cNvPr>
                <xdr:cNvCxnSpPr/>
              </xdr:nvCxnSpPr>
              <xdr:spPr>
                <a:xfrm rot="16200000" flipV="1">
                  <a:off x="1661161" y="2948940"/>
                  <a:ext cx="254000" cy="45719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3" name="Connector: Curved 49">
                  <a:extLst>
                    <a:ext uri="{FF2B5EF4-FFF2-40B4-BE49-F238E27FC236}">
                      <a16:creationId xmlns:a16="http://schemas.microsoft.com/office/drawing/2014/main" id="{F3A12B1D-0FD4-4E3C-8D78-D6D3DB5613E6}"/>
                    </a:ext>
                  </a:extLst>
                </xdr:cNvPr>
                <xdr:cNvCxnSpPr/>
              </xdr:nvCxnSpPr>
              <xdr:spPr>
                <a:xfrm rot="16200000" flipV="1">
                  <a:off x="1749425" y="727075"/>
                  <a:ext cx="1911350" cy="774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34" name="Rectangle: Rounded Corners 9">
              <a:extLst>
                <a:ext uri="{FF2B5EF4-FFF2-40B4-BE49-F238E27FC236}">
                  <a16:creationId xmlns:a16="http://schemas.microsoft.com/office/drawing/2014/main" id="{4CBFE7BA-7D68-46D6-87EA-4A97BA6DF0B0}"/>
                </a:ext>
              </a:extLst>
            </xdr:cNvPr>
            <xdr:cNvSpPr/>
          </xdr:nvSpPr>
          <xdr:spPr>
            <a:xfrm>
              <a:off x="3448050" y="3632201"/>
              <a:ext cx="336550" cy="227579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35" name="Rectangle: Rounded Corners 10">
              <a:extLst>
                <a:ext uri="{FF2B5EF4-FFF2-40B4-BE49-F238E27FC236}">
                  <a16:creationId xmlns:a16="http://schemas.microsoft.com/office/drawing/2014/main" id="{5E579B71-CF13-4E74-83EE-CB9BE72AD36A}"/>
                </a:ext>
              </a:extLst>
            </xdr:cNvPr>
            <xdr:cNvSpPr/>
          </xdr:nvSpPr>
          <xdr:spPr>
            <a:xfrm>
              <a:off x="3033798" y="4277844"/>
              <a:ext cx="336550" cy="209031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$30</a:t>
              </a:r>
            </a:p>
          </xdr:txBody>
        </xdr:sp>
        <xdr:sp macro="" textlink="">
          <xdr:nvSpPr>
            <xdr:cNvPr id="36" name="Rectangle: Rounded Corners 11">
              <a:extLst>
                <a:ext uri="{FF2B5EF4-FFF2-40B4-BE49-F238E27FC236}">
                  <a16:creationId xmlns:a16="http://schemas.microsoft.com/office/drawing/2014/main" id="{29185BDF-BDEF-4E92-823C-D0B51FA08F93}"/>
                </a:ext>
              </a:extLst>
            </xdr:cNvPr>
            <xdr:cNvSpPr/>
          </xdr:nvSpPr>
          <xdr:spPr>
            <a:xfrm>
              <a:off x="2177800" y="3857248"/>
              <a:ext cx="300699" cy="199899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$25</a:t>
              </a:r>
            </a:p>
          </xdr:txBody>
        </xdr:sp>
        <xdr:sp macro="" textlink="">
          <xdr:nvSpPr>
            <xdr:cNvPr id="37" name="Rectangle: Rounded Corners 12">
              <a:extLst>
                <a:ext uri="{FF2B5EF4-FFF2-40B4-BE49-F238E27FC236}">
                  <a16:creationId xmlns:a16="http://schemas.microsoft.com/office/drawing/2014/main" id="{F4239E8C-8F31-45B3-A7DC-938DDF3D1088}"/>
                </a:ext>
              </a:extLst>
            </xdr:cNvPr>
            <xdr:cNvSpPr/>
          </xdr:nvSpPr>
          <xdr:spPr>
            <a:xfrm>
              <a:off x="1797050" y="3378200"/>
              <a:ext cx="336550" cy="1905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$30</a:t>
              </a:r>
            </a:p>
          </xdr:txBody>
        </xdr:sp>
        <xdr:sp macro="" textlink="">
          <xdr:nvSpPr>
            <xdr:cNvPr id="38" name="Rectangle: Rounded Corners 13">
              <a:extLst>
                <a:ext uri="{FF2B5EF4-FFF2-40B4-BE49-F238E27FC236}">
                  <a16:creationId xmlns:a16="http://schemas.microsoft.com/office/drawing/2014/main" id="{A9A69678-ABC5-417A-BE87-DC377A76526E}"/>
                </a:ext>
              </a:extLst>
            </xdr:cNvPr>
            <xdr:cNvSpPr/>
          </xdr:nvSpPr>
          <xdr:spPr>
            <a:xfrm>
              <a:off x="2346154" y="3530600"/>
              <a:ext cx="336550" cy="2222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$45</a:t>
              </a:r>
            </a:p>
          </xdr:txBody>
        </xdr:sp>
        <xdr:sp macro="" textlink="">
          <xdr:nvSpPr>
            <xdr:cNvPr id="39" name="Rectangle: Rounded Corners 14">
              <a:extLst>
                <a:ext uri="{FF2B5EF4-FFF2-40B4-BE49-F238E27FC236}">
                  <a16:creationId xmlns:a16="http://schemas.microsoft.com/office/drawing/2014/main" id="{AD628C39-B77D-4824-B8E0-164609465F07}"/>
                </a:ext>
              </a:extLst>
            </xdr:cNvPr>
            <xdr:cNvSpPr/>
          </xdr:nvSpPr>
          <xdr:spPr>
            <a:xfrm>
              <a:off x="2266950" y="2152650"/>
              <a:ext cx="374650" cy="2730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$100</a:t>
              </a:r>
            </a:p>
          </xdr:txBody>
        </xdr:sp>
        <xdr:sp macro="" textlink="">
          <xdr:nvSpPr>
            <xdr:cNvPr id="40" name="Rectangle: Rounded Corners 15">
              <a:extLst>
                <a:ext uri="{FF2B5EF4-FFF2-40B4-BE49-F238E27FC236}">
                  <a16:creationId xmlns:a16="http://schemas.microsoft.com/office/drawing/2014/main" id="{F6E42855-9392-409A-9278-886A33EDE356}"/>
                </a:ext>
              </a:extLst>
            </xdr:cNvPr>
            <xdr:cNvSpPr/>
          </xdr:nvSpPr>
          <xdr:spPr>
            <a:xfrm>
              <a:off x="1720850" y="2686050"/>
              <a:ext cx="336550" cy="215364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$60</a:t>
              </a:r>
            </a:p>
          </xdr:txBody>
        </xdr:sp>
        <xdr:sp macro="" textlink="">
          <xdr:nvSpPr>
            <xdr:cNvPr id="41" name="Rectangle: Rounded Corners 16">
              <a:extLst>
                <a:ext uri="{FF2B5EF4-FFF2-40B4-BE49-F238E27FC236}">
                  <a16:creationId xmlns:a16="http://schemas.microsoft.com/office/drawing/2014/main" id="{47D3AD9E-E03D-4559-AEFE-04AAF31DE224}"/>
                </a:ext>
              </a:extLst>
            </xdr:cNvPr>
            <xdr:cNvSpPr/>
          </xdr:nvSpPr>
          <xdr:spPr>
            <a:xfrm>
              <a:off x="831850" y="2108200"/>
              <a:ext cx="336550" cy="2286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42" name="Rectangle: Rounded Corners 17">
              <a:extLst>
                <a:ext uri="{FF2B5EF4-FFF2-40B4-BE49-F238E27FC236}">
                  <a16:creationId xmlns:a16="http://schemas.microsoft.com/office/drawing/2014/main" id="{28512BBD-BD23-44C2-9EF9-09E235B28498}"/>
                </a:ext>
              </a:extLst>
            </xdr:cNvPr>
            <xdr:cNvSpPr/>
          </xdr:nvSpPr>
          <xdr:spPr>
            <a:xfrm>
              <a:off x="3257550" y="1657351"/>
              <a:ext cx="336550" cy="213383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$40</a:t>
              </a:r>
            </a:p>
          </xdr:txBody>
        </xdr:sp>
        <xdr:sp macro="" textlink="">
          <xdr:nvSpPr>
            <xdr:cNvPr id="43" name="Rectangle: Rounded Corners 18">
              <a:extLst>
                <a:ext uri="{FF2B5EF4-FFF2-40B4-BE49-F238E27FC236}">
                  <a16:creationId xmlns:a16="http://schemas.microsoft.com/office/drawing/2014/main" id="{E3F69F0A-8263-4A42-974A-DF9D91A61600}"/>
                </a:ext>
              </a:extLst>
            </xdr:cNvPr>
            <xdr:cNvSpPr/>
          </xdr:nvSpPr>
          <xdr:spPr>
            <a:xfrm>
              <a:off x="2787650" y="850900"/>
              <a:ext cx="336550" cy="222117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$60</a:t>
              </a:r>
            </a:p>
          </xdr:txBody>
        </xdr:sp>
        <xdr:sp macro="" textlink="">
          <xdr:nvSpPr>
            <xdr:cNvPr id="44" name="Rectangle: Rounded Corners 19">
              <a:extLst>
                <a:ext uri="{FF2B5EF4-FFF2-40B4-BE49-F238E27FC236}">
                  <a16:creationId xmlns:a16="http://schemas.microsoft.com/office/drawing/2014/main" id="{3B5DAA30-4625-456D-B8EF-7F00A0811476}"/>
                </a:ext>
              </a:extLst>
            </xdr:cNvPr>
            <xdr:cNvSpPr/>
          </xdr:nvSpPr>
          <xdr:spPr>
            <a:xfrm>
              <a:off x="2647950" y="1403350"/>
              <a:ext cx="381000" cy="2667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$80</a:t>
              </a:r>
            </a:p>
          </xdr:txBody>
        </xdr:sp>
        <xdr:sp macro="" textlink="">
          <xdr:nvSpPr>
            <xdr:cNvPr id="45" name="Rectangle: Rounded Corners 20">
              <a:extLst>
                <a:ext uri="{FF2B5EF4-FFF2-40B4-BE49-F238E27FC236}">
                  <a16:creationId xmlns:a16="http://schemas.microsoft.com/office/drawing/2014/main" id="{5CD7A116-F070-41FF-A1E0-2909E5684F29}"/>
                </a:ext>
              </a:extLst>
            </xdr:cNvPr>
            <xdr:cNvSpPr/>
          </xdr:nvSpPr>
          <xdr:spPr>
            <a:xfrm>
              <a:off x="2015213" y="982110"/>
              <a:ext cx="336550" cy="26670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$75</a:t>
              </a:r>
            </a:p>
          </xdr:txBody>
        </xdr:sp>
        <xdr:sp macro="" textlink="">
          <xdr:nvSpPr>
            <xdr:cNvPr id="46" name="Rectangle: Rounded Corners 21">
              <a:extLst>
                <a:ext uri="{FF2B5EF4-FFF2-40B4-BE49-F238E27FC236}">
                  <a16:creationId xmlns:a16="http://schemas.microsoft.com/office/drawing/2014/main" id="{36BB3D28-A924-47C6-9308-B62D85920EF6}"/>
                </a:ext>
              </a:extLst>
            </xdr:cNvPr>
            <xdr:cNvSpPr/>
          </xdr:nvSpPr>
          <xdr:spPr>
            <a:xfrm>
              <a:off x="1035050" y="1123951"/>
              <a:ext cx="368300" cy="231445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$55</a:t>
              </a:r>
            </a:p>
          </xdr:txBody>
        </xdr:sp>
        <xdr:sp macro="" textlink="">
          <xdr:nvSpPr>
            <xdr:cNvPr id="47" name="Rectangle: Rounded Corners 22">
              <a:extLst>
                <a:ext uri="{FF2B5EF4-FFF2-40B4-BE49-F238E27FC236}">
                  <a16:creationId xmlns:a16="http://schemas.microsoft.com/office/drawing/2014/main" id="{738FE2B6-0AE4-48F0-AD0F-FCEC62D54DE2}"/>
                </a:ext>
              </a:extLst>
            </xdr:cNvPr>
            <xdr:cNvSpPr/>
          </xdr:nvSpPr>
          <xdr:spPr>
            <a:xfrm>
              <a:off x="438150" y="800099"/>
              <a:ext cx="380232" cy="216442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$45</a:t>
              </a:r>
            </a:p>
          </xdr:txBody>
        </xdr:sp>
        <xdr:sp macro="" textlink="">
          <xdr:nvSpPr>
            <xdr:cNvPr id="48" name="Rectangle: Rounded Corners 23">
              <a:extLst>
                <a:ext uri="{FF2B5EF4-FFF2-40B4-BE49-F238E27FC236}">
                  <a16:creationId xmlns:a16="http://schemas.microsoft.com/office/drawing/2014/main" id="{06B520A9-3BBD-45BC-963A-9C545FCA8E4C}"/>
                </a:ext>
              </a:extLst>
            </xdr:cNvPr>
            <xdr:cNvSpPr/>
          </xdr:nvSpPr>
          <xdr:spPr>
            <a:xfrm>
              <a:off x="882650" y="1485900"/>
              <a:ext cx="336550" cy="234950"/>
            </a:xfrm>
            <a:prstGeom prst="roundRect">
              <a:avLst/>
            </a:prstGeom>
            <a:solidFill>
              <a:srgbClr val="FF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$75</a:t>
              </a:r>
            </a:p>
          </xdr:txBody>
        </xdr:sp>
      </xdr:grpSp>
      <xdr:cxnSp macro="">
        <xdr:nvCxnSpPr>
          <xdr:cNvPr id="49" name="Connector: Curved 5">
            <a:extLst>
              <a:ext uri="{FF2B5EF4-FFF2-40B4-BE49-F238E27FC236}">
                <a16:creationId xmlns:a16="http://schemas.microsoft.com/office/drawing/2014/main" id="{19828CC0-5872-401D-8F5C-DCF8FF345D20}"/>
              </a:ext>
            </a:extLst>
          </xdr:cNvPr>
          <xdr:cNvCxnSpPr/>
        </xdr:nvCxnSpPr>
        <xdr:spPr>
          <a:xfrm rot="10800000">
            <a:off x="2107707" y="3760476"/>
            <a:ext cx="1683014" cy="981526"/>
          </a:xfrm>
          <a:prstGeom prst="curvedConnector2">
            <a:avLst/>
          </a:prstGeom>
          <a:ln w="28575">
            <a:solidFill>
              <a:schemeClr val="tx1">
                <a:lumMod val="75000"/>
                <a:lumOff val="2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Rectangle: Rounded Corners 6">
            <a:extLst>
              <a:ext uri="{FF2B5EF4-FFF2-40B4-BE49-F238E27FC236}">
                <a16:creationId xmlns:a16="http://schemas.microsoft.com/office/drawing/2014/main" id="{2A7F85F7-8A66-4025-A5B3-520CECA8A6F8}"/>
              </a:ext>
            </a:extLst>
          </xdr:cNvPr>
          <xdr:cNvSpPr/>
        </xdr:nvSpPr>
        <xdr:spPr>
          <a:xfrm>
            <a:off x="2660650" y="4502150"/>
            <a:ext cx="353266" cy="209549"/>
          </a:xfrm>
          <a:prstGeom prst="round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lang="en-SG" sz="1050" b="1">
                <a:solidFill>
                  <a:schemeClr val="tx1"/>
                </a:solidFill>
              </a:rPr>
              <a:t>$50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83277</xdr:colOff>
      <xdr:row>0</xdr:row>
      <xdr:rowOff>0</xdr:rowOff>
    </xdr:from>
    <xdr:to>
      <xdr:col>13</xdr:col>
      <xdr:colOff>281065</xdr:colOff>
      <xdr:row>12</xdr:row>
      <xdr:rowOff>9771</xdr:rowOff>
    </xdr:to>
    <xdr:pic>
      <xdr:nvPicPr>
        <xdr:cNvPr id="2" name="Picture 50">
          <a:extLst>
            <a:ext uri="{FF2B5EF4-FFF2-40B4-BE49-F238E27FC236}">
              <a16:creationId xmlns:a16="http://schemas.microsoft.com/office/drawing/2014/main" id="{2D3A9E35-F68F-4FAD-9293-B0EACE1B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5" y="0"/>
          <a:ext cx="4371975" cy="2247900"/>
        </a:xfrm>
        <a:prstGeom prst="rect">
          <a:avLst/>
        </a:prstGeom>
      </xdr:spPr>
    </xdr:pic>
    <xdr:clientData/>
  </xdr:twoCellAnchor>
  <xdr:twoCellAnchor editAs="oneCell">
    <xdr:from>
      <xdr:col>5</xdr:col>
      <xdr:colOff>218607</xdr:colOff>
      <xdr:row>12</xdr:row>
      <xdr:rowOff>135328</xdr:rowOff>
    </xdr:from>
    <xdr:to>
      <xdr:col>15</xdr:col>
      <xdr:colOff>256049</xdr:colOff>
      <xdr:row>32</xdr:row>
      <xdr:rowOff>0</xdr:rowOff>
    </xdr:to>
    <xdr:pic>
      <xdr:nvPicPr>
        <xdr:cNvPr id="3" name="Picture 51">
          <a:extLst>
            <a:ext uri="{FF2B5EF4-FFF2-40B4-BE49-F238E27FC236}">
              <a16:creationId xmlns:a16="http://schemas.microsoft.com/office/drawing/2014/main" id="{45EDF53D-15A7-4106-92F0-048D706D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9375" y="2371725"/>
          <a:ext cx="6038850" cy="3571875"/>
        </a:xfrm>
        <a:prstGeom prst="rect">
          <a:avLst/>
        </a:prstGeom>
      </xdr:spPr>
    </xdr:pic>
    <xdr:clientData/>
  </xdr:twoCellAnchor>
  <xdr:twoCellAnchor editAs="oneCell">
    <xdr:from>
      <xdr:col>6</xdr:col>
      <xdr:colOff>332991</xdr:colOff>
      <xdr:row>6</xdr:row>
      <xdr:rowOff>20483</xdr:rowOff>
    </xdr:from>
    <xdr:to>
      <xdr:col>6</xdr:col>
      <xdr:colOff>434511</xdr:colOff>
      <xdr:row>6</xdr:row>
      <xdr:rowOff>20843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52">
              <a:extLst>
                <a:ext uri="{FF2B5EF4-FFF2-40B4-BE49-F238E27FC236}">
                  <a16:creationId xmlns:a16="http://schemas.microsoft.com/office/drawing/2014/main" id="{32C97FFB-A282-4A63-B469-8E16E133E5FE}"/>
                </a:ext>
              </a:extLst>
            </xdr14:cNvPr>
            <xdr14:cNvContentPartPr/>
          </xdr14:nvContentPartPr>
          <xdr14:nvPr macro=""/>
          <xdr14:xfrm>
            <a:off x="7153275" y="1143000"/>
            <a:ext cx="104775" cy="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3" name="Ink 52">
              <a:extLst>
                <a:ext uri="{FF2B5EF4-FFF2-40B4-BE49-F238E27FC236}">
                  <a16:creationId xmlns:a16="http://schemas.microsoft.com/office/drawing/2014/main" id="{32c97ffb-a282-4a63-b469-8e16e133e5fe}"/>
                </a:ext>
              </a:extLst>
            </xdr:cNvPr>
            <xdr:cNvPicPr/>
          </xdr:nvPicPr>
          <xdr:blipFill>
            <a:blip r:embed="rId4"/>
            <a:stretch>
              <a:fillRect/>
            </a:stretch>
          </xdr:blipFill>
          <xdr:spPr>
            <xdr:xfrm>
              <a:off x="7153275" y="1143000"/>
              <a:ext cx="104775" cy="0"/>
            </xdr:xfrm>
            <a:prstGeom prst="rect"/>
          </xdr:spPr>
        </xdr:pic>
      </mc:Fallback>
    </mc:AlternateContent>
    <xdr:clientData/>
  </xdr:twoCellAnchor>
  <xdr:twoCellAnchor editAs="oneCell">
    <xdr:from>
      <xdr:col>8</xdr:col>
      <xdr:colOff>62231</xdr:colOff>
      <xdr:row>1</xdr:row>
      <xdr:rowOff>51816</xdr:rowOff>
    </xdr:from>
    <xdr:to>
      <xdr:col>8</xdr:col>
      <xdr:colOff>62591</xdr:colOff>
      <xdr:row>1</xdr:row>
      <xdr:rowOff>56496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53">
              <a:extLst>
                <a:ext uri="{FF2B5EF4-FFF2-40B4-BE49-F238E27FC236}">
                  <a16:creationId xmlns:a16="http://schemas.microsoft.com/office/drawing/2014/main" id="{3D0C6179-6E77-461D-B239-8853997A4B00}"/>
                </a:ext>
              </a:extLst>
            </xdr14:cNvPr>
            <xdr14:cNvContentPartPr/>
          </xdr14:nvContentPartPr>
          <xdr14:nvPr macro=""/>
          <xdr14:xfrm>
            <a:off x="8105775" y="238125"/>
            <a:ext cx="0" cy="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4" name="Ink 53">
              <a:extLst>
                <a:ext uri="{FF2B5EF4-FFF2-40B4-BE49-F238E27FC236}">
                  <a16:creationId xmlns:a16="http://schemas.microsoft.com/office/drawing/2014/main" id="{3d0c6179-6e77-461d-b239-8853997a4b00}"/>
                </a:ext>
              </a:extLst>
            </xdr:cNvPr>
            <xdr:cNvPicPr/>
          </xdr:nvPicPr>
          <xdr:blipFill>
            <a:blip r:embed="rId6"/>
            <a:stretch>
              <a:fillRect/>
            </a:stretch>
          </xdr:blipFill>
          <xdr:spPr>
            <xdr:xfrm>
              <a:off x="8105775" y="238125"/>
              <a:ext cx="0" cy="0"/>
            </xdr:xfrm>
            <a:prstGeom prst="rect"/>
          </xdr:spPr>
        </xdr:pic>
      </mc:Fallback>
    </mc:AlternateContent>
    <xdr:clientData/>
  </xdr:twoCellAnchor>
  <xdr:twoCellAnchor editAs="oneCell">
    <xdr:from>
      <xdr:col>8</xdr:col>
      <xdr:colOff>218471</xdr:colOff>
      <xdr:row>9</xdr:row>
      <xdr:rowOff>114632</xdr:rowOff>
    </xdr:from>
    <xdr:to>
      <xdr:col>8</xdr:col>
      <xdr:colOff>387671</xdr:colOff>
      <xdr:row>9</xdr:row>
      <xdr:rowOff>171152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4">
              <a:extLst>
                <a:ext uri="{FF2B5EF4-FFF2-40B4-BE49-F238E27FC236}">
                  <a16:creationId xmlns:a16="http://schemas.microsoft.com/office/drawing/2014/main" id="{FEA9BFAA-5C5D-4B90-9998-E32FFEBE9155}"/>
                </a:ext>
              </a:extLst>
            </xdr14:cNvPr>
            <xdr14:cNvContentPartPr/>
          </xdr14:nvContentPartPr>
          <xdr14:nvPr macro=""/>
          <xdr14:xfrm>
            <a:off x="8258175" y="1781175"/>
            <a:ext cx="171450" cy="571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5" name="Ink 54">
              <a:extLst>
                <a:ext uri="{FF2B5EF4-FFF2-40B4-BE49-F238E27FC236}">
                  <a16:creationId xmlns:a16="http://schemas.microsoft.com/office/drawing/2014/main" id="{fea9bfaa-5c5d-4b90-9998-e32ffebe9155}"/>
                </a:ext>
              </a:extLst>
            </xdr:cNvPr>
            <xdr:cNvPicPr/>
          </xdr:nvPicPr>
          <xdr:blipFill>
            <a:blip r:embed="rId8"/>
            <a:stretch>
              <a:fillRect/>
            </a:stretch>
          </xdr:blipFill>
          <xdr:spPr>
            <xdr:xfrm>
              <a:off x="8258175" y="1781175"/>
              <a:ext cx="171450" cy="57150"/>
            </xdr:xfrm>
            <a:prstGeom prst="rect"/>
          </xdr:spPr>
        </xdr:pic>
      </mc:Fallback>
    </mc:AlternateContent>
    <xdr:clientData/>
  </xdr:twoCellAnchor>
  <xdr:twoCellAnchor editAs="oneCell">
    <xdr:from>
      <xdr:col>9</xdr:col>
      <xdr:colOff>582559</xdr:colOff>
      <xdr:row>5</xdr:row>
      <xdr:rowOff>41388</xdr:rowOff>
    </xdr:from>
    <xdr:to>
      <xdr:col>10</xdr:col>
      <xdr:colOff>96179</xdr:colOff>
      <xdr:row>5</xdr:row>
      <xdr:rowOff>110508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55">
              <a:extLst>
                <a:ext uri="{FF2B5EF4-FFF2-40B4-BE49-F238E27FC236}">
                  <a16:creationId xmlns:a16="http://schemas.microsoft.com/office/drawing/2014/main" id="{7B938604-74C8-416A-A6A4-57527D08484E}"/>
                </a:ext>
              </a:extLst>
            </xdr14:cNvPr>
            <xdr14:cNvContentPartPr/>
          </xdr14:nvContentPartPr>
          <xdr14:nvPr macro=""/>
          <xdr14:xfrm>
            <a:off x="9134475" y="971550"/>
            <a:ext cx="123825" cy="666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6" name="Ink 55">
              <a:extLst>
                <a:ext uri="{FF2B5EF4-FFF2-40B4-BE49-F238E27FC236}">
                  <a16:creationId xmlns:a16="http://schemas.microsoft.com/office/drawing/2014/main" id="{7b938604-74c8-416a-a6a4-57527d08484e}"/>
                </a:ext>
              </a:extLst>
            </xdr:cNvPr>
            <xdr:cNvPicPr/>
          </xdr:nvPicPr>
          <xdr:blipFill>
            <a:blip r:embed="rId10"/>
            <a:stretch>
              <a:fillRect/>
            </a:stretch>
          </xdr:blipFill>
          <xdr:spPr>
            <xdr:xfrm>
              <a:off x="9134475" y="971550"/>
              <a:ext cx="123825" cy="66675"/>
            </xdr:xfrm>
            <a:prstGeom prst="rect"/>
          </xdr:spPr>
        </xdr:pic>
      </mc:Fallback>
    </mc:AlternateContent>
    <xdr:clientData/>
  </xdr:twoCellAnchor>
  <xdr:twoCellAnchor editAs="oneCell">
    <xdr:from>
      <xdr:col>11</xdr:col>
      <xdr:colOff>249519</xdr:colOff>
      <xdr:row>6</xdr:row>
      <xdr:rowOff>176723</xdr:rowOff>
    </xdr:from>
    <xdr:to>
      <xdr:col>11</xdr:col>
      <xdr:colOff>374799</xdr:colOff>
      <xdr:row>7</xdr:row>
      <xdr:rowOff>13466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56">
              <a:extLst>
                <a:ext uri="{FF2B5EF4-FFF2-40B4-BE49-F238E27FC236}">
                  <a16:creationId xmlns:a16="http://schemas.microsoft.com/office/drawing/2014/main" id="{922588D2-264A-4440-969A-DBD6BF5CF1CF}"/>
                </a:ext>
              </a:extLst>
            </xdr14:cNvPr>
            <xdr14:cNvContentPartPr/>
          </xdr14:nvContentPartPr>
          <xdr14:nvPr macro=""/>
          <xdr14:xfrm>
            <a:off x="10020300" y="1304925"/>
            <a:ext cx="123825" cy="1905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7" name="Ink 56">
              <a:extLst>
                <a:ext uri="{FF2B5EF4-FFF2-40B4-BE49-F238E27FC236}">
                  <a16:creationId xmlns:a16="http://schemas.microsoft.com/office/drawing/2014/main" id="{922588d2-264a-4440-969a-dbd6bf5cf1cf}"/>
                </a:ext>
              </a:extLst>
            </xdr:cNvPr>
            <xdr:cNvPicPr/>
          </xdr:nvPicPr>
          <xdr:blipFill>
            <a:blip r:embed="rId12"/>
            <a:stretch>
              <a:fillRect/>
            </a:stretch>
          </xdr:blipFill>
          <xdr:spPr>
            <xdr:xfrm>
              <a:off x="10020300" y="1304925"/>
              <a:ext cx="123825" cy="19050"/>
            </xdr:xfrm>
            <a:prstGeom prst="rect"/>
          </xdr:spPr>
        </xdr:pic>
      </mc:Fallback>
    </mc:AlternateContent>
    <xdr:clientData/>
  </xdr:twoCellAnchor>
  <xdr:twoCellAnchor editAs="oneCell">
    <xdr:from>
      <xdr:col>10</xdr:col>
      <xdr:colOff>457619</xdr:colOff>
      <xdr:row>0</xdr:row>
      <xdr:rowOff>218520</xdr:rowOff>
    </xdr:from>
    <xdr:to>
      <xdr:col>10</xdr:col>
      <xdr:colOff>528899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57">
              <a:extLst>
                <a:ext uri="{FF2B5EF4-FFF2-40B4-BE49-F238E27FC236}">
                  <a16:creationId xmlns:a16="http://schemas.microsoft.com/office/drawing/2014/main" id="{FD1F5494-FA53-4444-8251-44FBCB5602D5}"/>
                </a:ext>
              </a:extLst>
            </xdr14:cNvPr>
            <xdr14:cNvContentPartPr/>
          </xdr14:nvContentPartPr>
          <xdr14:nvPr macro=""/>
          <xdr14:xfrm>
            <a:off x="9620250" y="190500"/>
            <a:ext cx="66675" cy="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8" name="Ink 57">
              <a:extLst>
                <a:ext uri="{FF2B5EF4-FFF2-40B4-BE49-F238E27FC236}">
                  <a16:creationId xmlns:a16="http://schemas.microsoft.com/office/drawing/2014/main" id="{fd1f5494-fa53-4444-8251-44fbcb5602d5}"/>
                </a:ext>
              </a:extLst>
            </xdr:cNvPr>
            <xdr:cNvPicPr/>
          </xdr:nvPicPr>
          <xdr:blipFill>
            <a:blip r:embed="rId14"/>
            <a:stretch>
              <a:fillRect/>
            </a:stretch>
          </xdr:blipFill>
          <xdr:spPr>
            <xdr:xfrm>
              <a:off x="9620250" y="190500"/>
              <a:ext cx="66675" cy="0"/>
            </xdr:xfrm>
            <a:prstGeom prst="rect"/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17319</xdr:colOff>
      <xdr:row>0</xdr:row>
      <xdr:rowOff>34635</xdr:rowOff>
    </xdr:from>
    <xdr:to>
      <xdr:col>7</xdr:col>
      <xdr:colOff>451299</xdr:colOff>
      <xdr:row>27</xdr:row>
      <xdr:rowOff>176317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B0C11B2-75DC-44F6-8AB7-D17EA761AB83}"/>
            </a:ext>
          </a:extLst>
        </xdr:cNvPr>
        <xdr:cNvGrpSpPr>
          <a:grpSpLocks/>
        </xdr:cNvGrpSpPr>
      </xdr:nvGrpSpPr>
      <xdr:grpSpPr>
        <a:xfrm>
          <a:off x="17319" y="34635"/>
          <a:ext cx="4705798" cy="5040253"/>
          <a:chOff x="38100" y="10584"/>
          <a:chExt cx="4737100" cy="513778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C683D69-BB04-4DFE-83DD-659EC0508935}"/>
              </a:ext>
            </a:extLst>
          </xdr:cNvPr>
          <xdr:cNvGrpSpPr>
            <a:grpSpLocks/>
          </xdr:cNvGrpSpPr>
        </xdr:nvGrpSpPr>
        <xdr:grpSpPr>
          <a:xfrm>
            <a:off x="38100" y="10584"/>
            <a:ext cx="4737100" cy="5137785"/>
            <a:chOff x="38100" y="31750"/>
            <a:chExt cx="4512945" cy="5125085"/>
          </a:xfrm>
        </xdr:grpSpPr>
        <xdr:pic>
          <xdr:nvPicPr>
            <xdr:cNvPr id="4" name="Picture 5" descr="Map of Malaysia States">
              <a:extLst>
                <a:ext uri="{FF2B5EF4-FFF2-40B4-BE49-F238E27FC236}">
                  <a16:creationId xmlns:a16="http://schemas.microsoft.com/office/drawing/2014/main" id="{454095F3-96F5-4F74-9CA4-C4551ACABF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8100" y="31750"/>
              <a:ext cx="4512945" cy="5125085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5" name="Group 6">
              <a:extLst>
                <a:ext uri="{FF2B5EF4-FFF2-40B4-BE49-F238E27FC236}">
                  <a16:creationId xmlns:a16="http://schemas.microsoft.com/office/drawing/2014/main" id="{A4AEA6E7-ED37-469A-BDDC-9DE5C0DE4877}"/>
                </a:ext>
              </a:extLst>
            </xdr:cNvPr>
            <xdr:cNvGrpSpPr>
              <a:grpSpLocks/>
            </xdr:cNvGrpSpPr>
          </xdr:nvGrpSpPr>
          <xdr:grpSpPr>
            <a:xfrm>
              <a:off x="209550" y="425450"/>
              <a:ext cx="3930650" cy="4413249"/>
              <a:chOff x="0" y="0"/>
              <a:chExt cx="3930650" cy="4337268"/>
            </a:xfrm>
          </xdr:grpSpPr>
          <xdr:sp macro="" textlink="">
            <xdr:nvSpPr>
              <xdr:cNvPr id="6" name="Rectangle: Rounded Corners 22">
                <a:extLst>
                  <a:ext uri="{FF2B5EF4-FFF2-40B4-BE49-F238E27FC236}">
                    <a16:creationId xmlns:a16="http://schemas.microsoft.com/office/drawing/2014/main" id="{19FA0CF3-FC75-4E8C-99CA-33AAB9EDFFF6}"/>
                  </a:ext>
                </a:extLst>
              </xdr:cNvPr>
              <xdr:cNvSpPr/>
            </xdr:nvSpPr>
            <xdr:spPr>
              <a:xfrm>
                <a:off x="977900" y="1428750"/>
                <a:ext cx="471922" cy="166031"/>
              </a:xfrm>
              <a:prstGeom prst="roundRect">
                <a:avLst/>
              </a:prstGeom>
              <a:noFill/>
            </xdr:spPr>
            <xdr:style>
              <a:lnRef idx="2">
                <a:schemeClr val="accent2"/>
              </a:lnRef>
              <a:fillRef idx="1">
                <a:schemeClr val="bg1"/>
              </a:fillRef>
              <a:effectRef idx="0">
                <a:schemeClr val="accent2"/>
              </a:effectRef>
              <a:fontRef idx="minor">
                <a:schemeClr val="tx1"/>
              </a:fontRef>
            </xdr:style>
            <xdr:txBody>
              <a:bodyPr vert="horz" wrap="square" lIns="91440" tIns="45720" rIns="91440" bIns="45720" numCol="1" spcCol="0" rtlCol="0" fromWordArt="0" anchor="ctr" anchorCtr="0">
                <a:prstTxWarp prst="textNoShape">
                  <a:avLst/>
                </a:prstTxWarp>
                <a:noAutofit/>
              </a:bodyPr>
              <a:lstStyle/>
              <a:p>
                <a:endParaRPr lang="en-SG"/>
              </a:p>
            </xdr:txBody>
          </xdr:sp>
          <xdr:grpSp>
            <xdr:nvGrpSpPr>
              <xdr:cNvPr id="7" name="Group 23">
                <a:extLst>
                  <a:ext uri="{FF2B5EF4-FFF2-40B4-BE49-F238E27FC236}">
                    <a16:creationId xmlns:a16="http://schemas.microsoft.com/office/drawing/2014/main" id="{C4F2130A-DAC6-4123-AD51-86E1F6DBAF6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0" y="0"/>
                <a:ext cx="3930650" cy="4337268"/>
                <a:chOff x="0" y="0"/>
                <a:chExt cx="3930650" cy="4337268"/>
              </a:xfrm>
            </xdr:grpSpPr>
            <xdr:sp macro="" textlink="">
              <xdr:nvSpPr>
                <xdr:cNvPr id="8" name="Rectangle: Rounded Corners 24">
                  <a:extLst>
                    <a:ext uri="{FF2B5EF4-FFF2-40B4-BE49-F238E27FC236}">
                      <a16:creationId xmlns:a16="http://schemas.microsoft.com/office/drawing/2014/main" id="{9258DA8C-E452-48EF-AEB3-4374D6C4BA32}"/>
                    </a:ext>
                  </a:extLst>
                </xdr:cNvPr>
                <xdr:cNvSpPr/>
              </xdr:nvSpPr>
              <xdr:spPr>
                <a:xfrm>
                  <a:off x="3403600" y="4165818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bg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9" name="Rectangle: Rounded Corners 25">
                  <a:extLst>
                    <a:ext uri="{FF2B5EF4-FFF2-40B4-BE49-F238E27FC236}">
                      <a16:creationId xmlns:a16="http://schemas.microsoft.com/office/drawing/2014/main" id="{6E18C449-A54F-435E-BF9C-83544B6ADA5C}"/>
                    </a:ext>
                  </a:extLst>
                </xdr:cNvPr>
                <xdr:cNvSpPr/>
              </xdr:nvSpPr>
              <xdr:spPr>
                <a:xfrm>
                  <a:off x="400050" y="762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0" name="Rectangle: Rounded Corners 26">
                  <a:extLst>
                    <a:ext uri="{FF2B5EF4-FFF2-40B4-BE49-F238E27FC236}">
                      <a16:creationId xmlns:a16="http://schemas.microsoft.com/office/drawing/2014/main" id="{A0F97034-4A57-4B0B-AB5F-09231C52723E}"/>
                    </a:ext>
                  </a:extLst>
                </xdr:cNvPr>
                <xdr:cNvSpPr/>
              </xdr:nvSpPr>
              <xdr:spPr>
                <a:xfrm>
                  <a:off x="2190750" y="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1" name="Rectangle: Rounded Corners 27">
                  <a:extLst>
                    <a:ext uri="{FF2B5EF4-FFF2-40B4-BE49-F238E27FC236}">
                      <a16:creationId xmlns:a16="http://schemas.microsoft.com/office/drawing/2014/main" id="{682E561A-A3FA-42E7-995A-2874DC2E21F2}"/>
                    </a:ext>
                  </a:extLst>
                </xdr:cNvPr>
                <xdr:cNvSpPr/>
              </xdr:nvSpPr>
              <xdr:spPr>
                <a:xfrm>
                  <a:off x="3009900" y="768350"/>
                  <a:ext cx="577850" cy="2159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2" name="Rectangle: Rounded Corners 28">
                  <a:extLst>
                    <a:ext uri="{FF2B5EF4-FFF2-40B4-BE49-F238E27FC236}">
                      <a16:creationId xmlns:a16="http://schemas.microsoft.com/office/drawing/2014/main" id="{8E287387-E054-4D58-98B9-99C5312EB758}"/>
                    </a:ext>
                  </a:extLst>
                </xdr:cNvPr>
                <xdr:cNvSpPr/>
              </xdr:nvSpPr>
              <xdr:spPr>
                <a:xfrm>
                  <a:off x="0" y="69850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3" name="Rectangle: Rounded Corners 29">
                  <a:extLst>
                    <a:ext uri="{FF2B5EF4-FFF2-40B4-BE49-F238E27FC236}">
                      <a16:creationId xmlns:a16="http://schemas.microsoft.com/office/drawing/2014/main" id="{6D04AC56-09D9-4398-A0E7-359B64A1E2C3}"/>
                    </a:ext>
                  </a:extLst>
                </xdr:cNvPr>
                <xdr:cNvSpPr/>
              </xdr:nvSpPr>
              <xdr:spPr>
                <a:xfrm>
                  <a:off x="2857500" y="21145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4" name="Rectangle: Rounded Corners 30">
                  <a:extLst>
                    <a:ext uri="{FF2B5EF4-FFF2-40B4-BE49-F238E27FC236}">
                      <a16:creationId xmlns:a16="http://schemas.microsoft.com/office/drawing/2014/main" id="{91C4D30E-9CC6-41B6-9FB3-73A2B877FD71}"/>
                    </a:ext>
                  </a:extLst>
                </xdr:cNvPr>
                <xdr:cNvSpPr/>
              </xdr:nvSpPr>
              <xdr:spPr>
                <a:xfrm>
                  <a:off x="1492250" y="2660650"/>
                  <a:ext cx="577850" cy="20320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5" name="Rectangle: Rounded Corners 31">
                  <a:extLst>
                    <a:ext uri="{FF2B5EF4-FFF2-40B4-BE49-F238E27FC236}">
                      <a16:creationId xmlns:a16="http://schemas.microsoft.com/office/drawing/2014/main" id="{2B7B5552-BA92-4B1C-9255-3C6AE2A79019}"/>
                    </a:ext>
                  </a:extLst>
                </xdr:cNvPr>
                <xdr:cNvSpPr/>
              </xdr:nvSpPr>
              <xdr:spPr>
                <a:xfrm>
                  <a:off x="1957981" y="3613150"/>
                  <a:ext cx="505817" cy="179144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sp macro="" textlink="">
              <xdr:nvSpPr>
                <xdr:cNvPr id="16" name="Rectangle: Rounded Corners 32">
                  <a:extLst>
                    <a:ext uri="{FF2B5EF4-FFF2-40B4-BE49-F238E27FC236}">
                      <a16:creationId xmlns:a16="http://schemas.microsoft.com/office/drawing/2014/main" id="{5E9FB92D-8934-4D79-B078-76A7D0C9BAD3}"/>
                    </a:ext>
                  </a:extLst>
                </xdr:cNvPr>
                <xdr:cNvSpPr/>
              </xdr:nvSpPr>
              <xdr:spPr>
                <a:xfrm>
                  <a:off x="1536700" y="3117850"/>
                  <a:ext cx="527050" cy="171450"/>
                </a:xfrm>
                <a:prstGeom prst="roundRect">
                  <a:avLst/>
                </a:prstGeom>
                <a:noFill/>
              </xdr:spPr>
              <xdr:style>
                <a:lnRef idx="2">
                  <a:schemeClr val="accent2"/>
                </a:lnRef>
                <a:fillRef idx="1">
                  <a:schemeClr val="bg1"/>
                </a:fillRef>
                <a:effectRef idx="0">
                  <a:schemeClr val="accent2"/>
                </a:effectRef>
                <a:fontRef idx="minor">
                  <a:schemeClr val="tx1"/>
                </a:fontRef>
              </xdr:style>
              <xdr:txBody>
                <a:bodyPr vert="horz" wrap="square" lIns="91440" tIns="45720" rIns="91440" bIns="45720" numCol="1" spcCol="0" rtlCol="0" fromWordArt="0" anchor="ctr" anchorCtr="0">
                  <a:prstTxWarp prst="textNoShape">
                    <a:avLst/>
                  </a:prstTxWarp>
                  <a:noAutofit/>
                </a:bodyPr>
                <a:lstStyle/>
                <a:p>
                  <a:endParaRPr lang="en-SG"/>
                </a:p>
              </xdr:txBody>
            </xdr:sp>
            <xdr:cxnSp macro="">
              <xdr:nvCxnSpPr>
                <xdr:cNvPr id="17" name="Connector: Curved 33">
                  <a:extLst>
                    <a:ext uri="{FF2B5EF4-FFF2-40B4-BE49-F238E27FC236}">
                      <a16:creationId xmlns:a16="http://schemas.microsoft.com/office/drawing/2014/main" id="{BF682C03-C3C7-4899-AA12-EEE81BF00491}"/>
                    </a:ext>
                  </a:extLst>
                </xdr:cNvPr>
                <xdr:cNvCxnSpPr/>
              </xdr:nvCxnSpPr>
              <xdr:spPr>
                <a:xfrm rot="10800000">
                  <a:off x="2463800" y="3702050"/>
                  <a:ext cx="939800" cy="4635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" name="Connector: Curved 34">
                  <a:extLst>
                    <a:ext uri="{FF2B5EF4-FFF2-40B4-BE49-F238E27FC236}">
                      <a16:creationId xmlns:a16="http://schemas.microsoft.com/office/drawing/2014/main" id="{3F7BCFAD-51D7-4B38-B120-CCE15A4D8044}"/>
                    </a:ext>
                  </a:extLst>
                </xdr:cNvPr>
                <xdr:cNvCxnSpPr/>
              </xdr:nvCxnSpPr>
              <xdr:spPr>
                <a:xfrm rot="10800000">
                  <a:off x="914402" y="152399"/>
                  <a:ext cx="2053851" cy="74978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" name="Connector: Curved 35">
                  <a:extLst>
                    <a:ext uri="{FF2B5EF4-FFF2-40B4-BE49-F238E27FC236}">
                      <a16:creationId xmlns:a16="http://schemas.microsoft.com/office/drawing/2014/main" id="{480F755B-092D-4126-84A4-97597C9D2633}"/>
                    </a:ext>
                  </a:extLst>
                </xdr:cNvPr>
                <xdr:cNvCxnSpPr/>
              </xdr:nvCxnSpPr>
              <xdr:spPr>
                <a:xfrm rot="16200000" flipV="1">
                  <a:off x="2362200" y="260350"/>
                  <a:ext cx="692150" cy="5270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" name="Connector: Curved 36">
                  <a:extLst>
                    <a:ext uri="{FF2B5EF4-FFF2-40B4-BE49-F238E27FC236}">
                      <a16:creationId xmlns:a16="http://schemas.microsoft.com/office/drawing/2014/main" id="{37712CC0-009F-4D00-B1B5-FE7FD2330FAA}"/>
                    </a:ext>
                  </a:extLst>
                </xdr:cNvPr>
                <xdr:cNvCxnSpPr/>
              </xdr:nvCxnSpPr>
              <xdr:spPr>
                <a:xfrm rot="16200000" flipV="1">
                  <a:off x="2562225" y="1508125"/>
                  <a:ext cx="1117600" cy="698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Connector: Curved 37">
                  <a:extLst>
                    <a:ext uri="{FF2B5EF4-FFF2-40B4-BE49-F238E27FC236}">
                      <a16:creationId xmlns:a16="http://schemas.microsoft.com/office/drawing/2014/main" id="{6E42CE7E-6CA2-43D2-9817-10BBE3C51FC2}"/>
                    </a:ext>
                  </a:extLst>
                </xdr:cNvPr>
                <xdr:cNvCxnSpPr/>
              </xdr:nvCxnSpPr>
              <xdr:spPr>
                <a:xfrm rot="16200000" flipV="1">
                  <a:off x="2479675" y="2962275"/>
                  <a:ext cx="1841500" cy="5143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Connector: Curved 38">
                  <a:extLst>
                    <a:ext uri="{FF2B5EF4-FFF2-40B4-BE49-F238E27FC236}">
                      <a16:creationId xmlns:a16="http://schemas.microsoft.com/office/drawing/2014/main" id="{0F5F4AAE-C0DC-4057-AF2C-AAF872E506F1}"/>
                    </a:ext>
                  </a:extLst>
                </xdr:cNvPr>
                <xdr:cNvCxnSpPr/>
              </xdr:nvCxnSpPr>
              <xdr:spPr>
                <a:xfrm rot="10800000">
                  <a:off x="1443774" y="1526304"/>
                  <a:ext cx="1405836" cy="649877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3" name="Connector: Curved 39">
                  <a:extLst>
                    <a:ext uri="{FF2B5EF4-FFF2-40B4-BE49-F238E27FC236}">
                      <a16:creationId xmlns:a16="http://schemas.microsoft.com/office/drawing/2014/main" id="{92B0A4AE-DEAE-4453-9622-7C4A0914BF94}"/>
                    </a:ext>
                  </a:extLst>
                </xdr:cNvPr>
                <xdr:cNvCxnSpPr/>
              </xdr:nvCxnSpPr>
              <xdr:spPr>
                <a:xfrm rot="16200000" flipV="1">
                  <a:off x="476250" y="831850"/>
                  <a:ext cx="615950" cy="5524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4" name="Connector: Curved 40">
                  <a:extLst>
                    <a:ext uri="{FF2B5EF4-FFF2-40B4-BE49-F238E27FC236}">
                      <a16:creationId xmlns:a16="http://schemas.microsoft.com/office/drawing/2014/main" id="{56E736D7-9766-4966-8166-A8AD7B5C55B9}"/>
                    </a:ext>
                  </a:extLst>
                </xdr:cNvPr>
                <xdr:cNvCxnSpPr/>
              </xdr:nvCxnSpPr>
              <xdr:spPr>
                <a:xfrm rot="16200000" flipV="1">
                  <a:off x="384175" y="530225"/>
                  <a:ext cx="1123950" cy="6096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5" name="Connector: Curved 41">
                  <a:extLst>
                    <a:ext uri="{FF2B5EF4-FFF2-40B4-BE49-F238E27FC236}">
                      <a16:creationId xmlns:a16="http://schemas.microsoft.com/office/drawing/2014/main" id="{C92C2446-2C24-49F7-AA00-43B8CEA73E69}"/>
                    </a:ext>
                  </a:extLst>
                </xdr:cNvPr>
                <xdr:cNvCxnSpPr/>
              </xdr:nvCxnSpPr>
              <xdr:spPr>
                <a:xfrm rot="5400000" flipH="1" flipV="1">
                  <a:off x="241300" y="412750"/>
                  <a:ext cx="450850" cy="952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6" name="Connector: Curved 42">
                  <a:extLst>
                    <a:ext uri="{FF2B5EF4-FFF2-40B4-BE49-F238E27FC236}">
                      <a16:creationId xmlns:a16="http://schemas.microsoft.com/office/drawing/2014/main" id="{E3B476FD-D49D-476F-AD94-427FD1BC3252}"/>
                    </a:ext>
                  </a:extLst>
                </xdr:cNvPr>
                <xdr:cNvCxnSpPr/>
              </xdr:nvCxnSpPr>
              <xdr:spPr>
                <a:xfrm rot="16200000" flipV="1">
                  <a:off x="53975" y="1292225"/>
                  <a:ext cx="1828800" cy="100965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" name="Connector: Curved 43">
                  <a:extLst>
                    <a:ext uri="{FF2B5EF4-FFF2-40B4-BE49-F238E27FC236}">
                      <a16:creationId xmlns:a16="http://schemas.microsoft.com/office/drawing/2014/main" id="{0A610C4F-44E9-4A17-9F3D-5B617AB357B0}"/>
                    </a:ext>
                  </a:extLst>
                </xdr:cNvPr>
                <xdr:cNvCxnSpPr/>
              </xdr:nvCxnSpPr>
              <xdr:spPr>
                <a:xfrm rot="16200000" flipV="1">
                  <a:off x="962025" y="1914525"/>
                  <a:ext cx="1035050" cy="393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8" name="Connector: Curved 44">
                  <a:extLst>
                    <a:ext uri="{FF2B5EF4-FFF2-40B4-BE49-F238E27FC236}">
                      <a16:creationId xmlns:a16="http://schemas.microsoft.com/office/drawing/2014/main" id="{4B099F2C-38EF-4BED-8933-ED5C83CB0A0D}"/>
                    </a:ext>
                  </a:extLst>
                </xdr:cNvPr>
                <xdr:cNvCxnSpPr/>
              </xdr:nvCxnSpPr>
              <xdr:spPr>
                <a:xfrm rot="16200000" flipV="1">
                  <a:off x="1836406" y="3079427"/>
                  <a:ext cx="715020" cy="302473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9" name="Connector: Curved 45">
                  <a:extLst>
                    <a:ext uri="{FF2B5EF4-FFF2-40B4-BE49-F238E27FC236}">
                      <a16:creationId xmlns:a16="http://schemas.microsoft.com/office/drawing/2014/main" id="{8DC1FD3D-D958-413C-8916-12BF306A057C}"/>
                    </a:ext>
                  </a:extLst>
                </xdr:cNvPr>
                <xdr:cNvCxnSpPr/>
              </xdr:nvCxnSpPr>
              <xdr:spPr>
                <a:xfrm rot="16200000" flipV="1">
                  <a:off x="1911350" y="3302000"/>
                  <a:ext cx="330200" cy="266700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0" name="Connector: Curved 46">
                  <a:extLst>
                    <a:ext uri="{FF2B5EF4-FFF2-40B4-BE49-F238E27FC236}">
                      <a16:creationId xmlns:a16="http://schemas.microsoft.com/office/drawing/2014/main" id="{B8FF3036-0404-4609-AFFA-4ABEBAD00C51}"/>
                    </a:ext>
                  </a:extLst>
                </xdr:cNvPr>
                <xdr:cNvCxnSpPr/>
              </xdr:nvCxnSpPr>
              <xdr:spPr>
                <a:xfrm rot="16200000" flipV="1">
                  <a:off x="1661161" y="2948940"/>
                  <a:ext cx="254000" cy="45719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1" name="Connector: Curved 47">
                  <a:extLst>
                    <a:ext uri="{FF2B5EF4-FFF2-40B4-BE49-F238E27FC236}">
                      <a16:creationId xmlns:a16="http://schemas.microsoft.com/office/drawing/2014/main" id="{3C2BB98A-7E9B-4F4C-B5F6-9A675C7A80B8}"/>
                    </a:ext>
                  </a:extLst>
                </xdr:cNvPr>
                <xdr:cNvCxnSpPr/>
              </xdr:nvCxnSpPr>
              <xdr:spPr>
                <a:xfrm rot="16200000" flipV="1">
                  <a:off x="1741489" y="735013"/>
                  <a:ext cx="1955800" cy="803272"/>
                </a:xfrm>
                <a:prstGeom prst="curvedConnector3">
                  <a:avLst>
                    <a:gd name="adj1" fmla="val 50000"/>
                  </a:avLst>
                </a:prstGeom>
                <a:ln w="28575">
                  <a:solidFill>
                    <a:schemeClr val="tx1">
                      <a:lumMod val="75000"/>
                      <a:lumOff val="25000"/>
                    </a:schemeClr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32" name="Rectangle: Rounded Corners 7">
              <a:extLst>
                <a:ext uri="{FF2B5EF4-FFF2-40B4-BE49-F238E27FC236}">
                  <a16:creationId xmlns:a16="http://schemas.microsoft.com/office/drawing/2014/main" id="{2C10AAAD-9B38-4E80-95A3-8E8F34A84D27}"/>
                </a:ext>
              </a:extLst>
            </xdr:cNvPr>
            <xdr:cNvSpPr/>
          </xdr:nvSpPr>
          <xdr:spPr>
            <a:xfrm>
              <a:off x="3448050" y="3632201"/>
              <a:ext cx="336550" cy="22757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80</a:t>
              </a:r>
            </a:p>
          </xdr:txBody>
        </xdr:sp>
        <xdr:sp macro="" textlink="">
          <xdr:nvSpPr>
            <xdr:cNvPr id="33" name="Rectangle: Rounded Corners 8">
              <a:extLst>
                <a:ext uri="{FF2B5EF4-FFF2-40B4-BE49-F238E27FC236}">
                  <a16:creationId xmlns:a16="http://schemas.microsoft.com/office/drawing/2014/main" id="{4F742659-DE05-4002-9513-96E51B5038E6}"/>
                </a:ext>
              </a:extLst>
            </xdr:cNvPr>
            <xdr:cNvSpPr/>
          </xdr:nvSpPr>
          <xdr:spPr>
            <a:xfrm>
              <a:off x="3033798" y="4277844"/>
              <a:ext cx="336550" cy="22407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80</a:t>
              </a:r>
            </a:p>
          </xdr:txBody>
        </xdr:sp>
        <xdr:sp macro="" textlink="">
          <xdr:nvSpPr>
            <xdr:cNvPr id="34" name="Rectangle: Rounded Corners 9">
              <a:extLst>
                <a:ext uri="{FF2B5EF4-FFF2-40B4-BE49-F238E27FC236}">
                  <a16:creationId xmlns:a16="http://schemas.microsoft.com/office/drawing/2014/main" id="{12DF3708-C21E-43C2-B394-77AADC46D5F5}"/>
                </a:ext>
              </a:extLst>
            </xdr:cNvPr>
            <xdr:cNvSpPr/>
          </xdr:nvSpPr>
          <xdr:spPr>
            <a:xfrm>
              <a:off x="2177800" y="3857248"/>
              <a:ext cx="300699" cy="199899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30</a:t>
              </a:r>
            </a:p>
          </xdr:txBody>
        </xdr:sp>
        <xdr:sp macro="" textlink="">
          <xdr:nvSpPr>
            <xdr:cNvPr id="35" name="Rectangle: Rounded Corners 10">
              <a:extLst>
                <a:ext uri="{FF2B5EF4-FFF2-40B4-BE49-F238E27FC236}">
                  <a16:creationId xmlns:a16="http://schemas.microsoft.com/office/drawing/2014/main" id="{9598E56D-5EB6-4A0F-A1E5-EF9519C0B143}"/>
                </a:ext>
              </a:extLst>
            </xdr:cNvPr>
            <xdr:cNvSpPr/>
          </xdr:nvSpPr>
          <xdr:spPr>
            <a:xfrm>
              <a:off x="1797050" y="3378200"/>
              <a:ext cx="336550" cy="1905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36" name="Rectangle: Rounded Corners 11">
              <a:extLst>
                <a:ext uri="{FF2B5EF4-FFF2-40B4-BE49-F238E27FC236}">
                  <a16:creationId xmlns:a16="http://schemas.microsoft.com/office/drawing/2014/main" id="{7CF2B2A3-DAEF-43D1-8636-3779EA529909}"/>
                </a:ext>
              </a:extLst>
            </xdr:cNvPr>
            <xdr:cNvSpPr/>
          </xdr:nvSpPr>
          <xdr:spPr>
            <a:xfrm>
              <a:off x="2346154" y="3530600"/>
              <a:ext cx="336550" cy="2222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50</a:t>
              </a:r>
            </a:p>
          </xdr:txBody>
        </xdr:sp>
        <xdr:sp macro="" textlink="">
          <xdr:nvSpPr>
            <xdr:cNvPr id="37" name="Rectangle: Rounded Corners 12">
              <a:extLst>
                <a:ext uri="{FF2B5EF4-FFF2-40B4-BE49-F238E27FC236}">
                  <a16:creationId xmlns:a16="http://schemas.microsoft.com/office/drawing/2014/main" id="{1543D32A-CF0F-4BE3-A2C2-4075548FF303}"/>
                </a:ext>
              </a:extLst>
            </xdr:cNvPr>
            <xdr:cNvSpPr/>
          </xdr:nvSpPr>
          <xdr:spPr>
            <a:xfrm>
              <a:off x="2266950" y="2152650"/>
              <a:ext cx="374650" cy="2730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50</a:t>
              </a:r>
            </a:p>
          </xdr:txBody>
        </xdr:sp>
        <xdr:sp macro="" textlink="">
          <xdr:nvSpPr>
            <xdr:cNvPr id="38" name="Rectangle: Rounded Corners 13">
              <a:extLst>
                <a:ext uri="{FF2B5EF4-FFF2-40B4-BE49-F238E27FC236}">
                  <a16:creationId xmlns:a16="http://schemas.microsoft.com/office/drawing/2014/main" id="{8201C396-9AFC-4931-951B-0118F7A3B1F5}"/>
                </a:ext>
              </a:extLst>
            </xdr:cNvPr>
            <xdr:cNvSpPr/>
          </xdr:nvSpPr>
          <xdr:spPr>
            <a:xfrm>
              <a:off x="1720850" y="2686050"/>
              <a:ext cx="336550" cy="215364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60</a:t>
              </a:r>
            </a:p>
          </xdr:txBody>
        </xdr:sp>
        <xdr:sp macro="" textlink="">
          <xdr:nvSpPr>
            <xdr:cNvPr id="39" name="Rectangle: Rounded Corners 14">
              <a:extLst>
                <a:ext uri="{FF2B5EF4-FFF2-40B4-BE49-F238E27FC236}">
                  <a16:creationId xmlns:a16="http://schemas.microsoft.com/office/drawing/2014/main" id="{92884C28-2052-46F7-8BBA-E1F2895D4033}"/>
                </a:ext>
              </a:extLst>
            </xdr:cNvPr>
            <xdr:cNvSpPr/>
          </xdr:nvSpPr>
          <xdr:spPr>
            <a:xfrm>
              <a:off x="831850" y="2108200"/>
              <a:ext cx="336550" cy="2286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55</a:t>
              </a:r>
            </a:p>
          </xdr:txBody>
        </xdr:sp>
        <xdr:sp macro="" textlink="">
          <xdr:nvSpPr>
            <xdr:cNvPr id="40" name="Rectangle: Rounded Corners 15">
              <a:extLst>
                <a:ext uri="{FF2B5EF4-FFF2-40B4-BE49-F238E27FC236}">
                  <a16:creationId xmlns:a16="http://schemas.microsoft.com/office/drawing/2014/main" id="{F65EA955-7570-42BC-B203-BCDC3E89D41D}"/>
                </a:ext>
              </a:extLst>
            </xdr:cNvPr>
            <xdr:cNvSpPr/>
          </xdr:nvSpPr>
          <xdr:spPr>
            <a:xfrm>
              <a:off x="3257550" y="1657351"/>
              <a:ext cx="336550" cy="213383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41" name="Rectangle: Rounded Corners 16">
              <a:extLst>
                <a:ext uri="{FF2B5EF4-FFF2-40B4-BE49-F238E27FC236}">
                  <a16:creationId xmlns:a16="http://schemas.microsoft.com/office/drawing/2014/main" id="{5C2450AF-A5AD-4993-8F39-2B1C9319C1A1}"/>
                </a:ext>
              </a:extLst>
            </xdr:cNvPr>
            <xdr:cNvSpPr/>
          </xdr:nvSpPr>
          <xdr:spPr>
            <a:xfrm>
              <a:off x="2787650" y="850900"/>
              <a:ext cx="336550" cy="222117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40</a:t>
              </a:r>
            </a:p>
          </xdr:txBody>
        </xdr:sp>
        <xdr:sp macro="" textlink="">
          <xdr:nvSpPr>
            <xdr:cNvPr id="42" name="Rectangle: Rounded Corners 17">
              <a:extLst>
                <a:ext uri="{FF2B5EF4-FFF2-40B4-BE49-F238E27FC236}">
                  <a16:creationId xmlns:a16="http://schemas.microsoft.com/office/drawing/2014/main" id="{62F4A442-6DBC-4F57-99DF-30F7F30A7C68}"/>
                </a:ext>
              </a:extLst>
            </xdr:cNvPr>
            <xdr:cNvSpPr/>
          </xdr:nvSpPr>
          <xdr:spPr>
            <a:xfrm>
              <a:off x="2647950" y="1403350"/>
              <a:ext cx="381000" cy="2667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30</a:t>
              </a:r>
            </a:p>
          </xdr:txBody>
        </xdr:sp>
        <xdr:sp macro="" textlink="">
          <xdr:nvSpPr>
            <xdr:cNvPr id="43" name="Rectangle: Rounded Corners 18">
              <a:extLst>
                <a:ext uri="{FF2B5EF4-FFF2-40B4-BE49-F238E27FC236}">
                  <a16:creationId xmlns:a16="http://schemas.microsoft.com/office/drawing/2014/main" id="{BACFB0C6-9DFE-47EF-B543-F10D430C5339}"/>
                </a:ext>
              </a:extLst>
            </xdr:cNvPr>
            <xdr:cNvSpPr/>
          </xdr:nvSpPr>
          <xdr:spPr>
            <a:xfrm>
              <a:off x="2015213" y="982110"/>
              <a:ext cx="336550" cy="26670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55</a:t>
              </a:r>
            </a:p>
          </xdr:txBody>
        </xdr:sp>
        <xdr:sp macro="" textlink="">
          <xdr:nvSpPr>
            <xdr:cNvPr id="44" name="Rectangle: Rounded Corners 19">
              <a:extLst>
                <a:ext uri="{FF2B5EF4-FFF2-40B4-BE49-F238E27FC236}">
                  <a16:creationId xmlns:a16="http://schemas.microsoft.com/office/drawing/2014/main" id="{25B46563-59B3-4F97-B53E-26F6D0C1A0D9}"/>
                </a:ext>
              </a:extLst>
            </xdr:cNvPr>
            <xdr:cNvSpPr/>
          </xdr:nvSpPr>
          <xdr:spPr>
            <a:xfrm>
              <a:off x="1035050" y="1123951"/>
              <a:ext cx="368300" cy="231445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70</a:t>
              </a:r>
            </a:p>
          </xdr:txBody>
        </xdr:sp>
        <xdr:sp macro="" textlink="">
          <xdr:nvSpPr>
            <xdr:cNvPr id="45" name="Rectangle: Rounded Corners 20">
              <a:extLst>
                <a:ext uri="{FF2B5EF4-FFF2-40B4-BE49-F238E27FC236}">
                  <a16:creationId xmlns:a16="http://schemas.microsoft.com/office/drawing/2014/main" id="{2B5D5C30-4D19-4BBF-ADD1-43326EAD86BD}"/>
                </a:ext>
              </a:extLst>
            </xdr:cNvPr>
            <xdr:cNvSpPr/>
          </xdr:nvSpPr>
          <xdr:spPr>
            <a:xfrm>
              <a:off x="438150" y="800099"/>
              <a:ext cx="380232" cy="216442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60</a:t>
              </a:r>
            </a:p>
          </xdr:txBody>
        </xdr:sp>
        <xdr:sp macro="" textlink="">
          <xdr:nvSpPr>
            <xdr:cNvPr id="46" name="Rectangle: Rounded Corners 21">
              <a:extLst>
                <a:ext uri="{FF2B5EF4-FFF2-40B4-BE49-F238E27FC236}">
                  <a16:creationId xmlns:a16="http://schemas.microsoft.com/office/drawing/2014/main" id="{A5FE14DE-B7A1-43CC-97B5-E2F51C37BDB9}"/>
                </a:ext>
              </a:extLst>
            </xdr:cNvPr>
            <xdr:cNvSpPr/>
          </xdr:nvSpPr>
          <xdr:spPr>
            <a:xfrm>
              <a:off x="882650" y="1485900"/>
              <a:ext cx="336550" cy="234950"/>
            </a:xfrm>
            <a:prstGeom prst="roundRect">
              <a:avLst/>
            </a:prstGeom>
            <a:solidFill>
              <a:srgbClr val="00B0F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bg1"/>
            </a:fontRef>
          </xdr:style>
          <xdr:txBody>
            <a:bodyPr vertOverflow="clip" horzOverflow="clip" lIns="36000" tIns="36000" rIns="36000" bIns="36000" rtlCol="0" anchor="t"/>
            <a:lstStyle/>
            <a:p>
              <a:pPr algn="ctr"/>
              <a:r>
                <a:rPr lang="en-SG" sz="1050" b="1">
                  <a:solidFill>
                    <a:schemeClr val="tx1"/>
                  </a:solidFill>
                </a:rPr>
                <a:t>45</a:t>
              </a:r>
            </a:p>
          </xdr:txBody>
        </xdr:sp>
      </xdr:grpSp>
      <xdr:cxnSp macro="">
        <xdr:nvCxnSpPr>
          <xdr:cNvPr id="47" name="Connector: Curved 3">
            <a:extLst>
              <a:ext uri="{FF2B5EF4-FFF2-40B4-BE49-F238E27FC236}">
                <a16:creationId xmlns:a16="http://schemas.microsoft.com/office/drawing/2014/main" id="{56E56C78-91AC-48E2-9C00-46A3F2312F45}"/>
              </a:ext>
            </a:extLst>
          </xdr:cNvPr>
          <xdr:cNvCxnSpPr/>
        </xdr:nvCxnSpPr>
        <xdr:spPr>
          <a:xfrm rot="10800000">
            <a:off x="2107707" y="3760476"/>
            <a:ext cx="1683014" cy="981526"/>
          </a:xfrm>
          <a:prstGeom prst="curvedConnector2">
            <a:avLst/>
          </a:prstGeom>
          <a:ln w="28575">
            <a:solidFill>
              <a:schemeClr val="tx1">
                <a:lumMod val="75000"/>
                <a:lumOff val="2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Rectangle: Rounded Corners 4">
            <a:extLst>
              <a:ext uri="{FF2B5EF4-FFF2-40B4-BE49-F238E27FC236}">
                <a16:creationId xmlns:a16="http://schemas.microsoft.com/office/drawing/2014/main" id="{F8370AF3-CBB3-4070-AB55-861761A14FEE}"/>
              </a:ext>
            </a:extLst>
          </xdr:cNvPr>
          <xdr:cNvSpPr/>
        </xdr:nvSpPr>
        <xdr:spPr>
          <a:xfrm>
            <a:off x="2660650" y="4502150"/>
            <a:ext cx="353266" cy="209549"/>
          </a:xfrm>
          <a:prstGeom prst="roundRect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lIns="36000" tIns="36000" rIns="36000" bIns="36000" rtlCol="0" anchor="t"/>
          <a:lstStyle/>
          <a:p>
            <a:pPr algn="ctr"/>
            <a:r>
              <a:rPr lang="en-SG" sz="1050" b="1">
                <a:solidFill>
                  <a:schemeClr val="tx1"/>
                </a:solidFill>
              </a:rPr>
              <a:t>60</a:t>
            </a:r>
          </a:p>
        </xdr:txBody>
      </xdr:sp>
    </xdr:grpSp>
    <xdr:clientData/>
  </xdr:twoCellAnchor>
  <xdr:twoCellAnchor editAs="oneCell">
    <xdr:from>
      <xdr:col>0</xdr:col>
      <xdr:colOff>204612</xdr:colOff>
      <xdr:row>29</xdr:row>
      <xdr:rowOff>84668</xdr:rowOff>
    </xdr:from>
    <xdr:to>
      <xdr:col>3</xdr:col>
      <xdr:colOff>429084</xdr:colOff>
      <xdr:row>39</xdr:row>
      <xdr:rowOff>98169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C0F136A-80F3-48FF-838E-08704C31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5334000"/>
          <a:ext cx="2057400" cy="18192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112915</xdr:colOff>
      <xdr:row>32</xdr:row>
      <xdr:rowOff>122382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C020BBCB-4A58-4948-9F41-1A3AA8967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0"/>
          <a:ext cx="5867400" cy="26955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28224</xdr:colOff>
      <xdr:row>28</xdr:row>
      <xdr:rowOff>0</xdr:rowOff>
    </xdr:from>
    <xdr:to>
      <xdr:col>10</xdr:col>
      <xdr:colOff>141139</xdr:colOff>
      <xdr:row>43</xdr:row>
      <xdr:rowOff>122383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33F80FF3-577A-40F4-BC36-FCCFA54F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267450"/>
          <a:ext cx="5867400" cy="26955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10</xdr:col>
      <xdr:colOff>112915</xdr:colOff>
      <xdr:row>36</xdr:row>
      <xdr:rowOff>92191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53045762-4E28-484B-B27C-25047C98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05625"/>
          <a:ext cx="5867400" cy="27146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415077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D5C76-8F6E-4A3D-A9EC-CAB04B57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175" y="0"/>
          <a:ext cx="5067300" cy="1400175"/>
        </a:xfrm>
        <a:prstGeom prst="rect">
          <a:avLst/>
        </a:prstGeom>
      </xdr:spPr>
    </xdr:pic>
    <xdr:clientData/>
  </xdr:twoCellAnchor>
  <xdr:twoCellAnchor editAs="oneCell">
    <xdr:from>
      <xdr:col>8</xdr:col>
      <xdr:colOff>582083</xdr:colOff>
      <xdr:row>6</xdr:row>
      <xdr:rowOff>105834</xdr:rowOff>
    </xdr:from>
    <xdr:to>
      <xdr:col>13</xdr:col>
      <xdr:colOff>447897</xdr:colOff>
      <xdr:row>18</xdr:row>
      <xdr:rowOff>26253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4CC1B16-29E2-476A-898C-B35096CF4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0" y="1314450"/>
          <a:ext cx="5124450" cy="2228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15</xdr:col>
      <xdr:colOff>556061</xdr:colOff>
      <xdr:row>2</xdr:row>
      <xdr:rowOff>89430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8A9F51-DDB8-47A1-9949-562FE139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5" y="0"/>
          <a:ext cx="6038850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13</xdr:col>
      <xdr:colOff>76842</xdr:colOff>
      <xdr:row>10</xdr:row>
      <xdr:rowOff>31943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EAE044E-793F-4C6D-A5A1-69BC9DABC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638175"/>
          <a:ext cx="4343400" cy="1362075"/>
        </a:xfrm>
        <a:prstGeom prst="rect">
          <a:avLst/>
        </a:prstGeom>
      </xdr:spPr>
    </xdr:pic>
    <xdr:clientData/>
  </xdr:twoCellAnchor>
  <xdr:twoCellAnchor editAs="oneCell">
    <xdr:from>
      <xdr:col>6</xdr:col>
      <xdr:colOff>45358</xdr:colOff>
      <xdr:row>10</xdr:row>
      <xdr:rowOff>113393</xdr:rowOff>
    </xdr:from>
    <xdr:to>
      <xdr:col>12</xdr:col>
      <xdr:colOff>566965</xdr:colOff>
      <xdr:row>19</xdr:row>
      <xdr:rowOff>168284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83E1B740-C970-4D57-941D-3BA66C25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0" y="2085975"/>
          <a:ext cx="4181475" cy="189547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476240</xdr:colOff>
      <xdr:row>5</xdr:row>
      <xdr:rowOff>180965</xdr:rowOff>
    </xdr:from>
    <xdr:to>
      <xdr:col>12</xdr:col>
      <xdr:colOff>219421</xdr:colOff>
      <xdr:row>5</xdr:row>
      <xdr:rowOff>181325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5">
              <a:extLst>
                <a:ext uri="{FF2B5EF4-FFF2-40B4-BE49-F238E27FC236}">
                  <a16:creationId xmlns:a16="http://schemas.microsoft.com/office/drawing/2014/main" id="{8B5FBBD8-116B-4B1F-963D-23E9967DC4E1}"/>
                </a:ext>
              </a:extLst>
            </xdr14:cNvPr>
            <xdr14:cNvContentPartPr/>
          </xdr14:nvContentPartPr>
          <xdr14:nvPr macro=""/>
          <xdr14:xfrm>
            <a:off x="10715625" y="1200150"/>
            <a:ext cx="352425" cy="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4" name="Ink 5">
              <a:extLst>
                <a:ext uri="{FF2B5EF4-FFF2-40B4-BE49-F238E27FC236}">
                  <a16:creationId xmlns:a16="http://schemas.microsoft.com/office/drawing/2014/main" id="{8b5fbbd8-116b-4b1f-963d-23e9967dc4e1}"/>
                </a:ext>
              </a:extLst>
            </xdr:cNvPr>
            <xdr:cNvPicPr/>
          </xdr:nvPicPr>
          <xdr:blipFill>
            <a:blip r:embed="rId5"/>
            <a:stretch>
              <a:fillRect/>
            </a:stretch>
          </xdr:blipFill>
          <xdr:spPr>
            <xdr:xfrm>
              <a:off x="10715625" y="1200150"/>
              <a:ext cx="352425" cy="0"/>
            </xdr:xfrm>
            <a:prstGeom prst="rect"/>
          </xdr:spPr>
        </xdr:pic>
      </mc:Fallback>
    </mc:AlternateContent>
    <xdr:clientData/>
  </xdr:twoCellAnchor>
  <xdr:twoCellAnchor editAs="oneCell">
    <xdr:from>
      <xdr:col>15</xdr:col>
      <xdr:colOff>1379484</xdr:colOff>
      <xdr:row>2</xdr:row>
      <xdr:rowOff>65690</xdr:rowOff>
    </xdr:from>
    <xdr:to>
      <xdr:col>19</xdr:col>
      <xdr:colOff>512244</xdr:colOff>
      <xdr:row>9</xdr:row>
      <xdr:rowOff>134210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30458F6-34FB-44B7-9861-B5C51FDC6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58900" y="514350"/>
          <a:ext cx="5010150" cy="1400175"/>
        </a:xfrm>
        <a:prstGeom prst="rect">
          <a:avLst/>
        </a:prstGeom>
      </xdr:spPr>
    </xdr:pic>
    <xdr:clientData/>
  </xdr:twoCellAnchor>
  <xdr:twoCellAnchor editAs="oneCell">
    <xdr:from>
      <xdr:col>16</xdr:col>
      <xdr:colOff>117592</xdr:colOff>
      <xdr:row>9</xdr:row>
      <xdr:rowOff>58796</xdr:rowOff>
    </xdr:from>
    <xdr:to>
      <xdr:col>19</xdr:col>
      <xdr:colOff>587963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D190EBE8-0234-4C4B-BA20-D127F74A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68450" y="1838325"/>
          <a:ext cx="4867275" cy="2152650"/>
        </a:xfrm>
        <a:prstGeom prst="rect">
          <a:avLst/>
        </a:prstGeom>
      </xdr:spPr>
    </xdr:pic>
    <xdr:clientData/>
  </xdr:twoCellAnchor>
  <xdr:twoCellAnchor editAs="oneCell">
    <xdr:from>
      <xdr:col>15</xdr:col>
      <xdr:colOff>295233</xdr:colOff>
      <xdr:row>22</xdr:row>
      <xdr:rowOff>358</xdr:rowOff>
    </xdr:from>
    <xdr:to>
      <xdr:col>19</xdr:col>
      <xdr:colOff>1096817</xdr:colOff>
      <xdr:row>28</xdr:row>
      <xdr:rowOff>155109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FFFD1651-5A6E-49C8-974B-F953291A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3050" y="4514850"/>
          <a:ext cx="6677025" cy="1619250"/>
        </a:xfrm>
        <a:prstGeom prst="rect">
          <a:avLst/>
        </a:prstGeom>
      </xdr:spPr>
    </xdr:pic>
    <xdr:clientData/>
  </xdr:twoCellAnchor>
  <xdr:twoCellAnchor editAs="oneCell">
    <xdr:from>
      <xdr:col>11</xdr:col>
      <xdr:colOff>438825</xdr:colOff>
      <xdr:row>9</xdr:row>
      <xdr:rowOff>44553</xdr:rowOff>
    </xdr:from>
    <xdr:to>
      <xdr:col>12</xdr:col>
      <xdr:colOff>199800</xdr:colOff>
      <xdr:row>9</xdr:row>
      <xdr:rowOff>69033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6">
              <a:extLst>
                <a:ext uri="{FF2B5EF4-FFF2-40B4-BE49-F238E27FC236}">
                  <a16:creationId xmlns:a16="http://schemas.microsoft.com/office/drawing/2014/main" id="{EB1C2710-A325-4188-A266-B92A51233191}"/>
                </a:ext>
              </a:extLst>
            </xdr14:cNvPr>
            <xdr14:cNvContentPartPr/>
          </xdr14:nvContentPartPr>
          <xdr14:nvPr macro=""/>
          <xdr14:xfrm>
            <a:off x="10677525" y="1828800"/>
            <a:ext cx="371475" cy="2857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8" name="Ink 6">
              <a:extLst>
                <a:ext uri="{FF2B5EF4-FFF2-40B4-BE49-F238E27FC236}">
                  <a16:creationId xmlns:a16="http://schemas.microsoft.com/office/drawing/2014/main" id="{eb1c2710-a325-4188-a266-b92a51233191}"/>
                </a:ext>
              </a:extLst>
            </xdr:cNvPr>
            <xdr:cNvPicPr/>
          </xdr:nvPicPr>
          <xdr:blipFill>
            <a:blip r:embed="rId10"/>
            <a:stretch>
              <a:fillRect/>
            </a:stretch>
          </xdr:blipFill>
          <xdr:spPr>
            <xdr:xfrm>
              <a:off x="10677525" y="1828800"/>
              <a:ext cx="371475" cy="28575"/>
            </xdr:xfrm>
            <a:prstGeom prst="rect"/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0</xdr:row>
      <xdr:rowOff>219106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D4F8B-B8F6-4ED9-A07E-ACC640B91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0"/>
          <a:ext cx="365760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14</xdr:col>
      <xdr:colOff>142083</xdr:colOff>
      <xdr:row>7</xdr:row>
      <xdr:rowOff>165575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C2F69D-5461-4AD8-B3EF-9250287D7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257175"/>
          <a:ext cx="4410075" cy="1304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199241</xdr:colOff>
      <xdr:row>19</xdr:row>
      <xdr:rowOff>790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A6F41D-442F-47E9-BAD0-A96772A3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0975" y="1590675"/>
          <a:ext cx="4467225" cy="2181225"/>
        </a:xfrm>
        <a:prstGeom prst="rect">
          <a:avLst/>
        </a:prstGeom>
      </xdr:spPr>
    </xdr:pic>
    <xdr:clientData/>
  </xdr:twoCellAnchor>
  <xdr:twoCellAnchor editAs="oneCell">
    <xdr:from>
      <xdr:col>13</xdr:col>
      <xdr:colOff>27104</xdr:colOff>
      <xdr:row>16</xdr:row>
      <xdr:rowOff>242</xdr:rowOff>
    </xdr:from>
    <xdr:to>
      <xdr:col>13</xdr:col>
      <xdr:colOff>351464</xdr:colOff>
      <xdr:row>16</xdr:row>
      <xdr:rowOff>602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150F7B2-89EC-47E1-8734-43C3C60F0778}"/>
                </a:ext>
              </a:extLst>
            </xdr14:cNvPr>
            <xdr14:cNvContentPartPr/>
          </xdr14:nvContentPartPr>
          <xdr14:nvPr macro=""/>
          <xdr14:xfrm>
            <a:off x="11487150" y="3181350"/>
            <a:ext cx="323850" cy="0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4" name="Ink 4">
              <a:extLst>
                <a:ext uri="{FF2B5EF4-FFF2-40B4-BE49-F238E27FC236}">
                  <a16:creationId xmlns:a16="http://schemas.microsoft.com/office/drawing/2014/main" id="{d150f7b2-89ec-47e1-8734-43c3c60f0778}"/>
                </a:ext>
              </a:extLst>
            </xdr:cNvPr>
            <xdr:cNvPicPr/>
          </xdr:nvPicPr>
          <xdr:blipFill>
            <a:blip r:embed="rId5"/>
            <a:stretch>
              <a:fillRect/>
            </a:stretch>
          </xdr:blipFill>
          <xdr:spPr>
            <xdr:xfrm>
              <a:off x="11487150" y="3181350"/>
              <a:ext cx="323850" cy="0"/>
            </xdr:xfrm>
            <a:prstGeom prst="rect"/>
          </xdr:spPr>
        </xdr:pic>
      </mc:Fallback>
    </mc:AlternateContent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304800</xdr:colOff>
      <xdr:row>23</xdr:row>
      <xdr:rowOff>6350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4EA01A7-398B-407A-8C2B-5A690794421E}"/>
            </a:ext>
          </a:extLst>
        </xdr:cNvPr>
        <xdr:cNvSpPr>
          <a:spLocks noChangeAspect="1" noChangeArrowheads="1"/>
        </xdr:cNvSpPr>
      </xdr:nvSpPr>
      <xdr:spPr>
        <a:xfrm>
          <a:off x="15116175" y="44767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15</xdr:col>
      <xdr:colOff>135106</xdr:colOff>
      <xdr:row>20</xdr:row>
      <xdr:rowOff>40533</xdr:rowOff>
    </xdr:from>
    <xdr:to>
      <xdr:col>26</xdr:col>
      <xdr:colOff>405319</xdr:colOff>
      <xdr:row>27</xdr:row>
      <xdr:rowOff>5484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4801425C-F6EA-4621-B991-D1671446C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11125" y="3990975"/>
          <a:ext cx="6972300" cy="1695450"/>
        </a:xfrm>
        <a:prstGeom prst="rect">
          <a:avLst/>
        </a:prstGeom>
      </xdr:spPr>
    </xdr:pic>
    <xdr:clientData/>
  </xdr:twoCellAnchor>
  <xdr:twoCellAnchor editAs="oneCell">
    <xdr:from>
      <xdr:col>18</xdr:col>
      <xdr:colOff>40532</xdr:colOff>
      <xdr:row>0</xdr:row>
      <xdr:rowOff>0</xdr:rowOff>
    </xdr:from>
    <xdr:to>
      <xdr:col>26</xdr:col>
      <xdr:colOff>270111</xdr:colOff>
      <xdr:row>6</xdr:row>
      <xdr:rowOff>172429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7387B7A6-E2FE-427A-A768-E63B7F5D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4675" y="0"/>
          <a:ext cx="5105400" cy="1381125"/>
        </a:xfrm>
        <a:prstGeom prst="rect">
          <a:avLst/>
        </a:prstGeom>
      </xdr:spPr>
    </xdr:pic>
    <xdr:clientData/>
  </xdr:twoCellAnchor>
  <xdr:twoCellAnchor editAs="oneCell">
    <xdr:from>
      <xdr:col>18</xdr:col>
      <xdr:colOff>325731</xdr:colOff>
      <xdr:row>6</xdr:row>
      <xdr:rowOff>97015</xdr:rowOff>
    </xdr:from>
    <xdr:to>
      <xdr:col>26</xdr:col>
      <xdr:colOff>345830</xdr:colOff>
      <xdr:row>17</xdr:row>
      <xdr:rowOff>14336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ED878B-31A8-4594-9501-CBE6CD119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30425" y="1304925"/>
          <a:ext cx="4895850" cy="2066925"/>
        </a:xfrm>
        <a:prstGeom prst="rect">
          <a:avLst/>
        </a:prstGeom>
      </xdr:spPr>
    </xdr:pic>
    <xdr:clientData/>
  </xdr:twoCellAnchor>
  <xdr:twoCellAnchor editAs="oneCell">
    <xdr:from>
      <xdr:col>12</xdr:col>
      <xdr:colOff>634384</xdr:colOff>
      <xdr:row>18</xdr:row>
      <xdr:rowOff>67412</xdr:rowOff>
    </xdr:from>
    <xdr:to>
      <xdr:col>13</xdr:col>
      <xdr:colOff>330944</xdr:colOff>
      <xdr:row>18</xdr:row>
      <xdr:rowOff>81452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E9E4176-AB30-45D9-8184-4A3B57646631}"/>
                </a:ext>
              </a:extLst>
            </xdr14:cNvPr>
            <xdr14:cNvContentPartPr/>
          </xdr14:nvContentPartPr>
          <xdr14:nvPr macro=""/>
          <xdr14:xfrm>
            <a:off x="11458575" y="3657600"/>
            <a:ext cx="333375" cy="9525"/>
          </xdr14:xfrm>
        </xdr:contentPart>
      </mc:Choice>
      <mc:Fallback xmlns="" xmlns:r="http://schemas.openxmlformats.org/officeDocument/2006/relationships" xmlns:a14="http://schemas.microsoft.com/office/drawing/2010/main">
        <xdr:pic>
          <xdr:nvPicPr>
            <xdr:cNvPr id="9" name="Ink 9">
              <a:extLst>
                <a:ext uri="{FF2B5EF4-FFF2-40B4-BE49-F238E27FC236}">
                  <a16:creationId xmlns:a16="http://schemas.microsoft.com/office/drawing/2014/main" id="{3e9e4176-ab30-45d9-8184-4a3b57646631}"/>
                </a:ext>
              </a:extLst>
            </xdr:cNvPr>
            <xdr:cNvPicPr/>
          </xdr:nvPicPr>
          <xdr:blipFill>
            <a:blip r:embed="rId10"/>
            <a:stretch>
              <a:fillRect/>
            </a:stretch>
          </xdr:blipFill>
          <xdr:spPr>
            <xdr:xfrm>
              <a:off x="11458575" y="3657600"/>
              <a:ext cx="333375" cy="9525"/>
            </xdr:xfrm>
            <a:prstGeom prst="rect"/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484860</xdr:colOff>
      <xdr:row>34</xdr:row>
      <xdr:rowOff>3995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9C1C65-927C-4ABA-93AA-3143FBF14C3A}"/>
            </a:ext>
          </a:extLst>
        </xdr:cNvPr>
        <xdr:cNvGrpSpPr>
          <a:grpSpLocks/>
        </xdr:cNvGrpSpPr>
      </xdr:nvGrpSpPr>
      <xdr:grpSpPr>
        <a:xfrm>
          <a:off x="0" y="0"/>
          <a:ext cx="5954931" cy="6172566"/>
          <a:chOff x="6567841" y="148167"/>
          <a:chExt cx="5957653" cy="625035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7E761CB-5CB6-446F-B9EB-818D50794B92}"/>
              </a:ext>
            </a:extLst>
          </xdr:cNvPr>
          <xdr:cNvGrpSpPr>
            <a:grpSpLocks/>
          </xdr:cNvGrpSpPr>
        </xdr:nvGrpSpPr>
        <xdr:grpSpPr>
          <a:xfrm>
            <a:off x="6567841" y="148167"/>
            <a:ext cx="5957653" cy="6250354"/>
            <a:chOff x="7135064" y="118205"/>
            <a:chExt cx="5965635" cy="6181540"/>
          </a:xfrm>
        </xdr:grpSpPr>
        <xdr:grpSp>
          <xdr:nvGrpSpPr>
            <xdr:cNvPr id="4" name="Group 4">
              <a:extLst>
                <a:ext uri="{FF2B5EF4-FFF2-40B4-BE49-F238E27FC236}">
                  <a16:creationId xmlns:a16="http://schemas.microsoft.com/office/drawing/2014/main" id="{6C30C585-D75A-40C3-B3E8-C2277998B242}"/>
                </a:ext>
              </a:extLst>
            </xdr:cNvPr>
            <xdr:cNvGrpSpPr>
              <a:grpSpLocks/>
            </xdr:cNvGrpSpPr>
          </xdr:nvGrpSpPr>
          <xdr:grpSpPr>
            <a:xfrm>
              <a:off x="7135064" y="118205"/>
              <a:ext cx="5965635" cy="6181540"/>
              <a:chOff x="7149176" y="125260"/>
              <a:chExt cx="5965635" cy="6181540"/>
            </a:xfrm>
          </xdr:grpSpPr>
          <xdr:sp macro="" textlink="">
            <xdr:nvSpPr>
              <xdr:cNvPr id="5" name="TextBox 6">
                <a:extLst>
                  <a:ext uri="{FF2B5EF4-FFF2-40B4-BE49-F238E27FC236}">
                    <a16:creationId xmlns:a16="http://schemas.microsoft.com/office/drawing/2014/main" id="{B4CA5B3E-F29A-4471-9256-488EB5AEA81A}"/>
                  </a:ext>
                </a:extLst>
              </xdr:cNvPr>
              <xdr:cNvSpPr txBox="1"/>
            </xdr:nvSpPr>
            <xdr:spPr>
              <a:xfrm rot="2592352">
                <a:off x="7494955" y="1633292"/>
                <a:ext cx="1226534" cy="342351"/>
              </a:xfrm>
              <a:prstGeom prst="rect">
                <a:avLst/>
              </a:prstGeom>
              <a:noFill/>
            </xdr:spPr>
            <xdr:style>
              <a:lnRef idx="0">
                <a:srgbClr val="000000"/>
              </a:lnRef>
              <a:fillRef idx="0">
                <a:srgbClr val="000000"/>
              </a:fillRef>
              <a:effectRef idx="0">
                <a:srgbClr val="00000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noAutofit/>
              </a:bodyPr>
              <a:lstStyle/>
              <a:p>
                <a:r>
                  <a:rPr lang="en-GB" sz="1400">
                    <a:solidFill>
                      <a:schemeClr val="tx1"/>
                    </a:solidFill>
                  </a:rPr>
                  <a:t>(u59 = 200)</a:t>
                </a:r>
              </a:p>
            </xdr:txBody>
          </xdr:sp>
          <xdr:grpSp>
            <xdr:nvGrpSpPr>
              <xdr:cNvPr id="6" name="Group 7">
                <a:extLst>
                  <a:ext uri="{FF2B5EF4-FFF2-40B4-BE49-F238E27FC236}">
                    <a16:creationId xmlns:a16="http://schemas.microsoft.com/office/drawing/2014/main" id="{6D545316-1D7B-4FE5-A1C8-6E3E180AD42E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7149176" y="125260"/>
                <a:ext cx="5965635" cy="6181540"/>
                <a:chOff x="7149176" y="125260"/>
                <a:chExt cx="5965635" cy="6181540"/>
              </a:xfrm>
            </xdr:grpSpPr>
            <xdr:grpSp>
              <xdr:nvGrpSpPr>
                <xdr:cNvPr id="7" name="Group 8">
                  <a:extLst>
                    <a:ext uri="{FF2B5EF4-FFF2-40B4-BE49-F238E27FC236}">
                      <a16:creationId xmlns:a16="http://schemas.microsoft.com/office/drawing/2014/main" id="{1116DA25-21FC-4F03-843D-1F192A1B3779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7149176" y="125260"/>
                  <a:ext cx="5965635" cy="6181540"/>
                  <a:chOff x="7119004" y="155720"/>
                  <a:chExt cx="6020501" cy="5847692"/>
                </a:xfrm>
              </xdr:grpSpPr>
              <xdr:grpSp>
                <xdr:nvGrpSpPr>
                  <xdr:cNvPr id="8" name="Group 10">
                    <a:extLst>
                      <a:ext uri="{FF2B5EF4-FFF2-40B4-BE49-F238E27FC236}">
                        <a16:creationId xmlns:a16="http://schemas.microsoft.com/office/drawing/2014/main" id="{A5A2A05B-25CB-439F-A9B4-7C5DDD829791}"/>
                      </a:ext>
                    </a:extLst>
                  </xdr:cNvPr>
                  <xdr:cNvGrpSpPr>
                    <a:grpSpLocks/>
                  </xdr:cNvGrpSpPr>
                </xdr:nvGrpSpPr>
                <xdr:grpSpPr>
                  <a:xfrm>
                    <a:off x="7119004" y="155720"/>
                    <a:ext cx="6020501" cy="5847692"/>
                    <a:chOff x="7281281" y="127497"/>
                    <a:chExt cx="6020501" cy="5847692"/>
                  </a:xfrm>
                </xdr:grpSpPr>
                <xdr:grpSp>
                  <xdr:nvGrpSpPr>
                    <xdr:cNvPr id="9" name="Group 12">
                      <a:extLst>
                        <a:ext uri="{FF2B5EF4-FFF2-40B4-BE49-F238E27FC236}">
                          <a16:creationId xmlns:a16="http://schemas.microsoft.com/office/drawing/2014/main" id="{93F2B3D6-7598-4BE7-A386-1A0CB085F69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>
                    <a:xfrm>
                      <a:off x="7281281" y="127497"/>
                      <a:ext cx="6020501" cy="5547227"/>
                      <a:chOff x="6708832" y="423467"/>
                      <a:chExt cx="6028669" cy="5757202"/>
                    </a:xfrm>
                  </xdr:grpSpPr>
                  <xdr:sp macro="" textlink="">
                    <xdr:nvSpPr>
                      <xdr:cNvPr id="10" name="TextBox 14">
                        <a:extLst>
                          <a:ext uri="{FF2B5EF4-FFF2-40B4-BE49-F238E27FC236}">
                            <a16:creationId xmlns:a16="http://schemas.microsoft.com/office/drawing/2014/main" id="{774D8A68-4788-4C3D-AE7D-1E85DDA8A12D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8836547" y="1178378"/>
                        <a:ext cx="425914" cy="324041"/>
                      </a:xfrm>
                      <a:prstGeom prst="rect">
                        <a:avLst/>
                      </a:prstGeom>
                      <a:noFill/>
                    </xdr:spPr>
                    <xdr:style>
                      <a:lnRef idx="0">
                        <a:srgbClr val="000000"/>
                      </a:lnRef>
                      <a:fillRef idx="0">
                        <a:srgbClr val="000000"/>
                      </a:fillRef>
                      <a:effectRef idx="0">
                        <a:srgbClr val="000000"/>
                      </a:effectRef>
                      <a:fontRef idx="minor">
                        <a:schemeClr val="tx1"/>
                      </a:fontRef>
                    </xdr:style>
                    <xdr:txBody>
                      <a:bodyPr vertOverflow="clip" wrap="none" rtlCol="0" anchor="t">
                        <a:noAutofit/>
                      </a:bodyPr>
                      <a:lstStyle/>
                      <a:p>
                        <a:r>
                          <a:rPr lang="en-GB" sz="1400">
                            <a:solidFill>
                              <a:schemeClr val="tx1"/>
                            </a:solidFill>
                          </a:rPr>
                          <a:t>[-300]</a:t>
                        </a:r>
                      </a:p>
                    </xdr:txBody>
                  </xdr:sp>
                  <xdr:sp macro="" textlink="">
                    <xdr:nvSpPr>
                      <xdr:cNvPr id="11" name="Oval 15">
                        <a:extLst>
                          <a:ext uri="{FF2B5EF4-FFF2-40B4-BE49-F238E27FC236}">
                            <a16:creationId xmlns:a16="http://schemas.microsoft.com/office/drawing/2014/main" id="{4ED3F37C-3920-411E-9243-8D59912A01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8445500" y="4621389"/>
                        <a:ext cx="388055" cy="388056"/>
                      </a:xfrm>
                      <a:prstGeom prst="ellipse">
                        <a:avLst/>
                      </a:prstGeom>
                      <a:solidFill>
                        <a:schemeClr val="tx2">
                          <a:lumMod val="40000"/>
                          <a:lumOff val="60000"/>
                        </a:schemeClr>
                      </a:solidFill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bg1"/>
                      </a:fontRef>
                    </xdr:style>
                    <xdr:txBody>
                      <a:bodyPr vertOverflow="clip" rtlCol="0" anchor="ctr"/>
                      <a:lstStyle/>
                      <a:p>
                        <a:pPr algn="ctr"/>
                        <a:r>
                          <a:rPr lang="en-GB" sz="1200">
                            <a:solidFill>
                              <a:srgbClr val="000000"/>
                            </a:solidFill>
                          </a:rPr>
                          <a:t>1</a:t>
                        </a:r>
                      </a:p>
                    </xdr:txBody>
                  </xdr:sp>
                  <xdr:grpSp>
                    <xdr:nvGrpSpPr>
                      <xdr:cNvPr id="12" name="Group 16">
                        <a:extLst>
                          <a:ext uri="{FF2B5EF4-FFF2-40B4-BE49-F238E27FC236}">
                            <a16:creationId xmlns:a16="http://schemas.microsoft.com/office/drawing/2014/main" id="{D1E4D63D-F76B-4DD8-8993-14E1762E53E2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>
                      <a:xfrm>
                        <a:off x="6708832" y="423467"/>
                        <a:ext cx="6028669" cy="5757202"/>
                        <a:chOff x="6708832" y="423467"/>
                        <a:chExt cx="6028669" cy="5757202"/>
                      </a:xfrm>
                    </xdr:grpSpPr>
                    <xdr:sp macro="" textlink="">
                      <xdr:nvSpPr>
                        <xdr:cNvPr id="13" name="TextBox 17">
                          <a:extLst>
                            <a:ext uri="{FF2B5EF4-FFF2-40B4-BE49-F238E27FC236}">
                              <a16:creationId xmlns:a16="http://schemas.microsoft.com/office/drawing/2014/main" id="{1FB3725F-6E29-4321-9B49-24C812E7D25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089161" y="5034412"/>
                          <a:ext cx="456086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14" name="TextBox 18">
                          <a:extLst>
                            <a:ext uri="{FF2B5EF4-FFF2-40B4-BE49-F238E27FC236}">
                              <a16:creationId xmlns:a16="http://schemas.microsoft.com/office/drawing/2014/main" id="{CD015938-AE61-4B0D-BCA9-3CF0B5D49F2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037108" y="4145896"/>
                          <a:ext cx="553778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[0]</a:t>
                          </a:r>
                        </a:p>
                      </xdr:txBody>
                    </xdr:sp>
                    <xdr:sp macro="" textlink="">
                      <xdr:nvSpPr>
                        <xdr:cNvPr id="15" name="TextBox 19">
                          <a:extLst>
                            <a:ext uri="{FF2B5EF4-FFF2-40B4-BE49-F238E27FC236}">
                              <a16:creationId xmlns:a16="http://schemas.microsoft.com/office/drawing/2014/main" id="{4DFCD184-51BD-4819-9F37-1575A0EFEA2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6708832" y="832033"/>
                          <a:ext cx="708132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[-300]</a:t>
                          </a:r>
                        </a:p>
                      </xdr:txBody>
                    </xdr:sp>
                    <xdr:sp macro="" textlink="">
                      <xdr:nvSpPr>
                        <xdr:cNvPr id="16" name="TextBox 20">
                          <a:extLst>
                            <a:ext uri="{FF2B5EF4-FFF2-40B4-BE49-F238E27FC236}">
                              <a16:creationId xmlns:a16="http://schemas.microsoft.com/office/drawing/2014/main" id="{C85C4963-176F-48DB-8D09-F626E1F2F378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493111" y="3141210"/>
                          <a:ext cx="449288" cy="326090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[-500]</a:t>
                          </a:r>
                        </a:p>
                      </xdr:txBody>
                    </xdr:sp>
                    <xdr:sp macro="" textlink="">
                      <xdr:nvSpPr>
                        <xdr:cNvPr id="17" name="TextBox 21">
                          <a:extLst>
                            <a:ext uri="{FF2B5EF4-FFF2-40B4-BE49-F238E27FC236}">
                              <a16:creationId xmlns:a16="http://schemas.microsoft.com/office/drawing/2014/main" id="{D270A347-06C8-4557-80A0-36A39515D24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687350" y="1682848"/>
                          <a:ext cx="405745" cy="311159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18" name="TextBox 22">
                          <a:extLst>
                            <a:ext uri="{FF2B5EF4-FFF2-40B4-BE49-F238E27FC236}">
                              <a16:creationId xmlns:a16="http://schemas.microsoft.com/office/drawing/2014/main" id="{14B3A229-EADE-47D1-8775-5DF8BBF1A34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863076" y="1974725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19" name="TextBox 23">
                          <a:extLst>
                            <a:ext uri="{FF2B5EF4-FFF2-40B4-BE49-F238E27FC236}">
                              <a16:creationId xmlns:a16="http://schemas.microsoft.com/office/drawing/2014/main" id="{40B11AC1-C009-48FE-9300-EBD7C7C5B09A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103488" y="2645395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15</a:t>
                          </a:r>
                        </a:p>
                      </xdr:txBody>
                    </xdr:sp>
                    <xdr:sp macro="" textlink="">
                      <xdr:nvSpPr>
                        <xdr:cNvPr id="20" name="TextBox 24">
                          <a:extLst>
                            <a:ext uri="{FF2B5EF4-FFF2-40B4-BE49-F238E27FC236}">
                              <a16:creationId xmlns:a16="http://schemas.microsoft.com/office/drawing/2014/main" id="{6633FB39-2AD9-4893-A123-81230D196BE5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1501081" y="3230376"/>
                          <a:ext cx="405744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50</a:t>
                          </a:r>
                        </a:p>
                      </xdr:txBody>
                    </xdr:sp>
                    <xdr:sp macro="" textlink="">
                      <xdr:nvSpPr>
                        <xdr:cNvPr id="21" name="TextBox 25">
                          <a:extLst>
                            <a:ext uri="{FF2B5EF4-FFF2-40B4-BE49-F238E27FC236}">
                              <a16:creationId xmlns:a16="http://schemas.microsoft.com/office/drawing/2014/main" id="{EFC17A93-AA7F-4027-BD8A-6C2F8E0DB2A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781081" y="1409239"/>
                          <a:ext cx="4057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30</a:t>
                          </a:r>
                        </a:p>
                      </xdr:txBody>
                    </xdr:sp>
                    <xdr:sp macro="" textlink="">
                      <xdr:nvSpPr>
                        <xdr:cNvPr id="22" name="TextBox 26">
                          <a:extLst>
                            <a:ext uri="{FF2B5EF4-FFF2-40B4-BE49-F238E27FC236}">
                              <a16:creationId xmlns:a16="http://schemas.microsoft.com/office/drawing/2014/main" id="{67B7C3B4-9192-47FF-8094-22553CB28B93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360221" y="1912786"/>
                          <a:ext cx="323633" cy="293428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3" name="TextBox 27">
                          <a:extLst>
                            <a:ext uri="{FF2B5EF4-FFF2-40B4-BE49-F238E27FC236}">
                              <a16:creationId xmlns:a16="http://schemas.microsoft.com/office/drawing/2014/main" id="{A5C90C4A-3DEF-4584-90AA-98AC9EC83972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907460" y="5164369"/>
                          <a:ext cx="392672" cy="342786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4" name="TextBox 28">
                          <a:extLst>
                            <a:ext uri="{FF2B5EF4-FFF2-40B4-BE49-F238E27FC236}">
                              <a16:creationId xmlns:a16="http://schemas.microsoft.com/office/drawing/2014/main" id="{325EB653-D508-4E25-BE3F-B83C7B2127A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0605454" y="2747967"/>
                          <a:ext cx="4057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20</a:t>
                          </a:r>
                        </a:p>
                      </xdr:txBody>
                    </xdr:sp>
                    <xdr:sp macro="" textlink="">
                      <xdr:nvSpPr>
                        <xdr:cNvPr id="25" name="TextBox 29">
                          <a:extLst>
                            <a:ext uri="{FF2B5EF4-FFF2-40B4-BE49-F238E27FC236}">
                              <a16:creationId xmlns:a16="http://schemas.microsoft.com/office/drawing/2014/main" id="{0AEBA2E4-B4BF-4898-B1AD-76D328CFC17B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9477779" y="423467"/>
                          <a:ext cx="750668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[-600]</a:t>
                          </a:r>
                        </a:p>
                      </xdr:txBody>
                    </xdr:sp>
                    <xdr:sp macro="" textlink="">
                      <xdr:nvSpPr>
                        <xdr:cNvPr id="26" name="TextBox 30">
                          <a:extLst>
                            <a:ext uri="{FF2B5EF4-FFF2-40B4-BE49-F238E27FC236}">
                              <a16:creationId xmlns:a16="http://schemas.microsoft.com/office/drawing/2014/main" id="{8D02E0A1-09DB-4754-820C-D05D357893A8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822825" y="4828447"/>
                          <a:ext cx="555572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[1200]</a:t>
                          </a:r>
                        </a:p>
                      </xdr:txBody>
                    </xdr:sp>
                    <xdr:grpSp>
                      <xdr:nvGrpSpPr>
                        <xdr:cNvPr id="27" name="Group 31">
                          <a:extLst>
                            <a:ext uri="{FF2B5EF4-FFF2-40B4-BE49-F238E27FC236}">
                              <a16:creationId xmlns:a16="http://schemas.microsoft.com/office/drawing/2014/main" id="{6AF4A3CF-772C-4EC1-A3A2-B6ECB2329E9F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>
                        <a:xfrm>
                          <a:off x="6829778" y="578556"/>
                          <a:ext cx="5538611" cy="5602113"/>
                          <a:chOff x="6829778" y="578556"/>
                          <a:chExt cx="5538611" cy="5602113"/>
                        </a:xfrm>
                      </xdr:grpSpPr>
                      <xdr:cxnSp macro="">
                        <xdr:nvCxnSpPr>
                          <xdr:cNvPr id="28" name="Straight Arrow Connector 38">
                            <a:extLst>
                              <a:ext uri="{FF2B5EF4-FFF2-40B4-BE49-F238E27FC236}">
                                <a16:creationId xmlns:a16="http://schemas.microsoft.com/office/drawing/2014/main" id="{19B62315-10B1-42D5-AE33-3324063CF47C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 flipV="1">
                            <a:off x="8100427" y="4170481"/>
                            <a:ext cx="401902" cy="507737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9" name="Straight Arrow Connector 39">
                            <a:extLst>
                              <a:ext uri="{FF2B5EF4-FFF2-40B4-BE49-F238E27FC236}">
                                <a16:creationId xmlns:a16="http://schemas.microsoft.com/office/drawing/2014/main" id="{7FA96151-7BFD-41EB-BDD5-80310E2E3958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9397616" y="4451670"/>
                            <a:ext cx="1334268" cy="1397772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0" name="Straight Arrow Connector 40">
                            <a:extLst>
                              <a:ext uri="{FF2B5EF4-FFF2-40B4-BE49-F238E27FC236}">
                                <a16:creationId xmlns:a16="http://schemas.microsoft.com/office/drawing/2014/main" id="{DDAC85CE-62DD-4E70-B1AD-4270F9DE0455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V="1">
                            <a:off x="9631652" y="966612"/>
                            <a:ext cx="588320" cy="1865336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1" name="Straight Arrow Connector 41">
                            <a:extLst>
                              <a:ext uri="{FF2B5EF4-FFF2-40B4-BE49-F238E27FC236}">
                                <a16:creationId xmlns:a16="http://schemas.microsoft.com/office/drawing/2014/main" id="{24984F30-6F17-4A25-8A24-C5402B105A30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11006280" y="2542538"/>
                            <a:ext cx="1012815" cy="1634735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2" name="Straight Arrow Connector 42">
                            <a:extLst>
                              <a:ext uri="{FF2B5EF4-FFF2-40B4-BE49-F238E27FC236}">
                                <a16:creationId xmlns:a16="http://schemas.microsoft.com/office/drawing/2014/main" id="{FD1B659E-A854-4A93-AE05-20CF5D22F823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7239001" y="772584"/>
                            <a:ext cx="2786943" cy="550335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3" name="Straight Arrow Connector 43">
                            <a:extLst>
                              <a:ext uri="{FF2B5EF4-FFF2-40B4-BE49-F238E27FC236}">
                                <a16:creationId xmlns:a16="http://schemas.microsoft.com/office/drawing/2014/main" id="{882E711F-73AA-48AA-BD6D-58FB5BE8813C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9486969" y="909783"/>
                            <a:ext cx="595804" cy="1861203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4" name="Straight Arrow Connector 44">
                            <a:extLst>
                              <a:ext uri="{FF2B5EF4-FFF2-40B4-BE49-F238E27FC236}">
                                <a16:creationId xmlns:a16="http://schemas.microsoft.com/office/drawing/2014/main" id="{B3E76F38-9FF6-4DB0-99C0-ECA813C63CDB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8776726" y="4952616"/>
                            <a:ext cx="346492" cy="896826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none" w="med" len="med"/>
                            <a:tailEnd type="triangl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5" name="Straight Arrow Connector 45">
                            <a:extLst>
                              <a:ext uri="{FF2B5EF4-FFF2-40B4-BE49-F238E27FC236}">
                                <a16:creationId xmlns:a16="http://schemas.microsoft.com/office/drawing/2014/main" id="{12F211B3-6B16-4FA9-A309-4A57910A26B9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8100426" y="3126302"/>
                            <a:ext cx="1241861" cy="774771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6" name="Straight Arrow Connector 46">
                            <a:extLst>
                              <a:ext uri="{FF2B5EF4-FFF2-40B4-BE49-F238E27FC236}">
                                <a16:creationId xmlns:a16="http://schemas.microsoft.com/office/drawing/2014/main" id="{CE6921CF-16F2-4CD9-83C3-E0711CB28AB9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0413998" y="772585"/>
                            <a:ext cx="1605097" cy="1475600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7" name="Straight Arrow Connector 47">
                            <a:extLst>
                              <a:ext uri="{FF2B5EF4-FFF2-40B4-BE49-F238E27FC236}">
                                <a16:creationId xmlns:a16="http://schemas.microsoft.com/office/drawing/2014/main" id="{3A2BBBA7-BE56-41D6-9A72-284F3BCB84F2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7179072" y="1470095"/>
                            <a:ext cx="1084856" cy="886918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38" name="Oval 48">
                            <a:extLst>
                              <a:ext uri="{FF2B5EF4-FFF2-40B4-BE49-F238E27FC236}">
                                <a16:creationId xmlns:a16="http://schemas.microsoft.com/office/drawing/2014/main" id="{197A1FAC-46E1-49E8-B519-5916519AB5F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7775222" y="3845277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4</a:t>
                            </a:r>
                          </a:p>
                        </xdr:txBody>
                      </xdr:sp>
                      <xdr:sp macro="" textlink="">
                        <xdr:nvSpPr>
                          <xdr:cNvPr id="39" name="Oval 49">
                            <a:extLst>
                              <a:ext uri="{FF2B5EF4-FFF2-40B4-BE49-F238E27FC236}">
                                <a16:creationId xmlns:a16="http://schemas.microsoft.com/office/drawing/2014/main" id="{6C28BC84-DF7C-4761-BDC6-4855A1360D5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9066389" y="5792613"/>
                            <a:ext cx="388056" cy="388056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7</a:t>
                            </a:r>
                          </a:p>
                        </xdr:txBody>
                      </xdr:sp>
                      <xdr:sp macro="" textlink="">
                        <xdr:nvSpPr>
                          <xdr:cNvPr id="40" name="Oval 50">
                            <a:extLst>
                              <a:ext uri="{FF2B5EF4-FFF2-40B4-BE49-F238E27FC236}">
                                <a16:creationId xmlns:a16="http://schemas.microsoft.com/office/drawing/2014/main" id="{D752F66E-84C4-4EA6-847E-22EB1A29664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675055" y="4120444"/>
                            <a:ext cx="388055" cy="388056"/>
                          </a:xfrm>
                          <a:prstGeom prst="ellipse">
                            <a:avLst/>
                          </a:prstGeom>
                          <a:solidFill>
                            <a:schemeClr val="accent2">
                              <a:lumMod val="60000"/>
                              <a:lumOff val="4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2</a:t>
                            </a:r>
                          </a:p>
                        </xdr:txBody>
                      </xdr:sp>
                      <xdr:sp macro="" textlink="">
                        <xdr:nvSpPr>
                          <xdr:cNvPr id="41" name="Oval 51">
                            <a:extLst>
                              <a:ext uri="{FF2B5EF4-FFF2-40B4-BE49-F238E27FC236}">
                                <a16:creationId xmlns:a16="http://schemas.microsoft.com/office/drawing/2014/main" id="{4851A830-8B90-49A9-BA8B-7DC6C5FDA35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1959166" y="2187222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10</a:t>
                            </a:r>
                          </a:p>
                        </xdr:txBody>
                      </xdr:sp>
                      <xdr:sp macro="" textlink="">
                        <xdr:nvSpPr>
                          <xdr:cNvPr id="42" name="Oval 52">
                            <a:extLst>
                              <a:ext uri="{FF2B5EF4-FFF2-40B4-BE49-F238E27FC236}">
                                <a16:creationId xmlns:a16="http://schemas.microsoft.com/office/drawing/2014/main" id="{6A3CBCBD-BE1D-4E02-BC3A-00BF40E10482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9282358" y="2770986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8</a:t>
                            </a:r>
                          </a:p>
                        </xdr:txBody>
                      </xdr:sp>
                      <xdr:sp macro="" textlink="">
                        <xdr:nvSpPr>
                          <xdr:cNvPr id="43" name="Oval 53">
                            <a:extLst>
                              <a:ext uri="{FF2B5EF4-FFF2-40B4-BE49-F238E27FC236}">
                                <a16:creationId xmlns:a16="http://schemas.microsoft.com/office/drawing/2014/main" id="{52471ADE-B0EC-4B8B-B8B5-23A2D7DFB6E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6829778" y="1114779"/>
                            <a:ext cx="409223" cy="416279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lIns="0" tIns="0" rIns="0" bIns="0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9</a:t>
                            </a:r>
                          </a:p>
                        </xdr:txBody>
                      </xdr:sp>
                      <xdr:sp macro="" textlink="">
                        <xdr:nvSpPr>
                          <xdr:cNvPr id="44" name="Oval 54">
                            <a:extLst>
                              <a:ext uri="{FF2B5EF4-FFF2-40B4-BE49-F238E27FC236}">
                                <a16:creationId xmlns:a16="http://schemas.microsoft.com/office/drawing/2014/main" id="{6CDFADC8-9B25-423A-81A8-3F08FFF476D9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10025944" y="578556"/>
                            <a:ext cx="388055" cy="388056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3</a:t>
                            </a:r>
                          </a:p>
                        </xdr:txBody>
                      </xdr:sp>
                      <xdr:sp macro="" textlink="">
                        <xdr:nvSpPr>
                          <xdr:cNvPr id="45" name="Oval 55">
                            <a:extLst>
                              <a:ext uri="{FF2B5EF4-FFF2-40B4-BE49-F238E27FC236}">
                                <a16:creationId xmlns:a16="http://schemas.microsoft.com/office/drawing/2014/main" id="{C3EE729E-4F5E-4206-BCDC-B5BF1CBDD9D6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208131" y="2301217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chemeClr val="tx2">
                              <a:lumMod val="40000"/>
                              <a:lumOff val="60000"/>
                            </a:schemeClr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5</a:t>
                            </a:r>
                          </a:p>
                        </xdr:txBody>
                      </xdr:sp>
                      <xdr:sp macro="" textlink="">
                        <xdr:nvSpPr>
                          <xdr:cNvPr id="46" name="Oval 56">
                            <a:extLst>
                              <a:ext uri="{FF2B5EF4-FFF2-40B4-BE49-F238E27FC236}">
                                <a16:creationId xmlns:a16="http://schemas.microsoft.com/office/drawing/2014/main" id="{195EF8CC-2B60-4A44-A931-8247FA43377E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8979761" y="1457460"/>
                            <a:ext cx="381001" cy="381000"/>
                          </a:xfrm>
                          <a:prstGeom prst="ellipse">
                            <a:avLst/>
                          </a:prstGeom>
                          <a:solidFill>
                            <a:srgbClr val="FFFF00"/>
                          </a:solidFill>
                          <a:ln w="12700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bg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r>
                              <a:rPr lang="en-GB" sz="1200">
                                <a:solidFill>
                                  <a:srgbClr val="000000"/>
                                </a:solidFill>
                              </a:rPr>
                              <a:t>6</a:t>
                            </a:r>
                          </a:p>
                        </xdr:txBody>
                      </xdr:sp>
                      <xdr:cxnSp macro="">
                        <xdr:nvCxnSpPr>
                          <xdr:cNvPr id="47" name="Straight Arrow Connector 57">
                            <a:extLst>
                              <a:ext uri="{FF2B5EF4-FFF2-40B4-BE49-F238E27FC236}">
                                <a16:creationId xmlns:a16="http://schemas.microsoft.com/office/drawing/2014/main" id="{F35E0CF3-51E8-402A-BFE8-904019DABCD4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V="1">
                            <a:off x="9691581" y="2395361"/>
                            <a:ext cx="2267585" cy="583764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8" name="Straight Arrow Connector 58">
                            <a:extLst>
                              <a:ext uri="{FF2B5EF4-FFF2-40B4-BE49-F238E27FC236}">
                                <a16:creationId xmlns:a16="http://schemas.microsoft.com/office/drawing/2014/main" id="{F9E05CEF-7532-430B-B818-C6EE176AAEE9}"/>
                              </a:ext>
                            </a:extLst>
                          </xdr:cNvPr>
                          <xdr:cNvCxnSpPr/>
                        </xdr:nvCxnSpPr>
                        <xdr:spPr>
                          <a:xfrm flipH="1">
                            <a:off x="8533336" y="1782665"/>
                            <a:ext cx="502222" cy="574348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49" name="Straight Arrow Connector 59">
                            <a:extLst>
                              <a:ext uri="{FF2B5EF4-FFF2-40B4-BE49-F238E27FC236}">
                                <a16:creationId xmlns:a16="http://schemas.microsoft.com/office/drawing/2014/main" id="{D9D002DE-5568-40D8-A57A-28972A5B102A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7034389" y="1531058"/>
                            <a:ext cx="796629" cy="2370016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chemeClr val="accent1">
                                <a:shade val="95000"/>
                                <a:satMod val="105000"/>
                              </a:schemeClr>
                            </a:solidFill>
                            <a:headEnd type="triangle" w="med" len="med"/>
                            <a:tailEnd type="none" w="med" len="med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sp macro="" textlink="">
                      <xdr:nvSpPr>
                        <xdr:cNvPr id="50" name="TextBox 32">
                          <a:extLst>
                            <a:ext uri="{FF2B5EF4-FFF2-40B4-BE49-F238E27FC236}">
                              <a16:creationId xmlns:a16="http://schemas.microsoft.com/office/drawing/2014/main" id="{571FD488-4D05-4A3D-A012-8160A6410138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008555" y="1912055"/>
                          <a:ext cx="728946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squar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[1000]</a:t>
                          </a:r>
                        </a:p>
                      </xdr:txBody>
                    </xdr:sp>
                    <xdr:sp macro="" textlink="">
                      <xdr:nvSpPr>
                        <xdr:cNvPr id="51" name="TextBox 33">
                          <a:extLst>
                            <a:ext uri="{FF2B5EF4-FFF2-40B4-BE49-F238E27FC236}">
                              <a16:creationId xmlns:a16="http://schemas.microsoft.com/office/drawing/2014/main" id="{F4E6E975-B2CB-49FD-A99D-1FE986C171D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672978" y="2391659"/>
                          <a:ext cx="639663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[800]</a:t>
                          </a:r>
                        </a:p>
                      </xdr:txBody>
                    </xdr:sp>
                    <xdr:sp macro="" textlink="">
                      <xdr:nvSpPr>
                        <xdr:cNvPr id="52" name="TextBox 34">
                          <a:extLst>
                            <a:ext uri="{FF2B5EF4-FFF2-40B4-BE49-F238E27FC236}">
                              <a16:creationId xmlns:a16="http://schemas.microsoft.com/office/drawing/2014/main" id="{ADE29244-892D-4D4C-B80D-45B727F53DF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7221060" y="3838718"/>
                          <a:ext cx="582693" cy="324041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400">
                              <a:solidFill>
                                <a:schemeClr val="tx1"/>
                              </a:solidFill>
                            </a:rPr>
                            <a:t>[-800]</a:t>
                          </a:r>
                        </a:p>
                      </xdr:txBody>
                    </xdr:sp>
                    <xdr:sp macro="" textlink="">
                      <xdr:nvSpPr>
                        <xdr:cNvPr id="53" name="TextBox 35">
                          <a:extLst>
                            <a:ext uri="{FF2B5EF4-FFF2-40B4-BE49-F238E27FC236}">
                              <a16:creationId xmlns:a16="http://schemas.microsoft.com/office/drawing/2014/main" id="{B0D4931C-3F2E-4951-9A7F-3558A60B9F9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440528" y="782338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15</a:t>
                          </a:r>
                        </a:p>
                      </xdr:txBody>
                    </xdr:sp>
                    <xdr:sp macro="" textlink="">
                      <xdr:nvSpPr>
                        <xdr:cNvPr id="54" name="TextBox 36">
                          <a:extLst>
                            <a:ext uri="{FF2B5EF4-FFF2-40B4-BE49-F238E27FC236}">
                              <a16:creationId xmlns:a16="http://schemas.microsoft.com/office/drawing/2014/main" id="{49C7478D-2189-445A-882D-05AECD6AA594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618124" y="2642221"/>
                          <a:ext cx="405745" cy="292906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25</a:t>
                          </a:r>
                        </a:p>
                      </xdr:txBody>
                    </xdr:sp>
                    <xdr:sp macro="" textlink="">
                      <xdr:nvSpPr>
                        <xdr:cNvPr id="55" name="TextBox 37">
                          <a:extLst>
                            <a:ext uri="{FF2B5EF4-FFF2-40B4-BE49-F238E27FC236}">
                              <a16:creationId xmlns:a16="http://schemas.microsoft.com/office/drawing/2014/main" id="{F22660E2-82F0-4E35-8572-678EA5706537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8310029" y="4243760"/>
                          <a:ext cx="405745" cy="35034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rgbClr val="000000"/>
                        </a:lnRef>
                        <a:fillRef idx="0">
                          <a:srgbClr val="000000"/>
                        </a:fillRef>
                        <a:effectRef idx="0">
                          <a:srgbClr val="00000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wrap="none" rtlCol="0" anchor="t">
                          <a:noAutofit/>
                        </a:bodyPr>
                        <a:lstStyle/>
                        <a:p>
                          <a:r>
                            <a:rPr lang="en-GB" sz="1200">
                              <a:solidFill>
                                <a:schemeClr val="tx1"/>
                              </a:solidFill>
                            </a:rPr>
                            <a:t>25</a:t>
                          </a:r>
                        </a:p>
                      </xdr:txBody>
                    </xdr:sp>
                  </xdr:grpSp>
                </xdr:grpSp>
                <xdr:sp macro="" textlink="">
                  <xdr:nvSpPr>
                    <xdr:cNvPr id="56" name="TextBox 13">
                      <a:extLst>
                        <a:ext uri="{FF2B5EF4-FFF2-40B4-BE49-F238E27FC236}">
                          <a16:creationId xmlns:a16="http://schemas.microsoft.com/office/drawing/2014/main" id="{62DEA7D8-7F40-443C-AE44-BFC5B704D180}"/>
                        </a:ext>
                      </a:extLst>
                    </xdr:cNvPr>
                    <xdr:cNvSpPr txBox="1"/>
                  </xdr:nvSpPr>
                  <xdr:spPr>
                    <a:xfrm>
                      <a:off x="9495014" y="5662966"/>
                      <a:ext cx="581904" cy="312223"/>
                    </a:xfrm>
                    <a:prstGeom prst="rect">
                      <a:avLst/>
                    </a:prstGeom>
                    <a:noFill/>
                  </xdr:spPr>
                  <xdr:style>
                    <a:lnRef idx="0">
                      <a:srgbClr val="000000"/>
                    </a:lnRef>
                    <a:fillRef idx="0">
                      <a:srgbClr val="000000"/>
                    </a:fillRef>
                    <a:effectRef idx="0">
                      <a:srgbClr val="000000"/>
                    </a:effectRef>
                    <a:fontRef idx="minor">
                      <a:schemeClr val="tx1"/>
                    </a:fontRef>
                  </xdr:style>
                  <xdr:txBody>
                    <a:bodyPr vertOverflow="clip" wrap="none" rtlCol="0" anchor="t">
                      <a:noAutofit/>
                    </a:bodyPr>
                    <a:lstStyle/>
                    <a:p>
                      <a:r>
                        <a:rPr lang="en-GB" sz="1400">
                          <a:solidFill>
                            <a:schemeClr val="tx1"/>
                          </a:solidFill>
                        </a:rPr>
                        <a:t>[-500]</a:t>
                      </a:r>
                    </a:p>
                  </xdr:txBody>
                </xdr:sp>
              </xdr:grpSp>
              <xdr:sp macro="" textlink="">
                <xdr:nvSpPr>
                  <xdr:cNvPr id="57" name="TextBox 11">
                    <a:extLst>
                      <a:ext uri="{FF2B5EF4-FFF2-40B4-BE49-F238E27FC236}">
                        <a16:creationId xmlns:a16="http://schemas.microsoft.com/office/drawing/2014/main" id="{20C7D23A-D486-4954-813B-9A37AD9964E6}"/>
                      </a:ext>
                    </a:extLst>
                  </xdr:cNvPr>
                  <xdr:cNvSpPr txBox="1"/>
                </xdr:nvSpPr>
                <xdr:spPr>
                  <a:xfrm rot="2743937">
                    <a:off x="11275295" y="1017392"/>
                    <a:ext cx="1059908" cy="375365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rgbClr val="000000"/>
                  </a:lnRef>
                  <a:fillRef idx="0">
                    <a:srgbClr val="000000"/>
                  </a:fillRef>
                  <a:effectRef idx="0">
                    <a:srgbClr val="000000"/>
                  </a:effectRef>
                  <a:fontRef idx="minor">
                    <a:schemeClr val="tx1"/>
                  </a:fontRef>
                </xdr:style>
                <xdr:txBody>
                  <a:bodyPr vertOverflow="clip" wrap="none" rtlCol="0" anchor="t">
                    <a:noAutofit/>
                  </a:bodyPr>
                  <a:lstStyle/>
                  <a:p>
                    <a:r>
                      <a:rPr lang="en-GB" sz="1400">
                        <a:solidFill>
                          <a:schemeClr val="tx1"/>
                        </a:solidFill>
                      </a:rPr>
                      <a:t>(u103 = 500)</a:t>
                    </a:r>
                  </a:p>
                </xdr:txBody>
              </xdr:sp>
            </xdr:grpSp>
            <xdr:cxnSp macro="">
              <xdr:nvCxnSpPr>
                <xdr:cNvPr id="58" name="Straight Arrow Connector 9">
                  <a:extLst>
                    <a:ext uri="{FF2B5EF4-FFF2-40B4-BE49-F238E27FC236}">
                      <a16:creationId xmlns:a16="http://schemas.microsoft.com/office/drawing/2014/main" id="{0D695467-145A-43D4-A95B-2479C3991A54}"/>
                    </a:ext>
                  </a:extLst>
                </xdr:cNvPr>
                <xdr:cNvCxnSpPr/>
              </xdr:nvCxnSpPr>
              <xdr:spPr>
                <a:xfrm flipH="1" flipV="1">
                  <a:off x="9009817" y="2231848"/>
                  <a:ext cx="745280" cy="346537"/>
                </a:xfrm>
                <a:prstGeom prst="straightConnector1">
                  <a:avLst/>
                </a:prstGeom>
                <a:ln w="38100">
                  <a:solidFill>
                    <a:schemeClr val="accent1">
                      <a:shade val="95000"/>
                      <a:satMod val="105000"/>
                    </a:schemeClr>
                  </a:solidFill>
                  <a:headEnd type="triangle" w="med" len="med"/>
                  <a:tailEnd type="none" w="med" len="med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59" name="TextBox 5">
              <a:extLst>
                <a:ext uri="{FF2B5EF4-FFF2-40B4-BE49-F238E27FC236}">
                  <a16:creationId xmlns:a16="http://schemas.microsoft.com/office/drawing/2014/main" id="{4F514C56-2489-42A4-AE73-140ADFE19DF0}"/>
                </a:ext>
              </a:extLst>
            </xdr:cNvPr>
            <xdr:cNvSpPr txBox="1"/>
          </xdr:nvSpPr>
          <xdr:spPr>
            <a:xfrm>
              <a:off x="9145773" y="1776460"/>
              <a:ext cx="405155" cy="337159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GB" sz="1200">
                  <a:solidFill>
                    <a:schemeClr val="tx1"/>
                  </a:solidFill>
                </a:rPr>
                <a:t>20</a:t>
              </a:r>
            </a:p>
          </xdr:txBody>
        </xdr:sp>
      </xdr:grpSp>
      <xdr:sp macro="" textlink="">
        <xdr:nvSpPr>
          <xdr:cNvPr id="60" name="TextBox 3">
            <a:extLst>
              <a:ext uri="{FF2B5EF4-FFF2-40B4-BE49-F238E27FC236}">
                <a16:creationId xmlns:a16="http://schemas.microsoft.com/office/drawing/2014/main" id="{F8A3E2F8-3975-4696-BC65-3D4E09974292}"/>
              </a:ext>
            </a:extLst>
          </xdr:cNvPr>
          <xdr:cNvSpPr txBox="1"/>
        </xdr:nvSpPr>
        <xdr:spPr>
          <a:xfrm>
            <a:off x="8433153" y="3376083"/>
            <a:ext cx="398280" cy="361904"/>
          </a:xfrm>
          <a:prstGeom prst="rect">
            <a:avLst/>
          </a:prstGeom>
          <a:noFill/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GB" sz="1200">
                <a:solidFill>
                  <a:schemeClr val="tx1"/>
                </a:solidFill>
              </a:rPr>
              <a:t>20</a:t>
            </a:r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425620</xdr:colOff>
      <xdr:row>1</xdr:row>
      <xdr:rowOff>70021</xdr:rowOff>
    </xdr:from>
    <xdr:to>
      <xdr:col>12</xdr:col>
      <xdr:colOff>2178538</xdr:colOff>
      <xdr:row>18</xdr:row>
      <xdr:rowOff>48846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EBAEB8C-C17D-41B9-ABE8-DD8E41687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38</xdr:row>
      <xdr:rowOff>42905</xdr:rowOff>
    </xdr:from>
    <xdr:to>
      <xdr:col>5</xdr:col>
      <xdr:colOff>387026</xdr:colOff>
      <xdr:row>58</xdr:row>
      <xdr:rowOff>75587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9413E-702B-2E6A-ED75-09F957F0C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8040"/>
          <a:ext cx="6211167" cy="371526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621109</xdr:colOff>
      <xdr:row>0</xdr:row>
      <xdr:rowOff>248974</xdr:rowOff>
    </xdr:from>
    <xdr:to>
      <xdr:col>10</xdr:col>
      <xdr:colOff>318161</xdr:colOff>
      <xdr:row>17</xdr:row>
      <xdr:rowOff>128059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27A9D1-81E3-47CF-9830-B1BBFCAE0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40968</xdr:rowOff>
    </xdr:from>
    <xdr:to>
      <xdr:col>5</xdr:col>
      <xdr:colOff>156751</xdr:colOff>
      <xdr:row>38</xdr:row>
      <xdr:rowOff>64176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EF33E9-0BBA-300F-B80D-CE387A1B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44274"/>
          <a:ext cx="6230219" cy="337232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0</xdr:row>
      <xdr:rowOff>44450</xdr:rowOff>
    </xdr:from>
    <xdr:to>
      <xdr:col>8</xdr:col>
      <xdr:colOff>38382</xdr:colOff>
      <xdr:row>1</xdr:row>
      <xdr:rowOff>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59F6E-715A-45DF-9AF3-D3C209D7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47625"/>
          <a:ext cx="1905000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556605</xdr:colOff>
      <xdr:row>18</xdr:row>
      <xdr:rowOff>0</xdr:rowOff>
    </xdr:from>
    <xdr:to>
      <xdr:col>7</xdr:col>
      <xdr:colOff>823587</xdr:colOff>
      <xdr:row>19</xdr:row>
      <xdr:rowOff>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008FA6-BF74-409B-AEC5-9909BBCA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2225" y="2905125"/>
          <a:ext cx="1943100" cy="314325"/>
        </a:xfrm>
        <a:prstGeom prst="rect">
          <a:avLst/>
        </a:prstGeom>
      </xdr:spPr>
    </xdr:pic>
    <xdr:clientData/>
  </xdr:twoCellAnchor>
  <xdr:twoCellAnchor>
    <xdr:from>
      <xdr:col>8</xdr:col>
      <xdr:colOff>389192</xdr:colOff>
      <xdr:row>1</xdr:row>
      <xdr:rowOff>32887</xdr:rowOff>
    </xdr:from>
    <xdr:to>
      <xdr:col>13</xdr:col>
      <xdr:colOff>569344</xdr:colOff>
      <xdr:row>18</xdr:row>
      <xdr:rowOff>238047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44444C-2D5B-45D9-9484-A8C22740B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117592</xdr:rowOff>
    </xdr:from>
    <xdr:to>
      <xdr:col>5</xdr:col>
      <xdr:colOff>180308</xdr:colOff>
      <xdr:row>60</xdr:row>
      <xdr:rowOff>97136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19CB1A-E0DD-8AC5-E398-EFED7084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22654"/>
          <a:ext cx="6263765" cy="38992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190311</xdr:colOff>
      <xdr:row>1</xdr:row>
      <xdr:rowOff>63553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6018F-A9D8-49F6-A5F6-8261BCE2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2175" y="0"/>
          <a:ext cx="2019300" cy="381000"/>
        </a:xfrm>
        <a:prstGeom prst="rect">
          <a:avLst/>
        </a:prstGeom>
      </xdr:spPr>
    </xdr:pic>
    <xdr:clientData/>
  </xdr:twoCellAnchor>
  <xdr:twoCellAnchor>
    <xdr:from>
      <xdr:col>5</xdr:col>
      <xdr:colOff>604589</xdr:colOff>
      <xdr:row>1</xdr:row>
      <xdr:rowOff>117321</xdr:rowOff>
    </xdr:from>
    <xdr:to>
      <xdr:col>13</xdr:col>
      <xdr:colOff>566145</xdr:colOff>
      <xdr:row>18</xdr:row>
      <xdr:rowOff>99457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004C033-1D17-42D7-AF49-0F4F7511C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117475</xdr:colOff>
      <xdr:row>11</xdr:row>
      <xdr:rowOff>79375</xdr:rowOff>
    </xdr:from>
    <xdr:to>
      <xdr:col>12</xdr:col>
      <xdr:colOff>422275</xdr:colOff>
      <xdr:row>27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11769-1053-4012-8CFD-14782CC59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144318</xdr:colOff>
      <xdr:row>8</xdr:row>
      <xdr:rowOff>72159</xdr:rowOff>
    </xdr:from>
    <xdr:to>
      <xdr:col>24</xdr:col>
      <xdr:colOff>259570</xdr:colOff>
      <xdr:row>36</xdr:row>
      <xdr:rowOff>21471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8967C0-BBD9-441C-9884-F2AF27D5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400" y="1533525"/>
          <a:ext cx="6819900" cy="47815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621447</xdr:colOff>
      <xdr:row>14</xdr:row>
      <xdr:rowOff>88195</xdr:rowOff>
    </xdr:from>
    <xdr:to>
      <xdr:col>16</xdr:col>
      <xdr:colOff>474486</xdr:colOff>
      <xdr:row>34</xdr:row>
      <xdr:rowOff>11815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5F090-6FA2-48EE-9B2A-35F36DE8A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425" y="2486025"/>
          <a:ext cx="5153025" cy="33813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313967</xdr:colOff>
      <xdr:row>16</xdr:row>
      <xdr:rowOff>133657</xdr:rowOff>
    </xdr:from>
    <xdr:to>
      <xdr:col>25</xdr:col>
      <xdr:colOff>289716</xdr:colOff>
      <xdr:row>47</xdr:row>
      <xdr:rowOff>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714F45-B008-439E-9C30-B735C1C32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8900" y="2876550"/>
          <a:ext cx="7896225" cy="5400675"/>
        </a:xfrm>
        <a:prstGeom prst="rect">
          <a:avLst/>
        </a:prstGeom>
      </xdr:spPr>
    </xdr:pic>
    <xdr:clientData/>
  </xdr:twoCellAnchor>
  <xdr:twoCellAnchor editAs="oneCell">
    <xdr:from>
      <xdr:col>4</xdr:col>
      <xdr:colOff>485996</xdr:colOff>
      <xdr:row>38</xdr:row>
      <xdr:rowOff>38434</xdr:rowOff>
    </xdr:from>
    <xdr:to>
      <xdr:col>11</xdr:col>
      <xdr:colOff>439870</xdr:colOff>
      <xdr:row>57</xdr:row>
      <xdr:rowOff>120508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E5B509-69CB-479A-998F-68F683501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9302" y="6869805"/>
          <a:ext cx="5371858" cy="3390219"/>
        </a:xfrm>
        <a:prstGeom prst="rect">
          <a:avLst/>
        </a:prstGeom>
      </xdr:spPr>
    </xdr:pic>
    <xdr:clientData/>
  </xdr:twoCellAnchor>
  <xdr:twoCellAnchor>
    <xdr:from>
      <xdr:col>14</xdr:col>
      <xdr:colOff>121679</xdr:colOff>
      <xdr:row>0</xdr:row>
      <xdr:rowOff>0</xdr:rowOff>
    </xdr:from>
    <xdr:to>
      <xdr:col>22</xdr:col>
      <xdr:colOff>40317</xdr:colOff>
      <xdr:row>17</xdr:row>
      <xdr:rowOff>141110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E4952C32-4D23-47BA-B416-857C9189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635000</xdr:colOff>
      <xdr:row>21</xdr:row>
      <xdr:rowOff>23519</xdr:rowOff>
    </xdr:from>
    <xdr:to>
      <xdr:col>3</xdr:col>
      <xdr:colOff>1228843</xdr:colOff>
      <xdr:row>21</xdr:row>
      <xdr:rowOff>170510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B5B38BD-645C-4B1E-9276-3CD9DEF398BE}"/>
            </a:ext>
          </a:extLst>
        </xdr:cNvPr>
        <xdr:cNvSpPr/>
      </xdr:nvSpPr>
      <xdr:spPr>
        <a:xfrm>
          <a:off x="3038475" y="3838575"/>
          <a:ext cx="590550" cy="142875"/>
        </a:xfrm>
        <a:prstGeom prst="rect">
          <a:avLst/>
        </a:prstGeom>
        <a:noFill/>
        <a:ln w="2857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1228843</xdr:colOff>
      <xdr:row>18</xdr:row>
      <xdr:rowOff>93211</xdr:rowOff>
    </xdr:from>
    <xdr:to>
      <xdr:col>4</xdr:col>
      <xdr:colOff>1194266</xdr:colOff>
      <xdr:row>21</xdr:row>
      <xdr:rowOff>97015</xdr:rowOff>
    </xdr:to>
    <xdr:cxnSp macro="">
      <xdr:nvCxnSpPr>
        <xdr:cNvPr id="6" name="Straight Arrow Connector 7">
          <a:extLst>
            <a:ext uri="{FF2B5EF4-FFF2-40B4-BE49-F238E27FC236}">
              <a16:creationId xmlns:a16="http://schemas.microsoft.com/office/drawing/2014/main" id="{B176720C-C5C8-4821-8E95-7BCA7D09F307}"/>
            </a:ext>
          </a:extLst>
        </xdr:cNvPr>
        <xdr:cNvCxnSpPr/>
      </xdr:nvCxnSpPr>
      <xdr:spPr>
        <a:xfrm flipV="1">
          <a:off x="3629025" y="3181350"/>
          <a:ext cx="1695450" cy="7334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867433</xdr:colOff>
      <xdr:row>18</xdr:row>
      <xdr:rowOff>110688</xdr:rowOff>
    </xdr:from>
    <xdr:to>
      <xdr:col>6</xdr:col>
      <xdr:colOff>11652</xdr:colOff>
      <xdr:row>21</xdr:row>
      <xdr:rowOff>96368</xdr:rowOff>
    </xdr:to>
    <xdr:cxnSp macro="">
      <xdr:nvCxnSpPr>
        <xdr:cNvPr id="7" name="Straight Arrow Connector 11">
          <a:extLst>
            <a:ext uri="{FF2B5EF4-FFF2-40B4-BE49-F238E27FC236}">
              <a16:creationId xmlns:a16="http://schemas.microsoft.com/office/drawing/2014/main" id="{0C104B39-288E-4EB0-9302-CDF799C860A5}"/>
            </a:ext>
          </a:extLst>
        </xdr:cNvPr>
        <xdr:cNvCxnSpPr/>
      </xdr:nvCxnSpPr>
      <xdr:spPr>
        <a:xfrm flipV="1">
          <a:off x="5038725" y="3200400"/>
          <a:ext cx="1171575" cy="714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273590</xdr:colOff>
      <xdr:row>21</xdr:row>
      <xdr:rowOff>22872</xdr:rowOff>
    </xdr:from>
    <xdr:to>
      <xdr:col>4</xdr:col>
      <xdr:colOff>867433</xdr:colOff>
      <xdr:row>21</xdr:row>
      <xdr:rowOff>169863</xdr:rowOff>
    </xdr:to>
    <xdr:sp macro="" textlink="">
      <xdr:nvSpPr>
        <xdr:cNvPr id="8" name="Rectangle 14">
          <a:extLst>
            <a:ext uri="{FF2B5EF4-FFF2-40B4-BE49-F238E27FC236}">
              <a16:creationId xmlns:a16="http://schemas.microsoft.com/office/drawing/2014/main" id="{812250D5-4AA5-4C09-9336-CC967BAEC695}"/>
            </a:ext>
          </a:extLst>
        </xdr:cNvPr>
        <xdr:cNvSpPr/>
      </xdr:nvSpPr>
      <xdr:spPr>
        <a:xfrm>
          <a:off x="4448175" y="3838575"/>
          <a:ext cx="590550" cy="142875"/>
        </a:xfrm>
        <a:prstGeom prst="rect">
          <a:avLst/>
        </a:prstGeom>
        <a:noFill/>
        <a:ln w="2857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22</xdr:col>
      <xdr:colOff>467319</xdr:colOff>
      <xdr:row>0</xdr:row>
      <xdr:rowOff>59531</xdr:rowOff>
    </xdr:from>
    <xdr:to>
      <xdr:col>29</xdr:col>
      <xdr:colOff>511686</xdr:colOff>
      <xdr:row>15</xdr:row>
      <xdr:rowOff>111196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F86470-902D-43D3-8076-5AB65C528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105833</xdr:rowOff>
    </xdr:from>
    <xdr:to>
      <xdr:col>3</xdr:col>
      <xdr:colOff>1808768</xdr:colOff>
      <xdr:row>66</xdr:row>
      <xdr:rowOff>161626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09CCCE2-C7B0-DD4E-A014-A4464C6490FF}"/>
            </a:ext>
          </a:extLst>
        </xdr:cNvPr>
        <xdr:cNvGrpSpPr/>
      </xdr:nvGrpSpPr>
      <xdr:grpSpPr>
        <a:xfrm>
          <a:off x="0" y="7459543"/>
          <a:ext cx="4328284" cy="4408615"/>
          <a:chOff x="0" y="7459543"/>
          <a:chExt cx="4328284" cy="4408615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93663A7-1ECC-EF5D-BE89-338FBAD171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8225792"/>
            <a:ext cx="4328284" cy="3642366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3FAE397B-86DB-BC94-EA8F-D14D4A540E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0" y="7459543"/>
            <a:ext cx="4071738" cy="768612"/>
          </a:xfrm>
          <a:prstGeom prst="rect">
            <a:avLst/>
          </a:prstGeom>
        </xdr:spPr>
      </xdr:pic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7</xdr:col>
      <xdr:colOff>250825</xdr:colOff>
      <xdr:row>50</xdr:row>
      <xdr:rowOff>63500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B4F0C6-4FA6-46AE-B9B2-E38DF5244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29</xdr:row>
      <xdr:rowOff>292100</xdr:rowOff>
    </xdr:from>
    <xdr:to>
      <xdr:col>13</xdr:col>
      <xdr:colOff>1078442</xdr:colOff>
      <xdr:row>48</xdr:row>
      <xdr:rowOff>180975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FEB585A-59F9-4218-93BF-C7F65AFB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571500</xdr:colOff>
      <xdr:row>50</xdr:row>
      <xdr:rowOff>82550</xdr:rowOff>
    </xdr:from>
    <xdr:to>
      <xdr:col>12</xdr:col>
      <xdr:colOff>921845</xdr:colOff>
      <xdr:row>70</xdr:row>
      <xdr:rowOff>98233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CBDE999-5AC3-4073-AFFC-5EF740442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7</xdr:col>
      <xdr:colOff>231775</xdr:colOff>
      <xdr:row>67</xdr:row>
      <xdr:rowOff>171449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EF8A8742-2219-45F5-B316-1719F307F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71</xdr:row>
      <xdr:rowOff>0</xdr:rowOff>
    </xdr:from>
    <xdr:to>
      <xdr:col>13</xdr:col>
      <xdr:colOff>449792</xdr:colOff>
      <xdr:row>91</xdr:row>
      <xdr:rowOff>176389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7C9C50FC-15AC-4492-A027-D2F7BD1CC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84668</xdr:colOff>
      <xdr:row>25</xdr:row>
      <xdr:rowOff>25401</xdr:rowOff>
    </xdr:from>
    <xdr:to>
      <xdr:col>13</xdr:col>
      <xdr:colOff>0</xdr:colOff>
      <xdr:row>28</xdr:row>
      <xdr:rowOff>28654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4BB12DAA-537A-4A08-A50E-58F264B61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34950" y="5924550"/>
          <a:ext cx="2247900" cy="542925"/>
        </a:xfrm>
        <a:prstGeom prst="rect">
          <a:avLst/>
        </a:prstGeom>
      </xdr:spPr>
    </xdr:pic>
    <xdr:clientData/>
  </xdr:twoCellAnchor>
  <xdr:twoCellAnchor editAs="oneCell">
    <xdr:from>
      <xdr:col>15</xdr:col>
      <xdr:colOff>361803</xdr:colOff>
      <xdr:row>1</xdr:row>
      <xdr:rowOff>679302</xdr:rowOff>
    </xdr:from>
    <xdr:to>
      <xdr:col>19</xdr:col>
      <xdr:colOff>689849</xdr:colOff>
      <xdr:row>2</xdr:row>
      <xdr:rowOff>60711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BC2A54FD-3FCE-4A29-A417-CB660492B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02250" y="857250"/>
          <a:ext cx="5238750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670361</xdr:colOff>
      <xdr:row>76</xdr:row>
      <xdr:rowOff>143542</xdr:rowOff>
    </xdr:from>
    <xdr:to>
      <xdr:col>4</xdr:col>
      <xdr:colOff>729464</xdr:colOff>
      <xdr:row>84</xdr:row>
      <xdr:rowOff>179295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5D0CC12-3D55-D931-4D40-F568B596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3949" y="16332307"/>
          <a:ext cx="3495574" cy="152987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46.83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2871,'89'-1,"105"2,-180 0,1 1,-1 0,0 1,0 0,-1 1,1 0,-1 2,0-1,0 2,0-1,-1 2,0 0,0 0,-1 1,0 0,-1 1,17 20,-10-12,1-2,1 1,1-2,38 23,-33-23,-1 1,-1 1,23 23,-11-5,6 7,52 41,-8-18,151 127,-39-36,-64-55,-94-69,1 1,49 31,-66-49,-1-1</inkml:trace>
  <inkml:trace contextRef="#ctx0" brushRef="#br0" timeOffset="1442.88">24 2523,'1'1,"-1"-1,0 1,0 0,1 0,-1-1,0 1,1 0,-1-1,1 1,-1 0,1-1,-1 1,1-1,0 1,-1-1,1 1,-1-1,1 1,0-1,0 1,-1-1,1 0,0 0,0 1,-1-1,1 0,1 0,26 5,-23-4,79 5,129-5,-101-3,781 2,-852-2,-1-2,0-2,50-13,62-10,448 11,-458 20,628 0,-745-2</inkml:trace>
  <inkml:trace contextRef="#ctx0" brushRef="#br0" timeOffset="2605.62">199 2523,'7'-22,"1"1,1 1,1-1,1 1,18-26,-14 23,121-179,30-49,-96 142,132-158,-126 171,-31 37,3 1,62-56,-60 73,75-46,-78 57,-2-2,61-57,-54 38,95-71,-89 77,56-56,-27 21,-68 66,1 0,0 1,28-13,9-5,-9 5,1 3,54-19,-55 25,-2-3,73-42,-80 37,1 1,1 2,79-30,83-5,-85 25,-65 17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54.27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1701,'41'-1,"-1"-1,54-10,-73 8,0-1,-1-1,0-1,0-1,0 0,21-14,128-90,5-4,46-6,75-47,-49 26,-131 79,-79 44,168-101,-100 62,6-4,173-144,-209 151,114-63,88-27,-121 66,-103 52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3:05:59.38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0,'0'36,"20"632,-11-561,43 343,-29-310,31 144,-43-248,0-9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0:36:26.0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2584,'33'-43,"106"-114,252-316,-33-12,-152 210,108-113,-293 366,300-312,-40 52,-195 195,-50 49</inkml:trace>
  <inkml:trace contextRef="#ctx0" brushRef="#br0" timeOffset="1568.16">186 2863,'3'2,"0"-1,0 1,0-1,0 1,0 0,0 0,-1 0,1 1,-1-1,1 1,-1-1,0 1,3 5,3 2,102 134,-34-40,134 187,-149-203,-15-16,-4 1,-2 2,39 108,-63-145,2-1,2 0,27 36,79 94,-103-138,-2 1,-1 1,-1 2,17 40,-15-29,28 44,21 15,101 115,-70-82,-47-60,-30-44,38 70,-44-64</inkml:trace>
  <inkml:trace contextRef="#ctx0" brushRef="#br0" timeOffset="2974.94">340 2493,'39'0,"11"-1,-1 3,59 8,378 72,92-13,-51-48,-300-17,109 24,-48-2,382-19,-435-8,-206 1</inkml:trace>
  <inkml:trace contextRef="#ctx0" brushRef="#br0" timeOffset="12148.9">2270 34,'-2'0,"2"0,54 2,-31 2,0 1,0 1,30 11,67 35,-33-13,38 9,206 50,139 0,-429-90,555 157,-532-144,130 28,22 8,-116-21,79 26,-31-19,-55-18,-1 4,110 51,-144-54,0-3,2-2,88 19,-62-24,114 6,-157-18,202 28,-118-13,-69-11,34 3,1 5,89 27,106 56,-120-38,207 45,-100-42,-195-45</inkml:trace>
  <inkml:trace contextRef="#ctx0" brushRef="#br0" timeOffset="14698.61">3865 2974,'7'2,"0"-1,0 1,0 0,-1 1,1-1,-1 1,1 1,-1-1,0 1,10 8,0-1,77 57,130 122,-118-97,8 0,-51-44,98 101,26 40,-52-57,36 19,-15-16,-63-32,-63-67,56 52,231 201,-46-57,-235-198,50 64,-64-70,2-1,2-1,0-2,49 39,291 225,-310-238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20:36:46.85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0 600,'45'-2,"73"-14,-3 1,-26 8,143-13,-93 5,-46 7,114-25,170-49,-32 7,261-64,-304 73,-250 56,0 2,58-1,105 7,-196 2,200-16,-92 3,-92 10,0-1,0-2,0-2,44-15,-28 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17.9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508 0 24575,'-3'1'0,"-1"-1"0,1 1 0,0-1 0,0 1 0,-1 0 0,1 1 0,0-1 0,0 0 0,0 1 0,0 0 0,0 0 0,1 0 0,-1 0 0,0 0 0,1 0 0,-1 1 0,-1 2 0,-6 8 0,0 0 0,-11 18 0,8-9 0,-97 153 0,34-51 0,43-67 0,-31 76 0,-18 31 0,63-132-1365,4-5-5461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18.6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35 24575,'0'6'0,"0"14"0,0 6 0,0 2 0,0-1 0,0-2 0,0-2 0,0 1 0,0 0 0,0 0 0,0 1 0,0-2 0,0-5-8191</inkml:trace>
  <inkml:trace contextRef="#ctx0" brushRef="#br0" timeOffset="965.76">181 1 24575,'3'0'0,"6"0"0,7 0 0,5 0 0,-1 0 0,2 0 0,3 0 0,4 0 0,3 0 0,-2 0 0,-2 0 0,-8 0-8191</inkml:trace>
  <inkml:trace contextRef="#ctx0" brushRef="#br0" timeOffset="2721.05">213 1 24575,'-1'57'0,"-1"-30"0,2 0 0,1 0 0,5 33 0,-6-58 0,1 1 0,-1-1 0,0 0 0,1 0 0,0 0 0,-1 1 0,1-1 0,0 0 0,0 1 0,0-1 0,0 0 0,0-1 0,1 1 0,-1 0 0,1 0 0,0-1 0,-1 1 0,2 1 0,-1-2 0,1-1 0,-1 1 0,0-1 0,0 1 0,0-1 0,-1 0 0,1 0 0,1 0 0,-1 0 0,0 0 0,0 0 0,0 0 0,-1-1 0,2 1 0,-1-1 0,0 0 0,0 0 0,0 0 0,2-1 0,16-8 0,-10 3 0,1 2 0,0 0 0,0 1 0,19-5 0,-27 8 0,1 1 0,0 0 0,-1-1 0,0 1 0,1 1 0,0-1 0,-1 1 0,0-1 0,1 1 0,0 0 0,-1 0 0,0 1 0,0-1 0,1 1 0,-1 0 0,0 0 0,-1 0 0,1 0 0,0 0 0,3 4 0,4 5 0,1-1 0,0 1 0,-1 0 0,15 23 0,-23-31 0,0 0 0,0 1 0,0-1 0,0 1 0,-2 0 0,2-1 0,-1 1 0,0 0 0,0 0 0,0 0 0,-1 0 0,0 0 0,1 0 0,-1 0 0,-1 0 0,1 0 0,0 0 0,-1 0 0,-2 7 0,2-8 0,0-1 0,0 1 0,0-1 0,-1 1 0,1-1 0,-1 0 0,0 1 0,0-1 0,0 0 0,0 0 0,0 0 0,0-1 0,0 1 0,-1-1 0,1 1 0,-1-1 0,1 0 0,0 1 0,-1-2 0,-4 2 0,-6 2 0,0-2 0,0 0 0,-14 0 0,5 0 0,-63 4-1365,63-5-5461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2.4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318 1 24575,'-5'7'0,"0"0"0,-1 0 0,0 0 0,0-1 0,-8 7 0,-36 36 0,-65 82 0,16 12-1365,88-128-5461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4.5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68 59 24575,'-4'11'0,"0"0"0,1 0 0,0 0 0,1 1 0,0-1 0,1 1 0,0-1 0,1 1 0,0-1 0,1 1 0,4 21 0,-4-30 0,0 0 0,0 0 0,0 0 0,1 0 0,0 0 0,-1 0 0,1 0 0,0-1 0,1 1 0,-1 0 0,0-1 0,1 0 0,-1 0 0,1 0 0,0 0 0,-1 0 0,1 0 0,0-1 0,0 1 0,0-1 0,1 0 0,-1 0 0,0 0 0,0 0 0,1-1 0,2 1 0,11 1 0,0-1 0,-1-1 0,34-4 0,-38 3 0,-6 0 0,1-1 0,-1 0 0,1 0 0,-1 0 0,0-1 0,0 0 0,0 0 0,0 0 0,0-1 0,-1 0 0,1 0 0,-1 0 0,0-1 0,0 0 0,-1 0 0,0 0 0,0 0 0,0-1 0,0 0 0,-1 1 0,0-1 0,0-1 0,0 1 0,-1 0 0,2-10 0,-2 11 0,-1 1 0,0-1 0,0 0 0,-1 1 0,1-1 0,-1 0 0,0 1 0,-1-1 0,1 0 0,-1 1 0,1-1 0,-2 1 0,1-1 0,0 1 0,-1-1 0,0 1 0,0 0 0,0 0 0,0 0 0,-1 0 0,0 0 0,1 0 0,-1 0 0,-1 1 0,1 0 0,0 0 0,-1 0 0,0 0 0,0 0 0,0 1 0,0-1 0,0 1 0,0 0 0,0 1 0,-1-1 0,1 1 0,-6-2 0,-4 0 0,0 1 0,-1 0 0,1 1 0,-1 0 0,-15 2 0,21-1 0,0 1 0,0 1 0,0-1 0,1 1 0,-1 1 0,1 0 0,-1 0 0,1 1 0,-11 6 0,-43 30-1365,46-29-5461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6.5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1 24575,'0'3'0,"0"4"0,0 6 0,0 8 0,0 5 0,0 8 0,0 4 0,0 1 0,-3 9 0,-1-1 0,1-2 0,0 3 0,3-7 0,3-10-8191</inkml:trace>
  <inkml:trace contextRef="#ctx0" brushRef="#br0" timeOffset="1058.83">258 175 24575,'-2'-1'0,"-5"6"0,-5 9 0,9-6 0,0-1 0,1 1 0,0-1 0,0 1 0,0 0 0,1 0 0,0 12 0,3 57 0,-2-74 0,0-1 0,0 1 0,1-1 0,-1 1 0,1-1 0,-1 1 0,1-1 0,0 0 0,0 1 0,0-1 0,0 0 0,0 0 0,1 0 0,-1 1 0,1-2 0,-1 1 0,1 0 0,0 0 0,-1 0 0,1-1 0,0 1 0,0-1 0,0 1 0,4 1 0,1-1 0,0 0 0,0-1 0,0 1 0,0-1 0,0-1 0,0 1 0,11-2 0,-6 1 0,12 0 0,0-1 0,0-1 0,0-1 0,35-9 0,-54 11 0,1-1 0,0-1 0,-1 1 0,0-1 0,1 0 0,-1 0 0,0-1 0,-1 1 0,1-1 0,4-4 0,-6 4 0,-1 1 0,1-1 0,-1 1 0,0-1 0,0 0 0,0 0 0,0 0 0,-1 0 0,1 0 0,-1 0 0,0-1 0,-1 1 0,1 0 0,-1 0 0,0-8 0,0 5 0,0 0 0,-1 0 0,0 0 0,0 0 0,-1 0 0,0 0 0,0 0 0,-1 1 0,0-1 0,0 1 0,0-1 0,-1 1 0,0 0 0,0 0 0,-1 1 0,1-1 0,-1 1 0,0 0 0,-1 0 0,1 1 0,-1 0 0,0 0 0,0 0 0,0 0 0,-1 1 0,1 0 0,-1 1 0,-10-4 0,-10 0 40,0 2 0,-41-3 0,55 6-226,0 1 1,0 1-1,0 0 0,1 1 1,-1 1-1,0 0 1,-17 6-1,12-1-6640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0:35.3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417 76 24575,'0'0'-8191</inkml:trace>
  <inkml:trace contextRef="#ctx0" brushRef="#br0" timeOffset="507.91">452 7 24575,'0'0'0,"0"0"0,0-1 0,0 1 0,0 0 0,0-1 0,-1 1 0,1 0 0,0 0 0,0-1 0,0 1 0,0 0 0,0 0 0,-1-1 0,1 1 0,0 0 0,0 0 0,0-1 0,-1 1 0,1 0 0,0 0 0,0 0 0,-1 0 0,1-1 0,0 1 0,-1 0 0,1 0 0,0 0 0,0 0 0,-1 0 0,1 0 0,0 0 0,-1 0 0,1 0 0,0 0 0,-1 0 0,1 0 0,-14 2 0,12-2 0,-7 2 0,-1 1 0,1 1 0,-1-1 0,1 2 0,0-1 0,1 1 0,-1 1 0,-15 11 0,-58 61 0,74-70 0,-53 49 0,29-27 0,-30 34 0,43-40-60,12-14-201,-1 0 0,-1 0 0,0-1 0,-11 9 0,6-8-6565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543 615 24575,'-3'-3'0,"-16"-1"0,-8 6 0,-8 6 0,-10 13 0,-3 7 0,1 3 0,2 7 0,2-2 0,7 0 0,3 0 0,-3 5 0,4-1 0,2-4 0,5-6 0,3-7 0,5-9-8191</inkml:trace>
  <inkml:trace contextRef="#ctx0" brushRef="#br0" timeOffset="1112.58">246 196 24575,'7'-8'0,"0"-1"0,11-16 0,-13 16 0,2 0 0,-1 0 0,15-13 0,-19 20 0,0 0 0,0 0 0,0 1 0,0-1 0,1 1 0,-1 0 0,1 0 0,-1 0 0,0 0 0,1 0 0,0 0 0,-1 0 0,1 1 0,-1 0 0,1-1 0,0 1 0,-1 0 0,1 0 0,0 0 0,2 1 0,0 1 0,-1-1 0,0 1 0,0 0 0,0 1 0,0-1 0,-1 0 0,1 1 0,0 0 0,-1 0 0,0 0 0,0 1 0,0-1 0,3 5 0,2 3 0,0 0 0,-2 0 0,8 16 0,-12-23 0,0 1 0,0-1 0,-1 1 0,1 0 0,-1 0 0,0 0 0,-1-1 0,1 1 0,-1 0 0,0 0 0,-1 0 0,1 0 0,-1 0 0,0 0 0,0 0 0,0-1 0,0 1 0,-1 0 0,0-1 0,-3 5 0,-3 5 0,-2-1 0,1 0 0,-2-1 0,-19 19 0,17-17 0,12-13 0,-1 0 0,1 0 0,0 0 0,0 0 0,0 0 0,0 1 0,1-1 0,-1 0 0,0 1 0,0-1 0,1 1 0,-1-1 0,1 1 0,-1 2 0,1-4 0,0 1 0,0 0 0,0-1 0,0 1 0,0-1 0,1 1 0,-1-1 0,0 1 0,0-1 0,1 1 0,-1-1 0,0 1 0,1-1 0,-1 0 0,0 1 0,1-1 0,-1 1 0,1-1 0,-1 0 0,1 1 0,-1-1 0,1 0 0,-1 0 0,1 1 0,-1-1 0,1 0 0,0 0 0,3 1 0,0 0 0,0 0 0,0-1 0,1 0 0,-1 0 0,0 0 0,0 0 0,1-1 0,4 0 0,19-7-1365,-1 0-5461</inkml:trace>
  <inkml:trace contextRef="#ctx0" brushRef="#br0" timeOffset="2364.53">648 74 24575,'-2'3'0,"0"0"0,0 1 0,0-1 0,1 0 0,0 1 0,0 0 0,0-1 0,0 1 0,0 0 0,0 6 0,-1 8 0,-6 16 0,-5 47 0,12-65 0,0 0 0,1 1 0,0-1 0,2 0 0,3 20 0,-4-33 0,-1 0 0,1-1 0,0 1 0,0 0 0,0 0 0,0 0 0,1-1 0,-1 1 0,1-1 0,-1 1 0,1-1 0,0 1 0,0-1 0,0 0 0,1 0 0,-1 0 0,0 0 0,1 0 0,2 1 0,-1-2 0,-1 1 0,1-1 0,0 0 0,0-1 0,-1 1 0,1-1 0,0 1 0,0-1 0,0 0 0,0 0 0,0-1 0,-1 1 0,5-2 0,4-1 0,-1-1 0,0 0 0,0-1 0,0 0 0,-1-1 0,1 0 0,-1 0 0,16-15 0,-17 13 0,-1-2 0,1 1 0,-1-1 0,-1 0 0,0-1 0,0 0 0,-1 0 0,0-1 0,-1 1 0,-1-1 0,0 0 0,0 0 0,-1-1 0,-1 1 0,0-1 0,-1 1 0,0-1 0,0 0 0,-2 0 0,-2-15 0,2 23 0,0 1 0,0-1 0,-1 1 0,1 0 0,-1-1 0,0 1 0,-1 0 0,1 0 0,-1 0 0,1 1 0,-1-1 0,0 1 0,-1-1 0,1 1 0,0 0 0,-1 0 0,0 1 0,0-1 0,-6-3 0,1 2 0,0-1 0,0 1 0,-1 1 0,1 0 0,-1 0 0,0 1 0,1 0 0,-12 0 0,-27 1-1365,28 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0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444 437 24575,'-17'11'0,"1"0"0,1 1 0,-1 0 0,2 1 0,0 1 0,1 0 0,-17 23 0,-153 202 0,123-165 0,15-20-1365,24-32-5461</inkml:trace>
  <inkml:trace contextRef="#ctx0" brushRef="#br0" timeOffset="2021.51">1177 1 24575,'-402'0'0,"400"-1"0,-1 1 0,1 0 0,0 0 0,-1 0 0,1 1 0,-1-1 0,1 1 0,-1-1 0,1 1 0,0 0 0,-1 0 0,1 0 0,0 0 0,0 0 0,0 0 0,0 1 0,0-1 0,-3 3 0,4-2 0,0 0 0,0 0 0,0 1 0,0-1 0,0 0 0,0 1 0,1-1 0,-1 1 0,1-1 0,0 1 0,-1-1 0,1 1 0,0-1 0,1 1 0,-1-1 0,0 1 0,1-1 0,0 3 0,2 11 0,0-1 0,1 0 0,1-1 0,12 27 0,-16-37 0,1-1 0,0 0 0,0 0 0,0 0 0,0 0 0,0 0 0,0-1 0,1 1 0,0-1 0,-1 1 0,1-1 0,0 0 0,0 0 0,0 0 0,0-1 0,1 1 0,-1-1 0,0 1 0,1-1 0,-1 0 0,1-1 0,-1 1 0,1 0 0,-1-1 0,1 0 0,6 0 0,61-12 0,-54 8 0,1 1 0,-1 1 0,1 0 0,-1 1 0,31 3 0,-43-1 0,0 0 0,0 1 0,0 0 0,0 0 0,0 0 0,-1 1 0,1-1 0,-1 1 0,1 0 0,-1 1 0,0-1 0,0 1 0,0-1 0,-1 1 0,1 0 0,-1 1 0,0-1 0,0 1 0,-1-1 0,1 1 0,-1 0 0,0 0 0,2 8 0,-1-6 0,-1 0 0,-1 0 0,1 0 0,-1 0 0,0 0 0,-1 0 0,0 1 0,0-1 0,-1 0 0,1 0 0,-1 0 0,-1 0 0,0 0 0,0 0 0,0 0 0,0-1 0,-5 8 0,4-8 0,-1-1 0,0 1 0,0-1 0,0 0 0,-1-1 0,0 1 0,1-1 0,-2 0 0,1 0 0,0-1 0,-1 1 0,0-1 0,1 0 0,-1-1 0,-7 3 0,-1-2 0,0 0 0,0-1 0,0-1 0,0 0 0,-28-2 0,25 0-1365,2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07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460 18 24575,'-2'0'0,"-8"3"0,-8 13 0,-12 12 0,-11 9 0,-9 8 0,-12 9 0,-1 2 0,7-4 0,11-4 0,9-7 0,8-8 0,9-10-8191</inkml:trace>
  <inkml:trace contextRef="#ctx0" brushRef="#br0" timeOffset="840.37">828 1 24575,'12'0'0,"9"0"0,5 0 0,0 0 0,6 0 0,-1 0 0,-5 0-8191</inkml:trace>
  <inkml:trace contextRef="#ctx0" brushRef="#br0" timeOffset="1827.32">845 1 24575,'-3'4'0,"1"0"0,0 0 0,0 0 0,1 1 0,0-1 0,-1 1 0,1-1 0,1 1 0,-1-1 0,1 1 0,-1-1 0,2 9 0,-2 0 0,1 40 0,1-40 0,0-1 0,-1 1 0,-1 0 0,0-1 0,-1 1 0,-5 16 0,10-37 0,-2 7 0,0-1 0,0 1 0,0-1 0,-1 1 0,1 0 0,1 0 0,-1-1 0,0 1 0,0 0 0,0 0 0,1 0 0,-1 0 0,3-1 0,-2 1 0,0 1 0,1-1 0,-1 1 0,1 0 0,-1 0 0,0 0 0,1 0 0,-1 0 0,1 0 0,-1 1 0,0-1 0,1 1 0,-1-1 0,0 1 0,1 0 0,-1 0 0,0 0 0,0 0 0,0 1 0,2 0 0,6 6 0,0-1 0,14 15 0,-17-15 0,-3-4 0,5 6 0,0-1 0,0 2 0,12 16 0,-18-22 0,-1 0 0,0-1 0,0 1 0,-1 0 0,1 0 0,-1 0 0,0 1 0,0-1 0,0 0 0,-1 0 0,1 1 0,-1-1 0,0 0 0,-1 8 0,-3 7 0,-1-1 0,-1-1 0,0 1 0,-2-1 0,-11 22 0,2-4 0,9-18 0,-36 70 0,39-78 0,0-1 0,-1 1 0,-1-1 0,1 0 0,-1-1 0,-1 1 0,-8 6 0,12-12 0,0 0 0,1-1 0,-1 1 0,0-1 0,0 0 0,0 0 0,0 0 0,0-1 0,0 1 0,0-1 0,0 0 0,0 0 0,0 0 0,0-1 0,0 1 0,0-1 0,0 0 0,0 0 0,-4-3 0,-11-3 0,1 0 0,-26-16 0,35 18 0,-31-18-1365,7 1-5461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1:42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579 6 24575,'-6'1'0,"1"1"0,-1-1 0,1 1 0,-1 1 0,1-1 0,0 1 0,0 0 0,0 0 0,0 0 0,1 0 0,-1 1 0,-5 6 0,3-4 0,-22 20 0,2 1 0,-29 36 0,-46 70 0,49-62 0,3 0-71,-23 28 250,61-85-474,-1-1 1,0 0-1,0 0 1,-24 16-1,16-16-6531</inkml:trace>
  <inkml:trace contextRef="#ctx0" brushRef="#br0" timeOffset="1342.38">1033 6 24575,'-2'1'0,"0"1"0,0-1 0,1 1 0,-1-1 0,0 1 0,0-1 0,1 1 0,-1 0 0,1 0 0,-1 0 0,1 0 0,0 0 0,0 0 0,0 1 0,-1 2 0,-9 39 0,9-32 0,-2 3 0,1 1 0,1-1 0,1 1 0,0 0 0,1 0 0,2 20 0,-1-31 0,0-1 0,0 1 0,0-1 0,1 1 0,-1-1 0,1 1 0,0-1 0,1 0 0,-1 0 0,1 0 0,-1 0 0,1 0 0,0-1 0,1 1 0,-1-1 0,1 0 0,-1 0 0,1 0 0,0 0 0,0-1 0,0 0 0,0 0 0,1 0 0,-1 0 0,6 1 0,10 1 0,-1-1 0,0-1 0,1-1 0,-1-1 0,1-1 0,24-3 0,-38 3 0,0-1 0,0 1 0,-1-1 0,1 0 0,0 0 0,0-1 0,-1 0 0,0 0 0,1 0 0,-1 0 0,0-1 0,0 0 0,-1 0 0,1 0 0,-1-1 0,0 1 0,0-1 0,-1 0 0,5-8 0,-5 8 0,-1 1 0,1-1 0,-1 0 0,0 0 0,-1 0 0,1 0 0,-1 0 0,0 0 0,0 0 0,-1 0 0,0 0 0,1-1 0,-2 1 0,1 0 0,-1 0 0,1 0 0,-1 0 0,-1 0 0,1 0 0,-1 0 0,0 0 0,0 0 0,-4-6 0,4 7 0,-1 1 0,0 0 0,0 0 0,0 0 0,0 0 0,-1 1 0,1-1 0,-1 1 0,1 0 0,-1 0 0,-7-3 0,-49-12 0,12 3 0,23 3-463,-31-18 0,51 26 24,-16-9-6387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24.70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400 1 24575,'-19'22'0,"1"0"0,-24 39 0,23-32 0,-11 18 0,3 0 0,-33 80 0,46-94-195,-1-1 0,-1 0 0,-2-1 0,-2-1 0,0-1 0,-44 48 0,46-61-6631</inkml:trace>
  <inkml:trace contextRef="#ctx0" brushRef="#br0" timeOffset="1343.37">732 175 24575,'-2'16'0,"0"-1"0,-1 0 0,-6 21 0,3-16 0,2 1 0,-4 26 0,8-42 0,-3 26 0,2-1 0,1 0 0,6 47 0,-6-73 0,1 0 0,0 0 0,1-1 0,-1 1 0,1-1 0,-1 1 0,1-1 0,0 0 0,0 0 0,0 0 0,1 0 0,-1 0 0,1 0 0,0 0 0,0-1 0,0 0 0,0 1 0,0-1 0,0 0 0,0 0 0,1-1 0,-1 1 0,1-1 0,-1 0 0,6 2 0,7 0 0,1 0 0,0-2 0,0 1 0,23-3 0,-26 1 0,-5 0 0,0 0 0,0-1 0,0-1 0,0 1 0,0-1 0,0-1 0,-1 0 0,1 0 0,-1-1 0,0 0 0,8-5 0,-11 6 0,0-1 0,0 1 0,0-2 0,-1 1 0,0 0 0,0-1 0,0 0 0,0 0 0,-1 0 0,0 0 0,0 0 0,0-1 0,0 1 0,-1-1 0,0 0 0,0 0 0,1-8 0,5-43 0,-2 1 0,-3-1 0,-4-62 0,1 113 0,-1 1 0,1-1 0,-1 1 0,0 0 0,-1-1 0,1 1 0,-1 0 0,0 0 0,0 0 0,-5-7 0,5 9 0,0 1 0,0-1 0,-1 1 0,1 0 0,-1 0 0,1 0 0,-1 0 0,0 0 0,0 0 0,0 1 0,0-1 0,0 1 0,0 0 0,0 0 0,0 0 0,-1 0 0,1 1 0,-6-1 0,-46-1 0,-97 9 0,130-5-1365,4 2-5461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27.20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651 53 24575,'-3'-2'0,"-2"1"0,1-1 0,0 1 0,0 0 0,0 0 0,-1 0 0,1 1 0,0-1 0,-1 1 0,1 0 0,0 1 0,-1-1 0,1 1 0,0 0 0,0 0 0,-1 0 0,1 0 0,0 1 0,0-1 0,0 1 0,0 0 0,1 1 0,-5 2 0,-9 8 0,0 0 0,1 1 0,-22 26 0,14-16 0,-70 74 0,4 4 0,-80 119 0,104-135-1365,51-65-5461</inkml:trace>
  <inkml:trace contextRef="#ctx0" brushRef="#br0" timeOffset="568.49">1001 0 24575,'0'6'0,"0"5"0,0 7 0,0 11 0,0 8 0,-3 3 0,-1-3 0,0 2 0,-2 3 0,-3 1 0,0-5 0,2-8-8191</inkml:trace>
  <inkml:trace contextRef="#ctx0" brushRef="#br0" timeOffset="1043.08">1088 70 24575,'3'0'0,"4"0"0,4 0 0,6 0 0,2 0 0,8 0 0,8 0 0,1 0 0,-3 0 0,-4 0 0,-6 0-8191</inkml:trace>
  <inkml:trace contextRef="#ctx0" brushRef="#br0" timeOffset="1978.28">1228 70 24575,'-2'0'0,"1"0"0,0 0 0,0 1 0,-1-1 0,1 1 0,0-1 0,0 1 0,-1-1 0,1 1 0,0 0 0,0 0 0,0-1 0,0 1 0,0 0 0,0 0 0,0 0 0,0 0 0,1 0 0,-1 0 0,0 0 0,1 0 0,-1 1 0,0-1 0,1 0 0,-1 2 0,-10 36 0,9-31 0,2-6 0,-2 6 0,0 1 0,0 0 0,1 0 0,0 0 0,1 18 0,1-25 0,-1 0 0,1 1 0,0-1 0,-1 1 0,1-1 0,0 0 0,0 0 0,1 0 0,-1 1 0,0-1 0,1 0 0,-1 0 0,1-1 0,0 1 0,-1 0 0,1-1 0,0 1 0,0-1 0,0 1 0,0-1 0,1 0 0,-1 0 0,0 0 0,0 0 0,1 0 0,3 0 0,37 10 0,-29-8 0,1 1 0,-1 0 0,23 11 0,-32-13 0,0 1 0,-1 0 0,1 0 0,-1 0 0,0 1 0,0-1 0,0 1 0,-1 0 0,1 0 0,-1 0 0,0 1 0,0-1 0,0 1 0,2 7 0,0 0 0,-2 0 0,0 0 0,0 0 0,-1 0 0,-1 0 0,1 18 0,-6 78 0,2-90 0,2-12 0,0 0 0,-1 0 0,0 0 0,-1 0 0,1-1 0,-1 1 0,0 0 0,-1-1 0,1 1 0,-1-1 0,0 0 0,0 0 0,-1 0 0,1 0 0,-1 0 0,-8 6 0,6-6 0,1-1 0,-1-1 0,-1 1 0,1-1 0,0 0 0,-1 0 0,0-1 0,0 0 0,1 0 0,-1 0 0,0-1 0,0 0 0,-13-1 0,-147-5-1365,151 5-5461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36.72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400 1 24575,'-3'3'0,"-7"10"0,-5 2 0,-5 6 0,-6 10 0,-4 3 0,-6 1 0,-3 2 0,3 2 0,1-1 0,3-6 0,5-1 0,1 0 0,1-3 0,3 0 0,4-4-8191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37.34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12 24575,'0'-6'0,"0"1"0,0 5 0,0 7 0,0 7 0,0 6 0,0 3 0,0 6 0,0 4 0,0 0 0,0 3 0,0 1 0,0-3 0,0 0 0,0-1 0,0-3 0,0-7-8191</inkml:trace>
  <inkml:trace contextRef="#ctx0" brushRef="#br0" timeOffset="443.91">192 100 24575,'3'-3'0,"7"-7"0,8-2 0,6 2 0,9-1 0,1 1 0,-2 3 0,-4 2 0,-3 2 0,-6 2-8191</inkml:trace>
  <inkml:trace contextRef="#ctx0" brushRef="#br0" timeOffset="1409.32">262 48 24575,'-8'24'0,"-8"22"0,-10 52 0,2-22 0,24-75 0,0 0 0,-1 0 0,1 0 0,0 0 0,0 0 0,-1 0 0,1 0 0,0 0 0,0 0 0,0 0 0,0 0 0,0 0 0,1 0 0,-1 0 0,0 0 0,0 0 0,1 0 0,-1 0 0,0 0 0,1 0 0,-1 0 0,1 0 0,-1 0 0,1 0 0,0-1 0,-1 1 0,1 0 0,0 0 0,0-1 0,-1 1 0,1-1 0,0 1 0,0 0 0,0-1 0,0 0 0,0 1 0,0-1 0,0 1 0,0-1 0,0 0 0,0 0 0,0 1 0,0-1 0,0 0 0,0 0 0,0 0 0,2-1 0,7 1 0,1 0 0,0-1 0,19-4 0,-16 2 0,40-2 0,73 2 0,-118 3 0,-5 0 0,-1 0 0,0 0 0,0 1 0,1-1 0,-1 1 0,0-1 0,0 1 0,0 0 0,5 2 0,-7-2 0,0 0 0,-1-1 0,1 1 0,0 0 0,0 0 0,-1-1 0,1 1 0,0 0 0,-1 0 0,1 0 0,-1 0 0,1 0 0,-1 0 0,0 0 0,1 0 0,-1 0 0,0 0 0,0 0 0,0 0 0,0 0 0,1 0 0,-1 0 0,-1 0 0,1 0 0,0 0 0,0 0 0,0 0 0,0 0 0,-1 0 0,1 0 0,0 0 0,-1 0 0,0 1 0,-2 6 5,-1 0-1,0-1 1,0 1-1,-1-1 1,1 0 0,-2 0-1,1 0 1,-1-1-1,0 0 1,0 0-1,-1 0 1,0-1-1,0 0 1,0 0-1,0-1 1,-1 0-1,0 0 1,0-1 0,0 0-1,0 0 1,-14 2-1,-12 1-241,-1-1-1,1-3 0,-70-2 1,75 0-278,7-1-6311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2:40.65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383 0 24575,'-19'26'0,"-106"232"0,58-115 0,49-113-227,0 0-1,-2-2 1,-1 0-1,-2-1 1,-34 32-1,43-44-6598</inkml:trace>
  <inkml:trace contextRef="#ctx0" brushRef="#br0" timeOffset="1428.83">785 525 24575,'11'-9'0,"0"-1"0,1 2 0,0-1 0,0 2 0,1 0 0,0 0 0,0 1 0,1 1 0,0 0 0,0 1 0,0 0 0,0 1 0,1 1 0,-1 0 0,18 1 0,-29 1 0,0 0 0,0 0 0,-1 1 0,1 0 0,0-1 0,0 1 0,-1 0 0,1 0 0,-1 0 0,1 1 0,-1-1 0,1 1 0,-1-1 0,0 1 0,1 0 0,-1 0 0,0 0 0,0 0 0,-1 0 0,1 0 0,0 1 0,-1-1 0,1 1 0,-1-1 0,0 1 0,0-1 0,2 6 0,1 6 0,0 1 0,0 0 0,2 26 0,-6-37 0,5 40 0,-2 81 0,-3-122 0,-1 1 0,1-1 0,-1 1 0,1-1 0,-1 0 0,0 1 0,0-1 0,-1 0 0,1 0 0,0 0 0,-1 0 0,0 0 0,0 0 0,0 0 0,0 0 0,0-1 0,-1 1 0,1-1 0,-1 0 0,0 1 0,1-1 0,-1-1 0,-6 4 0,2-2 0,0 0 0,0-1 0,0 0 0,0-1 0,-1 0 0,1 0 0,0 0 0,-1-1 0,1 0 0,-10-1 0,16 1 0,0 0 0,0 0 0,1 0 0,-1 0 0,0 0 0,0-1 0,0 1 0,0 0 0,0 0 0,0-1 0,1 1 0,-1 0 0,0-1 0,0 1 0,0-1 0,1 1 0,-1-1 0,0 1 0,1-1 0,-1 1 0,0-1 0,1 0 0,-2 0 0,2 0 0,0 0 0,0 0 0,0 1 0,1-1 0,-1 0 0,0 0 0,0 1 0,0-1 0,1 0 0,-1 0 0,0 1 0,1-1 0,-1 0 0,0 1 0,1-1 0,-1 0 0,1 1 0,-1-1 0,1 1 0,0-2 0,4-2 0,-1 1 0,1-1 0,0 0 0,0 1 0,10-4 0,-13 6 0,0 0 0,0 0 0,0 0 0,0 1 0,0-1 0,0 1 0,0-1 0,0 1 0,0 0 0,0 0 0,0 0 0,0 0 0,0 0 0,1 0 0,-1 1 0,0-1 0,0 1 0,0 0 0,0-1 0,2 2 0,-2 0 0,0-1 0,0 1 0,0 0 0,-1 0 0,1 0 0,0 0 0,-1 0 0,1 0 0,-1 0 0,0 1 0,0-1 0,0 0 0,0 1 0,1 2 0,1 9 0,-1-1 0,0 0 0,-1 1 0,-1 25 0,-1-14 0,-6 43 0,5-58 0,0-1 0,-1 0 0,0 0 0,0 0 0,-1 0 0,0-1 0,-9 14 0,4-10 15,0 0 0,0-1 0,-1-1 0,-1 1 0,0-1 0,0-1 0,-24 15 0,26-19-129,0 0 0,-1-1-1,1 0 1,-1 0 0,0-1 0,1 0-1,-1-1 1,-1 0 0,1-1 0,0 0-1,0-1 1,-13 0 0,7-2-6712</inkml:trace>
  <inkml:trace contextRef="#ctx0" brushRef="#br0" timeOffset="1940.24">1221 455 24575,'6'-6'0,"20"-2"0,17 1 0,10 1 0,6 1 0,6 0 0,2-1 0,-7 2 0,-15 1-8191</inkml:trace>
  <inkml:trace contextRef="#ctx0" brushRef="#br0" timeOffset="2892.78">1483 420 24575,'-3'4'0,"0"0"0,0 1 0,1-1 0,0 0 0,0 1 0,0-1 0,0 1 0,1 0 0,0-1 0,-1 9 0,-2 3 0,-24 132 0,17-76 0,10-67 0,-1 4 0,1-1 0,0 1 0,0 15 0,1-23 0,0 0 0,0 1 0,0-1 0,0 0 0,0 0 0,0 0 0,0 0 0,1 0 0,-1 0 0,1 1 0,-1-1 0,0 0 0,1 0 0,0 0 0,-1 0 0,1 0 0,-1 0 0,1-1 0,0 1 0,0 0 0,0 0 0,0 0 0,-1-1 0,1 1 0,0 0 0,0-1 0,0 1 0,0-1 0,0 1 0,1-1 0,-1 0 0,0 1 0,0-1 0,0 0 0,0 0 0,2 0 0,26-4 0,-25 3 0,0 0 0,0 1 0,0-1 0,0 1 0,0 0 0,0 0 0,0 0 0,0 0 0,8 2 0,1 3 0,0 0 0,0 0 0,-1 1 0,0 1 0,0 0 0,-1 1 0,12 9 0,4 7 0,38 39 0,-59-56 0,0-1 0,-1 1 0,0 1 0,0-1 0,0 0 0,-1 1 0,-1 0 0,5 12 0,-7-16 0,0-1 0,0 0 0,0 1 0,-1-1 0,0 1 0,0-1 0,0 0 0,0 1 0,0-1 0,-1 1 0,1-1 0,-1 0 0,0 1 0,0-1 0,0 0 0,0 0 0,-1 0 0,1 0 0,-1 0 0,0 0 0,0 0 0,0 0 0,0-1 0,-4 4 0,0 0 0,0-1 0,-1 0 0,0 0 0,0 0 0,-1-1 0,1 0 0,-1 0 0,0-1 0,0 0 0,0 0 0,-14 2 0,15-4 0,1-1 0,0 1 0,-1-1 0,1 0 0,0 0 0,-1-1 0,1 0 0,0 0 0,0 0 0,0-1 0,-1 0 0,2 0 0,-1-1 0,0 0 0,0 0 0,-6-4 0,-19-18-18,-40-40-1,36 31-1309,11 11-5498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3.9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441 1 24575,'0'3'0,"-3"7"0,-7 14 0,-10 26 0,-9 19 0,-7 23 0,-10 15 0,-6 6 0,3-3 0,7-14 0,4-14 0,10-15 0,-4-16 0,2-14 0,5-13-8191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4.44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61 53 24575,'0'9'0,"0"9"0,0 4 0,-5 4 0,-6-2 0,-1 1 0,2 2 0,3 0 0,2-3 0,2-1 0,2-3 0,-2-4 0,-1-5-8191</inkml:trace>
  <inkml:trace contextRef="#ctx0" brushRef="#br0" timeOffset="491.95">411 18 24575,'9'0'0,"6"0"0,9 0 0,6 0 0,5 0 0,2 0 0,0 0 0,-3 0 0,-1 0 0,-3 0 0,-7 0-8191</inkml:trace>
  <inkml:trace contextRef="#ctx0" brushRef="#br0" timeOffset="1444.78">446 0 24575,'-3'1'0,"0"-1"0,0 1 0,1 0 0,-1 0 0,0 0 0,1 0 0,-1 1 0,1-1 0,0 0 0,-1 1 0,1 0 0,0 0 0,0-1 0,0 1 0,0 1 0,0-1 0,0 0 0,1 0 0,-1 1 0,1-1 0,0 1 0,-1-1 0,1 1 0,-1 3 0,-1 3 0,0-1 0,0 1 0,1 0 0,0 0 0,0 0 0,0 12 0,2-19 0,1-1 0,-1 1 0,0-1 0,1 1 0,-1-1 0,1 1 0,0 0 0,-1-1 0,1 0 0,0 1 0,0-1 0,0 1 0,0-1 0,0 0 0,0 0 0,0 0 0,1 1 0,-1-1 0,0 0 0,1-1 0,-1 1 0,0 0 0,1 0 0,-1-1 0,1 1 0,-1 0 0,1-1 0,0 0 0,-1 1 0,3-1 0,8 2 0,-1 0 0,1-1 0,13 0 0,-19-1 0,45-1 0,-26 0 0,37 3 0,-55-1 0,0 0 0,0 1 0,1 0 0,-1 0 0,0 0 0,0 1 0,-1 0 0,1 0 0,9 6 0,71 56 0,-84-62 0,1 1 0,-1 0 0,1 0 0,-1 1 0,0-1 0,-1 1 0,1-1 0,-1 1 0,0 0 0,0 0 0,0 0 0,-1 0 0,0 0 0,0 0 0,0 0 0,0 9 0,-1-8 0,0 0 0,0-1 0,0 1 0,-1-1 0,0 1 0,0-1 0,0 1 0,-1-1 0,0 0 0,0 1 0,0-1 0,0 0 0,-1 0 0,0-1 0,-6 9 0,-1-4 11,1-1 0,-2 0 0,1 0 0,-1-1 0,0-1 0,-1 1-1,1-2 1,-1 0 0,0 0 0,-22 5 0,8-5-308,0 0 0,0-1 0,0-2 0,-35 0 0,40-3-6529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6.9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1028 0 24575,'-9'9'0,"-17"9"0,-11 7 0,-11 14 0,-6 13 0,-12 12 0,-12 4 0,-11 5 0,-5 9 0,-1 1 0,-9 8 0,8-5 0,17-12 0,19-16 0,17-14 0,13-12 0,11-11-8191</inkml:trace>
  <inkml:trace contextRef="#ctx0" brushRef="#br0" timeOffset="1141.08">1325 367 24575,'-1'17'0,"-1"1"0,0-1 0,-8 25 0,-2 16 0,10-44 0,0 0 0,1 0 0,1 1 0,0-1 0,2 14 0,-1-24 0,-1-1 0,1 0 0,0 0 0,0 0 0,0 0 0,0 0 0,0 0 0,1 0 0,-1 0 0,1-1 0,0 1 0,0-1 0,0 1 0,0-1 0,0 1 0,0-1 0,1 0 0,-1 0 0,1 0 0,0-1 0,-1 1 0,1 0 0,0-1 0,0 0 0,0 0 0,0 0 0,0 0 0,5 1 0,4-1 0,0 1 0,0-2 0,0 0 0,0 0 0,0-1 0,0-1 0,0 0 0,0 0 0,0-1 0,-1-1 0,12-4 0,-14 4 0,0 0 0,-1-1 0,1 0 0,-1 0 0,0 0 0,-1-1 0,1-1 0,-1 1 0,-1-1 0,1 0 0,-1-1 0,0 1 0,-1-1 0,7-11 0,-4 0 0,0 0 0,-1 0 0,0-1 0,-2 0 0,0 0 0,-2 0 0,0-1 0,-1 1 0,-2-37 0,0 52 0,-1 0 0,0 0 0,0 0 0,0-1 0,0 1 0,-1 0 0,0 0 0,0 1 0,-1-1 0,1 0 0,-1 1 0,0-1 0,0 1 0,-1 0 0,1 0 0,-1 0 0,0 1 0,0-1 0,0 1 0,-7-4 0,4 3 0,-2 0 0,1 0 0,0 1 0,-1 1 0,1-1 0,-1 1 0,0 1 0,1 0 0,-1 0 0,0 0 0,-13 2 0,10 0-87,-5-1 142,1 1-1,-1 1 1,-16 5-1,28-6-154,1 0 1,-1 1-1,1 0 0,-1 0 0,1 0 1,0 0-1,0 1 0,0 0 0,0 0 1,0 0-1,0 0 0,1 0 0,0 1 1,-6 7-1,-2 8-6726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7T04:53:09.55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1024 0 24575,'-4'7'0,"-1"-1"0,1 0 0,-1 0 0,0 0 0,-1 0 0,1-1 0,-11 7 0,-21 24 0,-210 313 0,123-166 0,19-29 0,-69 96 0,117-175 0,-83 83 0,75-91-1365,40-40-5461</inkml:trace>
  <inkml:trace contextRef="#ctx0" brushRef="#br0" timeOffset="1003.57">1408 524 24575,'3'-7'0,"1"0"0,0 0 0,0 0 0,1 1 0,0-1 0,0 1 0,1 0 0,-1 1 0,1 0 0,0-1 0,1 2 0,-1-1 0,1 1 0,0 0 0,0 0 0,0 1 0,1 0 0,-1 0 0,1 1 0,0 0 0,-1 0 0,1 1 0,13-1 0,-17 2 0,0 0 0,0 0 0,0 0 0,1 1 0,-1-1 0,0 1 0,0 0 0,-1 1 0,1-1 0,0 0 0,0 1 0,-1 0 0,1 0 0,0 0 0,-1 0 0,0 1 0,0-1 0,0 1 0,0 0 0,0 0 0,0 0 0,-1 0 0,1 1 0,-1-1 0,0 1 0,0-1 0,0 1 0,-1 0 0,1-1 0,-1 1 0,0 0 0,1 7 0,2 13 0,-2 0 0,0 0 0,-2 0 0,0 0 0,-2 0 0,-1 0 0,-5 25 0,6-43 0,1 0 0,-1 0 0,0 0 0,0 0 0,-1 0 0,1 0 0,-1 0 0,-1-1 0,1 0 0,-1 1 0,0-1 0,0 0 0,0-1 0,-1 1 0,0-1 0,0 0 0,0 0 0,-6 4 0,-12 8 0,23-16 0,0 0 0,0 0 0,0 0 0,0 0 0,0 0 0,0 1 0,0-1 0,0 0 0,0 0 0,0 0 0,0 0 0,0 0 0,0 1 0,0-1 0,0 0 0,0 0 0,0 0 0,0 0 0,0 1 0,0-1 0,0 0 0,0 0 0,0 0 0,0 0 0,0 0 0,1 0 0,-1 1 0,0-1 0,0 0 0,0 0 0,0 0 0,0 0 0,0 0 0,0 0 0,1 0 0,-1 0 0,0 1 0,0-1 0,0 0 0,0 0 0,0 0 0,1 0 0,-1 0 0,17 2 0,184-2 90,-94-2-1545,-87 2-5371</inkml:trace>
  <inkml:trace contextRef="#ctx0" brushRef="#br0" timeOffset="1842.23">2089 437 24575,'-3'0'0,"1"0"0,-1 1 0,0-1 0,1 1 0,-1 0 0,0 0 0,1 0 0,0 0 0,-1 0 0,1 1 0,-1-1 0,1 1 0,0-1 0,0 1 0,0 0 0,0 0 0,0 0 0,0 0 0,1 0 0,-1 0 0,1 0 0,-1 1 0,1-1 0,0 1 0,0-1 0,0 1 0,0-1 0,-1 6 0,-1 6 0,-1 1 0,2 1 0,-1 25 0,3-38 0,-1 9 0,0 0 0,0-1 0,1 1 0,0 0 0,1 0 0,3 12 0,-4-21 0,1-1 0,0 1 0,0-1 0,0 0 0,0 1 0,0-1 0,0 0 0,1 1 0,-1-1 0,1 0 0,-1 0 0,1 0 0,0 0 0,0-1 0,0 1 0,0 0 0,0-1 0,0 0 0,1 1 0,-1-1 0,0 0 0,1 0 0,-1 0 0,1 0 0,-1-1 0,1 1 0,-1-1 0,4 1 0,4 0 0,0 0 0,0-1 0,0 0 0,-1-1 0,1 0 0,0 0 0,16-5 0,-21 4 0,0 0 0,0 0 0,-1 0 0,1-1 0,0 0 0,-1 0 0,0 0 0,1 0 0,-1-1 0,-1 1 0,1-1 0,0 0 0,-1 0 0,0-1 0,5-7 0,-2 0 0,-1 0 0,0 0 0,0-1 0,-2 1 0,1-1 0,-2 0 0,1 0 0,-2 0 0,0 0 0,0-15 0,-2 23 0,1-1 0,-1 1 0,0 0 0,0-1 0,-1 1 0,1 0 0,-1 0 0,0 0 0,-1 0 0,1 0 0,-6-7 0,5 8 0,0 1 0,0 0 0,-1 0 0,1 0 0,0 1 0,-1-1 0,0 1 0,0 0 0,1 0 0,-1 0 0,0 1 0,-1-1 0,1 1 0,0 0 0,0 0 0,-7 0 0,-4-1 24,-1 1 0,1 1 0,0 0 0,-22 4 0,30-3-159,-1 1 0,1 0 0,0 0 0,-1 0 0,1 1 0,0 0 0,0 1 0,1 0 0,-1 0 0,-9 8 0,1 1-6691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3.21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0,'5'0,"6"0,7 0,4 0,9 0,9 0,3 0,-2 0,-2 0,-8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4.38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1,'0'5,"0"2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3:45.778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0,'10'0,"8"0,6 0,9 0,3 0,-4 5,-3 6,4 2,1 3,5 0,5 0,0 4,-7 3,-5-3,-8-4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4:42.714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0,'3'1,"-1"-1,0 1,0-1,1 1,-1 0,0 0,0 0,4 3,11 4,2-3,-1 2,1 0,-1 0,0 2,30 20,43 29,-28-19,-44-27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5:38.23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1,'5'0,"7"0,6 0,5 0,3 0,3 0,0 0,2 0,4 5,-4 6,-1 2,-2-2,-1 3,-4-2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02T16:36:24.113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1,'5'0,"12"0,7 0,5 0,3 0,0 0,0 0,-5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06:15:07.812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1,'1047'0,"-1013"0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10:47:46.780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68,'22'-2,"0"0,40-10,58-19,-110 28,12-3,1 2,-1 1,33-2,71 7,-51 0,463-2,-504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07:01:04.305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0,'869'0,"-838"0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22T10:48:14.240"/>
    </inkml:context>
    <inkml:brush xml:id="br0">
      <inkml:brushProperty name="width" value="0.2" units="cm"/>
      <inkml:brushProperty name="height" value="0.4" units="cm"/>
      <inkml:brushProperty name="color" value="#FF8517"/>
      <inkml:brushProperty name="tip" value="rectangle"/>
      <inkml:brushProperty name="rasterOp" value="maskPen"/>
      <inkml:brushProperty name="ignorePressure" value="1"/>
    </inkml:brush>
  </inkml:definitions>
  <inkml:trace contextRef="#ctx0" brushRef="#br0">1 37,'17'0,"54"1,125-16,62-7,-2 21,-134 2,-751-1,590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9861-29AC-4907-A42F-0CB91382A848}">
  <sheetPr>
    <tabColor theme="5"/>
  </sheetPr>
  <dimension ref="A1:M91"/>
  <sheetViews>
    <sheetView showGridLines="0" topLeftCell="A66" zoomScale="62" workbookViewId="0">
      <selection activeCell="B79" sqref="B79"/>
    </sheetView>
  </sheetViews>
  <sheetFormatPr defaultRowHeight="14.5" x14ac:dyDescent="0.35"/>
  <cols>
    <col min="1" max="1" width="49" customWidth="1"/>
    <col min="2" max="2" width="11.6328125" customWidth="1"/>
    <col min="3" max="3" width="12" customWidth="1"/>
  </cols>
  <sheetData>
    <row r="1" spans="1:8" x14ac:dyDescent="0.35">
      <c r="A1" s="353" t="s">
        <v>521</v>
      </c>
      <c r="B1" s="353"/>
      <c r="C1" s="353"/>
      <c r="D1" s="353"/>
      <c r="E1" s="353"/>
      <c r="F1" s="353"/>
      <c r="G1" s="123"/>
      <c r="H1" s="123"/>
    </row>
    <row r="4" spans="1:8" x14ac:dyDescent="0.35">
      <c r="A4" s="37" t="s">
        <v>517</v>
      </c>
    </row>
    <row r="5" spans="1:8" x14ac:dyDescent="0.35">
      <c r="A5" s="37"/>
    </row>
    <row r="6" spans="1:8" x14ac:dyDescent="0.35">
      <c r="A6" s="269" t="s">
        <v>516</v>
      </c>
      <c r="B6" s="277">
        <v>63</v>
      </c>
    </row>
    <row r="7" spans="1:8" x14ac:dyDescent="0.35">
      <c r="A7" s="269" t="s">
        <v>513</v>
      </c>
      <c r="B7" s="277">
        <v>48</v>
      </c>
    </row>
    <row r="8" spans="1:8" x14ac:dyDescent="0.35">
      <c r="A8" s="37"/>
      <c r="B8" s="3"/>
    </row>
    <row r="9" spans="1:8" x14ac:dyDescent="0.35">
      <c r="A9" s="112" t="s">
        <v>514</v>
      </c>
      <c r="B9" s="3"/>
    </row>
    <row r="10" spans="1:8" x14ac:dyDescent="0.35">
      <c r="A10" s="112" t="s">
        <v>515</v>
      </c>
      <c r="B10" s="3"/>
    </row>
    <row r="11" spans="1:8" ht="15" thickBot="1" x14ac:dyDescent="0.4">
      <c r="A11" s="112"/>
    </row>
    <row r="12" spans="1:8" ht="15.5" x14ac:dyDescent="0.35">
      <c r="A12" s="10" t="s">
        <v>16</v>
      </c>
      <c r="B12" s="11"/>
      <c r="C12" s="12"/>
    </row>
    <row r="13" spans="1:8" ht="15.5" x14ac:dyDescent="0.35">
      <c r="A13" s="13"/>
      <c r="B13" s="14"/>
      <c r="C13" s="15"/>
    </row>
    <row r="14" spans="1:8" ht="15.5" x14ac:dyDescent="0.35">
      <c r="A14" s="13" t="s">
        <v>38</v>
      </c>
      <c r="B14" s="337">
        <v>3.5</v>
      </c>
      <c r="C14" s="15" t="s">
        <v>0</v>
      </c>
      <c r="D14" t="e">
        <f ca="1">_xlfn.FORMULATEXT(B14)</f>
        <v>#N/A</v>
      </c>
    </row>
    <row r="15" spans="1:8" ht="15.5" x14ac:dyDescent="0.35">
      <c r="A15" s="13"/>
      <c r="B15" s="338"/>
      <c r="C15" s="15"/>
    </row>
    <row r="16" spans="1:8" ht="15.5" x14ac:dyDescent="0.35">
      <c r="A16" s="13" t="s">
        <v>39</v>
      </c>
      <c r="B16" s="337">
        <v>4</v>
      </c>
      <c r="C16" s="15" t="s">
        <v>0</v>
      </c>
      <c r="D16" t="e">
        <f ca="1">_xlfn.FORMULATEXT(B16)</f>
        <v>#N/A</v>
      </c>
    </row>
    <row r="17" spans="1:13" ht="15.5" x14ac:dyDescent="0.35">
      <c r="A17" s="13"/>
      <c r="B17" s="55"/>
      <c r="C17" s="15"/>
    </row>
    <row r="18" spans="1:13" ht="15.5" x14ac:dyDescent="0.35">
      <c r="A18" s="13" t="s">
        <v>40</v>
      </c>
      <c r="B18" s="339">
        <f>B14/B16</f>
        <v>0.875</v>
      </c>
      <c r="C18" s="15"/>
    </row>
    <row r="19" spans="1:13" ht="15.5" x14ac:dyDescent="0.35">
      <c r="A19" s="13"/>
      <c r="B19" s="342"/>
      <c r="C19" s="15"/>
    </row>
    <row r="20" spans="1:13" ht="17.5" x14ac:dyDescent="0.45">
      <c r="A20" s="13" t="s">
        <v>41</v>
      </c>
      <c r="B20" s="339">
        <f>1-B18</f>
        <v>0.125</v>
      </c>
      <c r="C20" s="15"/>
      <c r="M20">
        <f xml:space="preserve"> 1.3854/1.25</f>
        <v>1.10832</v>
      </c>
    </row>
    <row r="21" spans="1:13" ht="15.5" x14ac:dyDescent="0.35">
      <c r="A21" s="13"/>
      <c r="B21" s="342"/>
      <c r="C21" s="15"/>
    </row>
    <row r="22" spans="1:13" ht="15.5" x14ac:dyDescent="0.35">
      <c r="A22" s="13" t="s">
        <v>1</v>
      </c>
      <c r="B22" s="339">
        <f>B18^2/(1-B18)</f>
        <v>6.125</v>
      </c>
      <c r="C22" s="15"/>
      <c r="D22" t="s">
        <v>57</v>
      </c>
    </row>
    <row r="23" spans="1:13" ht="15.5" x14ac:dyDescent="0.35">
      <c r="A23" s="13"/>
      <c r="B23" s="342"/>
      <c r="C23" s="15"/>
    </row>
    <row r="24" spans="1:13" ht="15.5" x14ac:dyDescent="0.35">
      <c r="A24" s="13" t="s">
        <v>15</v>
      </c>
      <c r="B24" s="341">
        <f>B22/B14</f>
        <v>1.75</v>
      </c>
      <c r="C24" s="15" t="s">
        <v>20</v>
      </c>
      <c r="D24" t="s">
        <v>58</v>
      </c>
    </row>
    <row r="25" spans="1:13" ht="15.5" x14ac:dyDescent="0.35">
      <c r="A25" s="13"/>
      <c r="B25" s="342"/>
      <c r="C25" s="15"/>
    </row>
    <row r="26" spans="1:13" ht="15.5" x14ac:dyDescent="0.35">
      <c r="A26" s="13" t="s">
        <v>2</v>
      </c>
      <c r="B26" s="341">
        <f>B22+(B14/B16)</f>
        <v>7</v>
      </c>
      <c r="C26" s="15"/>
      <c r="D26" t="s">
        <v>59</v>
      </c>
    </row>
    <row r="27" spans="1:13" ht="15.5" x14ac:dyDescent="0.35">
      <c r="A27" s="13"/>
      <c r="B27" s="342"/>
      <c r="C27" s="15"/>
    </row>
    <row r="28" spans="1:13" ht="15.5" x14ac:dyDescent="0.35">
      <c r="A28" s="13" t="s">
        <v>3</v>
      </c>
      <c r="B28" s="341">
        <f>B24+1/B16</f>
        <v>2</v>
      </c>
      <c r="C28" s="15" t="s">
        <v>20</v>
      </c>
    </row>
    <row r="29" spans="1:13" ht="15" thickBot="1" x14ac:dyDescent="0.4">
      <c r="A29" s="8"/>
      <c r="B29" s="18"/>
      <c r="C29" s="9"/>
    </row>
    <row r="31" spans="1:13" ht="32" customHeight="1" x14ac:dyDescent="0.35">
      <c r="A31" s="354" t="s">
        <v>522</v>
      </c>
      <c r="B31" s="353"/>
      <c r="C31" s="353"/>
      <c r="D31" s="353"/>
      <c r="E31" s="353"/>
      <c r="F31" s="353"/>
      <c r="G31" s="123"/>
      <c r="H31" s="123"/>
    </row>
    <row r="34" spans="1:4" x14ac:dyDescent="0.35">
      <c r="A34" s="37" t="s">
        <v>520</v>
      </c>
    </row>
    <row r="35" spans="1:4" x14ac:dyDescent="0.35">
      <c r="A35" s="37"/>
    </row>
    <row r="36" spans="1:4" x14ac:dyDescent="0.35">
      <c r="A36" s="269" t="s">
        <v>512</v>
      </c>
      <c r="B36" s="277">
        <v>15</v>
      </c>
    </row>
    <row r="37" spans="1:4" x14ac:dyDescent="0.35">
      <c r="A37" s="269" t="s">
        <v>518</v>
      </c>
      <c r="B37" s="277">
        <v>3</v>
      </c>
    </row>
    <row r="38" spans="1:4" x14ac:dyDescent="0.35">
      <c r="A38" s="37"/>
      <c r="B38" s="3"/>
    </row>
    <row r="39" spans="1:4" x14ac:dyDescent="0.35">
      <c r="A39" s="112" t="s">
        <v>514</v>
      </c>
      <c r="B39" s="3"/>
    </row>
    <row r="40" spans="1:4" x14ac:dyDescent="0.35">
      <c r="A40" s="112" t="s">
        <v>515</v>
      </c>
      <c r="B40" s="3"/>
    </row>
    <row r="41" spans="1:4" ht="15" thickBot="1" x14ac:dyDescent="0.4">
      <c r="A41" s="112" t="s">
        <v>519</v>
      </c>
    </row>
    <row r="42" spans="1:4" ht="15.5" x14ac:dyDescent="0.35">
      <c r="A42" s="10" t="s">
        <v>17</v>
      </c>
      <c r="B42" s="11"/>
      <c r="C42" s="12"/>
    </row>
    <row r="43" spans="1:4" ht="15.5" x14ac:dyDescent="0.35">
      <c r="A43" s="13"/>
      <c r="B43" s="14"/>
      <c r="C43" s="15"/>
    </row>
    <row r="44" spans="1:4" ht="15.5" x14ac:dyDescent="0.35">
      <c r="A44" s="13" t="s">
        <v>38</v>
      </c>
      <c r="B44" s="337">
        <f>20/60</f>
        <v>0.33333333333333331</v>
      </c>
      <c r="C44" s="15" t="s">
        <v>0</v>
      </c>
      <c r="D44" t="str">
        <f ca="1">_xlfn.FORMULATEXT(B44)</f>
        <v>=20/60</v>
      </c>
    </row>
    <row r="45" spans="1:4" ht="15.5" x14ac:dyDescent="0.35">
      <c r="A45" s="13"/>
      <c r="B45" s="338"/>
      <c r="C45" s="15"/>
    </row>
    <row r="46" spans="1:4" ht="15.5" x14ac:dyDescent="0.35">
      <c r="A46" s="13" t="s">
        <v>39</v>
      </c>
      <c r="B46" s="337">
        <f>1/2.5</f>
        <v>0.4</v>
      </c>
      <c r="C46" s="15" t="s">
        <v>0</v>
      </c>
      <c r="D46" t="str">
        <f ca="1">_xlfn.FORMULATEXT(B46)</f>
        <v>=1/2.5</v>
      </c>
    </row>
    <row r="47" spans="1:4" ht="15.5" x14ac:dyDescent="0.35">
      <c r="A47" s="13"/>
      <c r="B47" s="55"/>
      <c r="C47" s="15"/>
    </row>
    <row r="48" spans="1:4" ht="15.5" x14ac:dyDescent="0.35">
      <c r="A48" s="13" t="s">
        <v>48</v>
      </c>
      <c r="B48" s="339">
        <v>1.2</v>
      </c>
      <c r="C48" s="15" t="s">
        <v>37</v>
      </c>
    </row>
    <row r="49" spans="1:6" ht="15.5" x14ac:dyDescent="0.35">
      <c r="A49" s="13"/>
      <c r="B49" s="55"/>
      <c r="C49" s="15"/>
    </row>
    <row r="50" spans="1:6" ht="15.5" x14ac:dyDescent="0.35">
      <c r="A50" s="13" t="s">
        <v>40</v>
      </c>
      <c r="B50" s="339">
        <f>B44/B46</f>
        <v>0.83333333333333326</v>
      </c>
      <c r="C50" s="15"/>
    </row>
    <row r="51" spans="1:6" ht="15.5" x14ac:dyDescent="0.35">
      <c r="A51" s="13"/>
      <c r="B51" s="55"/>
      <c r="C51" s="15"/>
    </row>
    <row r="52" spans="1:6" ht="17.5" x14ac:dyDescent="0.45">
      <c r="A52" s="13" t="s">
        <v>41</v>
      </c>
      <c r="B52" s="339">
        <f>1-B50</f>
        <v>0.16666666666666674</v>
      </c>
      <c r="C52" s="15"/>
    </row>
    <row r="53" spans="1:6" ht="15.5" x14ac:dyDescent="0.35">
      <c r="A53" s="13"/>
      <c r="B53" s="338"/>
      <c r="C53" s="15"/>
    </row>
    <row r="54" spans="1:6" ht="15.5" x14ac:dyDescent="0.35">
      <c r="A54" s="13" t="s">
        <v>1</v>
      </c>
      <c r="B54" s="339">
        <f>((B44^2*B48^2)+B50^2)/(2*(1-B50))</f>
        <v>2.5633333333333317</v>
      </c>
      <c r="C54" s="15"/>
      <c r="D54" t="s">
        <v>57</v>
      </c>
    </row>
    <row r="55" spans="1:6" ht="15.5" x14ac:dyDescent="0.35">
      <c r="A55" s="13"/>
      <c r="B55" s="55"/>
      <c r="C55" s="7"/>
    </row>
    <row r="56" spans="1:6" ht="15.5" x14ac:dyDescent="0.35">
      <c r="A56" s="13" t="s">
        <v>15</v>
      </c>
      <c r="B56" s="339">
        <f>B54/B44</f>
        <v>7.6899999999999951</v>
      </c>
      <c r="C56" s="15" t="s">
        <v>20</v>
      </c>
      <c r="D56" t="s">
        <v>58</v>
      </c>
    </row>
    <row r="57" spans="1:6" ht="15.5" x14ac:dyDescent="0.35">
      <c r="A57" s="13"/>
      <c r="B57" s="338"/>
      <c r="C57" s="15"/>
    </row>
    <row r="58" spans="1:6" ht="15.5" x14ac:dyDescent="0.35">
      <c r="A58" s="13" t="s">
        <v>2</v>
      </c>
      <c r="B58" s="339">
        <f>B54+(B44/B46)</f>
        <v>3.3966666666666647</v>
      </c>
      <c r="C58" s="15"/>
      <c r="D58" t="s">
        <v>59</v>
      </c>
    </row>
    <row r="59" spans="1:6" ht="15.5" x14ac:dyDescent="0.35">
      <c r="A59" s="13"/>
      <c r="B59" s="338"/>
      <c r="C59" s="15"/>
    </row>
    <row r="60" spans="1:6" ht="15.5" x14ac:dyDescent="0.35">
      <c r="A60" s="13" t="s">
        <v>3</v>
      </c>
      <c r="B60" s="339">
        <f>B56+(1/B46)</f>
        <v>10.189999999999994</v>
      </c>
      <c r="C60" s="15" t="s">
        <v>20</v>
      </c>
    </row>
    <row r="61" spans="1:6" ht="15" thickBot="1" x14ac:dyDescent="0.4">
      <c r="A61" s="8"/>
      <c r="B61" s="18"/>
      <c r="C61" s="9"/>
    </row>
    <row r="63" spans="1:6" ht="34.5" customHeight="1" x14ac:dyDescent="0.35">
      <c r="A63" s="354" t="s">
        <v>523</v>
      </c>
      <c r="B63" s="353"/>
      <c r="C63" s="353"/>
      <c r="D63" s="353"/>
      <c r="E63" s="353"/>
      <c r="F63" s="353"/>
    </row>
    <row r="66" spans="1:4" x14ac:dyDescent="0.35">
      <c r="A66" s="37" t="s">
        <v>50</v>
      </c>
    </row>
    <row r="68" spans="1:4" x14ac:dyDescent="0.35">
      <c r="A68" s="269" t="s">
        <v>512</v>
      </c>
      <c r="B68" s="277">
        <v>63</v>
      </c>
    </row>
    <row r="69" spans="1:4" x14ac:dyDescent="0.35">
      <c r="A69" s="269" t="s">
        <v>513</v>
      </c>
      <c r="B69" s="277">
        <v>10</v>
      </c>
    </row>
    <row r="70" spans="1:4" x14ac:dyDescent="0.35">
      <c r="A70" s="37"/>
      <c r="B70" s="3"/>
    </row>
    <row r="71" spans="1:4" x14ac:dyDescent="0.35">
      <c r="A71" s="112" t="s">
        <v>514</v>
      </c>
      <c r="B71" s="3"/>
    </row>
    <row r="72" spans="1:4" x14ac:dyDescent="0.35">
      <c r="A72" s="112" t="s">
        <v>515</v>
      </c>
      <c r="B72" s="3"/>
    </row>
    <row r="73" spans="1:4" ht="15" thickBot="1" x14ac:dyDescent="0.4"/>
    <row r="74" spans="1:4" ht="15.5" x14ac:dyDescent="0.35">
      <c r="A74" s="10" t="s">
        <v>18</v>
      </c>
      <c r="B74" s="11"/>
      <c r="C74" s="12"/>
    </row>
    <row r="75" spans="1:4" ht="15.5" x14ac:dyDescent="0.35">
      <c r="A75" s="13"/>
      <c r="B75" s="14"/>
      <c r="C75" s="15"/>
    </row>
    <row r="76" spans="1:4" ht="15.5" x14ac:dyDescent="0.35">
      <c r="A76" s="13" t="s">
        <v>38</v>
      </c>
      <c r="B76" s="337">
        <f>20/60</f>
        <v>0.33333333333333331</v>
      </c>
      <c r="C76" s="15" t="s">
        <v>0</v>
      </c>
      <c r="D76" t="str">
        <f ca="1">_xlfn.FORMULATEXT(B76)</f>
        <v>=20/60</v>
      </c>
    </row>
    <row r="77" spans="1:4" ht="15.5" x14ac:dyDescent="0.35">
      <c r="A77" s="13"/>
      <c r="B77" s="338"/>
      <c r="C77" s="15"/>
    </row>
    <row r="78" spans="1:4" ht="15.5" x14ac:dyDescent="0.35">
      <c r="A78" s="13" t="s">
        <v>39</v>
      </c>
      <c r="B78" s="337">
        <f>1/2.5</f>
        <v>0.4</v>
      </c>
      <c r="C78" s="15" t="s">
        <v>0</v>
      </c>
      <c r="D78" t="str">
        <f ca="1">_xlfn.FORMULATEXT(B78)</f>
        <v>=1/2.5</v>
      </c>
    </row>
    <row r="79" spans="1:4" ht="15.5" x14ac:dyDescent="0.35">
      <c r="A79" s="13"/>
      <c r="B79" s="55"/>
      <c r="C79" s="15"/>
    </row>
    <row r="80" spans="1:4" ht="15.5" x14ac:dyDescent="0.35">
      <c r="A80" s="13" t="s">
        <v>40</v>
      </c>
      <c r="B80" s="339">
        <f>B76/B78</f>
        <v>0.83333333333333326</v>
      </c>
      <c r="C80" s="15"/>
    </row>
    <row r="81" spans="1:4" ht="15.5" x14ac:dyDescent="0.35">
      <c r="A81" s="13"/>
      <c r="B81" s="55"/>
      <c r="C81" s="15"/>
    </row>
    <row r="82" spans="1:4" ht="17.5" x14ac:dyDescent="0.45">
      <c r="A82" s="13" t="s">
        <v>41</v>
      </c>
      <c r="B82" s="339">
        <f>1-B80</f>
        <v>0.16666666666666674</v>
      </c>
      <c r="C82" s="15"/>
    </row>
    <row r="83" spans="1:4" ht="15.5" x14ac:dyDescent="0.35">
      <c r="A83" s="13"/>
      <c r="B83" s="338"/>
      <c r="C83" s="15"/>
    </row>
    <row r="84" spans="1:4" ht="15.5" x14ac:dyDescent="0.35">
      <c r="A84" s="13" t="s">
        <v>1</v>
      </c>
      <c r="B84" s="339">
        <f>B80^2/(2*(1-B80))</f>
        <v>2.0833333333333321</v>
      </c>
      <c r="C84" s="15"/>
      <c r="D84" t="s">
        <v>57</v>
      </c>
    </row>
    <row r="85" spans="1:4" ht="15.5" x14ac:dyDescent="0.35">
      <c r="A85" s="13"/>
      <c r="B85" s="338"/>
      <c r="C85" s="15"/>
    </row>
    <row r="86" spans="1:4" ht="15.5" x14ac:dyDescent="0.35">
      <c r="A86" s="13" t="s">
        <v>15</v>
      </c>
      <c r="B86" s="339">
        <f>B84/B76</f>
        <v>6.2499999999999964</v>
      </c>
      <c r="C86" s="15" t="s">
        <v>20</v>
      </c>
      <c r="D86" t="s">
        <v>58</v>
      </c>
    </row>
    <row r="87" spans="1:4" ht="15.5" x14ac:dyDescent="0.35">
      <c r="A87" s="13"/>
      <c r="B87" s="338"/>
      <c r="C87" s="15"/>
    </row>
    <row r="88" spans="1:4" ht="15.5" x14ac:dyDescent="0.35">
      <c r="A88" s="13" t="s">
        <v>2</v>
      </c>
      <c r="B88" s="339">
        <f>B84+(B76/B78)</f>
        <v>2.9166666666666652</v>
      </c>
      <c r="C88" s="15"/>
      <c r="D88" t="s">
        <v>59</v>
      </c>
    </row>
    <row r="89" spans="1:4" ht="15.5" x14ac:dyDescent="0.35">
      <c r="A89" s="13"/>
      <c r="B89" s="338"/>
      <c r="C89" s="15"/>
    </row>
    <row r="90" spans="1:4" ht="15.5" x14ac:dyDescent="0.35">
      <c r="A90" s="13" t="s">
        <v>3</v>
      </c>
      <c r="B90" s="339">
        <f>B86+(1/B78)</f>
        <v>8.7499999999999964</v>
      </c>
      <c r="C90" s="15" t="s">
        <v>20</v>
      </c>
    </row>
    <row r="91" spans="1:4" ht="15" thickBot="1" x14ac:dyDescent="0.4">
      <c r="A91" s="8"/>
      <c r="B91" s="18"/>
      <c r="C91" s="9"/>
    </row>
  </sheetData>
  <mergeCells count="3">
    <mergeCell ref="A1:F1"/>
    <mergeCell ref="A31:F31"/>
    <mergeCell ref="A63:F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969-EF6E-431F-8529-3681B07835E3}">
  <sheetPr>
    <tabColor theme="5"/>
  </sheetPr>
  <dimension ref="A1:H91"/>
  <sheetViews>
    <sheetView showGridLines="0" zoomScale="63" workbookViewId="0">
      <selection activeCell="B54" sqref="B54"/>
    </sheetView>
  </sheetViews>
  <sheetFormatPr defaultRowHeight="14.5" x14ac:dyDescent="0.35"/>
  <cols>
    <col min="1" max="1" width="49" customWidth="1"/>
    <col min="2" max="2" width="11.6328125" customWidth="1"/>
    <col min="3" max="3" width="12" customWidth="1"/>
  </cols>
  <sheetData>
    <row r="1" spans="1:8" x14ac:dyDescent="0.35">
      <c r="A1" s="353" t="s">
        <v>521</v>
      </c>
      <c r="B1" s="353"/>
      <c r="C1" s="353"/>
      <c r="D1" s="353"/>
      <c r="E1" s="353"/>
      <c r="F1" s="353"/>
      <c r="G1" s="123"/>
      <c r="H1" s="123"/>
    </row>
    <row r="4" spans="1:8" x14ac:dyDescent="0.35">
      <c r="A4" s="37" t="s">
        <v>517</v>
      </c>
    </row>
    <row r="5" spans="1:8" x14ac:dyDescent="0.35">
      <c r="A5" s="37"/>
    </row>
    <row r="6" spans="1:8" x14ac:dyDescent="0.35">
      <c r="A6" s="269" t="s">
        <v>516</v>
      </c>
      <c r="B6" s="277">
        <v>63</v>
      </c>
    </row>
    <row r="7" spans="1:8" x14ac:dyDescent="0.35">
      <c r="A7" s="269" t="s">
        <v>513</v>
      </c>
      <c r="B7" s="277">
        <v>48</v>
      </c>
    </row>
    <row r="8" spans="1:8" x14ac:dyDescent="0.35">
      <c r="A8" s="37"/>
      <c r="B8" s="3"/>
    </row>
    <row r="9" spans="1:8" x14ac:dyDescent="0.35">
      <c r="A9" s="112" t="s">
        <v>514</v>
      </c>
      <c r="B9" s="3"/>
    </row>
    <row r="10" spans="1:8" x14ac:dyDescent="0.35">
      <c r="A10" s="112" t="s">
        <v>515</v>
      </c>
      <c r="B10" s="3"/>
    </row>
    <row r="11" spans="1:8" ht="15" thickBot="1" x14ac:dyDescent="0.4">
      <c r="A11" s="112"/>
    </row>
    <row r="12" spans="1:8" ht="15.5" x14ac:dyDescent="0.35">
      <c r="A12" s="10" t="s">
        <v>16</v>
      </c>
      <c r="B12" s="11"/>
      <c r="C12" s="12"/>
    </row>
    <row r="13" spans="1:8" ht="15.5" x14ac:dyDescent="0.35">
      <c r="A13" s="13"/>
      <c r="B13" s="14"/>
      <c r="C13" s="15"/>
    </row>
    <row r="14" spans="1:8" ht="15.5" x14ac:dyDescent="0.35">
      <c r="A14" s="13" t="s">
        <v>38</v>
      </c>
      <c r="B14" s="337">
        <f>B6/60</f>
        <v>1.05</v>
      </c>
      <c r="C14" s="15" t="s">
        <v>0</v>
      </c>
      <c r="D14" t="str">
        <f ca="1">_xlfn.FORMULATEXT(B14)</f>
        <v>=B6/60</v>
      </c>
    </row>
    <row r="15" spans="1:8" ht="15.5" x14ac:dyDescent="0.35">
      <c r="A15" s="13"/>
      <c r="B15" s="338"/>
      <c r="C15" s="15"/>
    </row>
    <row r="16" spans="1:8" ht="15.5" x14ac:dyDescent="0.35">
      <c r="A16" s="13" t="s">
        <v>39</v>
      </c>
      <c r="B16" s="337">
        <f>60/B7</f>
        <v>1.25</v>
      </c>
      <c r="C16" s="15" t="s">
        <v>0</v>
      </c>
      <c r="D16" t="str">
        <f ca="1">_xlfn.FORMULATEXT(B16)</f>
        <v>=60/B7</v>
      </c>
    </row>
    <row r="17" spans="1:8" ht="15.5" x14ac:dyDescent="0.35">
      <c r="A17" s="13"/>
      <c r="B17" s="55"/>
      <c r="C17" s="15"/>
    </row>
    <row r="18" spans="1:8" ht="15.5" x14ac:dyDescent="0.35">
      <c r="A18" s="13" t="s">
        <v>40</v>
      </c>
      <c r="B18" s="339">
        <f>B14/B16</f>
        <v>0.84000000000000008</v>
      </c>
      <c r="C18" s="15"/>
    </row>
    <row r="19" spans="1:8" ht="15.5" x14ac:dyDescent="0.35">
      <c r="A19" s="13"/>
      <c r="B19" s="55"/>
      <c r="C19" s="15"/>
    </row>
    <row r="20" spans="1:8" ht="17.5" x14ac:dyDescent="0.45">
      <c r="A20" s="13" t="s">
        <v>41</v>
      </c>
      <c r="B20" s="339">
        <f>1-B18</f>
        <v>0.15999999999999992</v>
      </c>
      <c r="C20" s="15"/>
    </row>
    <row r="21" spans="1:8" ht="15.5" x14ac:dyDescent="0.35">
      <c r="A21" s="13"/>
      <c r="B21" s="338"/>
      <c r="C21" s="15"/>
    </row>
    <row r="22" spans="1:8" ht="15.5" x14ac:dyDescent="0.35">
      <c r="A22" s="13" t="s">
        <v>1</v>
      </c>
      <c r="B22" s="339">
        <f>B18^2/(1-B18)</f>
        <v>4.4100000000000028</v>
      </c>
      <c r="C22" s="15"/>
      <c r="D22" t="s">
        <v>57</v>
      </c>
    </row>
    <row r="23" spans="1:8" ht="15.5" x14ac:dyDescent="0.35">
      <c r="A23" s="13"/>
      <c r="B23" s="338"/>
      <c r="C23" s="15"/>
    </row>
    <row r="24" spans="1:8" ht="15.5" x14ac:dyDescent="0.35">
      <c r="A24" s="13" t="s">
        <v>15</v>
      </c>
      <c r="B24" s="339">
        <f>B22/B14</f>
        <v>4.2000000000000028</v>
      </c>
      <c r="C24" s="15" t="s">
        <v>20</v>
      </c>
      <c r="D24" t="s">
        <v>58</v>
      </c>
    </row>
    <row r="25" spans="1:8" ht="15.5" x14ac:dyDescent="0.35">
      <c r="A25" s="13"/>
      <c r="B25" s="338"/>
      <c r="C25" s="15"/>
    </row>
    <row r="26" spans="1:8" ht="15.5" x14ac:dyDescent="0.35">
      <c r="A26" s="13" t="s">
        <v>2</v>
      </c>
      <c r="B26" s="339">
        <f>B22+(B14/B16)</f>
        <v>5.2500000000000027</v>
      </c>
      <c r="C26" s="15"/>
      <c r="D26" t="s">
        <v>59</v>
      </c>
    </row>
    <row r="27" spans="1:8" ht="15.5" x14ac:dyDescent="0.35">
      <c r="A27" s="13"/>
      <c r="B27" s="338"/>
      <c r="C27" s="15"/>
    </row>
    <row r="28" spans="1:8" ht="15.5" x14ac:dyDescent="0.35">
      <c r="A28" s="13" t="s">
        <v>3</v>
      </c>
      <c r="B28" s="339">
        <f>B24+1/B16</f>
        <v>5.0000000000000027</v>
      </c>
      <c r="C28" s="15" t="s">
        <v>20</v>
      </c>
    </row>
    <row r="29" spans="1:8" ht="15" thickBot="1" x14ac:dyDescent="0.4">
      <c r="A29" s="8"/>
      <c r="B29" s="18"/>
      <c r="C29" s="9"/>
    </row>
    <row r="31" spans="1:8" ht="32" customHeight="1" x14ac:dyDescent="0.35">
      <c r="A31" s="354" t="s">
        <v>522</v>
      </c>
      <c r="B31" s="353"/>
      <c r="C31" s="353"/>
      <c r="D31" s="353"/>
      <c r="E31" s="353"/>
      <c r="F31" s="353"/>
      <c r="G31" s="123"/>
      <c r="H31" s="123"/>
    </row>
    <row r="34" spans="1:4" x14ac:dyDescent="0.35">
      <c r="A34" s="37" t="s">
        <v>520</v>
      </c>
    </row>
    <row r="35" spans="1:4" x14ac:dyDescent="0.35">
      <c r="A35" s="37"/>
    </row>
    <row r="36" spans="1:4" x14ac:dyDescent="0.35">
      <c r="A36" s="269" t="s">
        <v>512</v>
      </c>
      <c r="B36" s="277">
        <v>15</v>
      </c>
    </row>
    <row r="37" spans="1:4" x14ac:dyDescent="0.35">
      <c r="A37" s="269" t="s">
        <v>518</v>
      </c>
      <c r="B37" s="277">
        <v>3</v>
      </c>
    </row>
    <row r="38" spans="1:4" x14ac:dyDescent="0.35">
      <c r="A38" s="37"/>
      <c r="B38" s="3"/>
    </row>
    <row r="39" spans="1:4" x14ac:dyDescent="0.35">
      <c r="A39" s="112" t="s">
        <v>514</v>
      </c>
      <c r="B39" s="3"/>
    </row>
    <row r="40" spans="1:4" x14ac:dyDescent="0.35">
      <c r="A40" s="112" t="s">
        <v>515</v>
      </c>
      <c r="B40" s="3"/>
    </row>
    <row r="41" spans="1:4" ht="15" thickBot="1" x14ac:dyDescent="0.4">
      <c r="A41" s="112" t="s">
        <v>519</v>
      </c>
    </row>
    <row r="42" spans="1:4" ht="15.5" x14ac:dyDescent="0.35">
      <c r="A42" s="10" t="s">
        <v>17</v>
      </c>
      <c r="B42" s="11"/>
      <c r="C42" s="12"/>
    </row>
    <row r="43" spans="1:4" ht="15.5" x14ac:dyDescent="0.35">
      <c r="A43" s="13"/>
      <c r="B43" s="14"/>
      <c r="C43" s="15"/>
    </row>
    <row r="44" spans="1:4" ht="15.5" x14ac:dyDescent="0.35">
      <c r="A44" s="13" t="s">
        <v>38</v>
      </c>
      <c r="B44" s="337">
        <f>20/60</f>
        <v>0.33333333333333331</v>
      </c>
      <c r="C44" s="15" t="s">
        <v>0</v>
      </c>
      <c r="D44" t="str">
        <f ca="1">_xlfn.FORMULATEXT(B44)</f>
        <v>=20/60</v>
      </c>
    </row>
    <row r="45" spans="1:4" ht="15.5" x14ac:dyDescent="0.35">
      <c r="A45" s="13"/>
      <c r="B45" s="338"/>
      <c r="C45" s="15"/>
    </row>
    <row r="46" spans="1:4" ht="15.5" x14ac:dyDescent="0.35">
      <c r="A46" s="13" t="s">
        <v>39</v>
      </c>
      <c r="B46" s="337">
        <f>1/2.5</f>
        <v>0.4</v>
      </c>
      <c r="C46" s="15" t="s">
        <v>0</v>
      </c>
      <c r="D46" t="str">
        <f ca="1">_xlfn.FORMULATEXT(B46)</f>
        <v>=1/2.5</v>
      </c>
    </row>
    <row r="47" spans="1:4" ht="15.5" x14ac:dyDescent="0.35">
      <c r="A47" s="13"/>
      <c r="B47" s="55"/>
      <c r="C47" s="15"/>
    </row>
    <row r="48" spans="1:4" ht="15.5" x14ac:dyDescent="0.35">
      <c r="A48" s="13" t="s">
        <v>48</v>
      </c>
      <c r="B48" s="339">
        <v>1.2</v>
      </c>
      <c r="C48" s="15" t="s">
        <v>37</v>
      </c>
    </row>
    <row r="49" spans="1:6" ht="15.5" x14ac:dyDescent="0.35">
      <c r="A49" s="13"/>
      <c r="B49" s="55"/>
      <c r="C49" s="15"/>
    </row>
    <row r="50" spans="1:6" ht="15.5" x14ac:dyDescent="0.35">
      <c r="A50" s="13" t="s">
        <v>40</v>
      </c>
      <c r="B50" s="339">
        <f>B44/B46</f>
        <v>0.83333333333333326</v>
      </c>
      <c r="C50" s="15"/>
    </row>
    <row r="51" spans="1:6" ht="15.5" x14ac:dyDescent="0.35">
      <c r="A51" s="13"/>
      <c r="B51" s="55"/>
      <c r="C51" s="15"/>
      <c r="D51">
        <f>((0.333^2*1.2^2)+0.833^2)/(2*(1-0.833))</f>
        <v>2.555596287425149</v>
      </c>
    </row>
    <row r="52" spans="1:6" ht="17.5" x14ac:dyDescent="0.45">
      <c r="A52" s="13" t="s">
        <v>41</v>
      </c>
      <c r="B52" s="339">
        <f>1-B50</f>
        <v>0.16666666666666674</v>
      </c>
      <c r="C52" s="15"/>
    </row>
    <row r="53" spans="1:6" ht="15.5" x14ac:dyDescent="0.35">
      <c r="A53" s="13"/>
      <c r="B53" s="338"/>
      <c r="C53" s="15"/>
    </row>
    <row r="54" spans="1:6" ht="15.5" x14ac:dyDescent="0.35">
      <c r="A54" s="13" t="s">
        <v>1</v>
      </c>
      <c r="B54" s="339">
        <f>((B44^2*B48^2)+B50^2)/(2*(1-B50))</f>
        <v>2.5633333333333317</v>
      </c>
      <c r="C54" s="15"/>
      <c r="D54" t="s">
        <v>57</v>
      </c>
    </row>
    <row r="55" spans="1:6" ht="15.5" x14ac:dyDescent="0.35">
      <c r="A55" s="13"/>
      <c r="B55" s="55"/>
      <c r="C55" s="7"/>
    </row>
    <row r="56" spans="1:6" ht="15.5" x14ac:dyDescent="0.35">
      <c r="A56" s="13" t="s">
        <v>15</v>
      </c>
      <c r="B56" s="339">
        <f>B54/B44</f>
        <v>7.6899999999999951</v>
      </c>
      <c r="C56" s="15" t="s">
        <v>20</v>
      </c>
      <c r="D56" t="s">
        <v>58</v>
      </c>
    </row>
    <row r="57" spans="1:6" ht="15.5" x14ac:dyDescent="0.35">
      <c r="A57" s="13"/>
      <c r="B57" s="338"/>
      <c r="C57" s="15"/>
    </row>
    <row r="58" spans="1:6" ht="15.5" x14ac:dyDescent="0.35">
      <c r="A58" s="13" t="s">
        <v>2</v>
      </c>
      <c r="B58" s="339">
        <f>B54+(B44/B46)</f>
        <v>3.3966666666666647</v>
      </c>
      <c r="C58" s="15"/>
      <c r="D58" t="s">
        <v>59</v>
      </c>
    </row>
    <row r="59" spans="1:6" ht="15.5" x14ac:dyDescent="0.35">
      <c r="A59" s="13"/>
      <c r="B59" s="338"/>
      <c r="C59" s="15"/>
    </row>
    <row r="60" spans="1:6" ht="15.5" x14ac:dyDescent="0.35">
      <c r="A60" s="13" t="s">
        <v>3</v>
      </c>
      <c r="B60" s="339">
        <f>B56+(1/B46)</f>
        <v>10.189999999999994</v>
      </c>
      <c r="C60" s="15" t="s">
        <v>20</v>
      </c>
    </row>
    <row r="61" spans="1:6" ht="15" thickBot="1" x14ac:dyDescent="0.4">
      <c r="A61" s="8"/>
      <c r="B61" s="18"/>
      <c r="C61" s="9"/>
    </row>
    <row r="63" spans="1:6" ht="34.5" customHeight="1" x14ac:dyDescent="0.35">
      <c r="A63" s="354" t="s">
        <v>523</v>
      </c>
      <c r="B63" s="353"/>
      <c r="C63" s="353"/>
      <c r="D63" s="353"/>
      <c r="E63" s="353"/>
      <c r="F63" s="353"/>
    </row>
    <row r="66" spans="1:4" x14ac:dyDescent="0.35">
      <c r="A66" s="37" t="s">
        <v>50</v>
      </c>
    </row>
    <row r="68" spans="1:4" x14ac:dyDescent="0.35">
      <c r="A68" s="269" t="s">
        <v>512</v>
      </c>
      <c r="B68" s="277">
        <v>63</v>
      </c>
    </row>
    <row r="69" spans="1:4" x14ac:dyDescent="0.35">
      <c r="A69" s="269" t="s">
        <v>513</v>
      </c>
      <c r="B69" s="277">
        <v>10</v>
      </c>
    </row>
    <row r="70" spans="1:4" x14ac:dyDescent="0.35">
      <c r="A70" s="37"/>
      <c r="B70" s="3"/>
    </row>
    <row r="71" spans="1:4" x14ac:dyDescent="0.35">
      <c r="A71" s="112" t="s">
        <v>514</v>
      </c>
      <c r="B71" s="3"/>
    </row>
    <row r="72" spans="1:4" x14ac:dyDescent="0.35">
      <c r="A72" s="112" t="s">
        <v>515</v>
      </c>
      <c r="B72" s="3"/>
    </row>
    <row r="73" spans="1:4" ht="15" thickBot="1" x14ac:dyDescent="0.4"/>
    <row r="74" spans="1:4" ht="15.5" x14ac:dyDescent="0.35">
      <c r="A74" s="10" t="s">
        <v>18</v>
      </c>
      <c r="B74" s="11"/>
      <c r="C74" s="12"/>
    </row>
    <row r="75" spans="1:4" ht="15.5" x14ac:dyDescent="0.35">
      <c r="A75" s="13"/>
      <c r="B75" s="14"/>
      <c r="C75" s="15"/>
    </row>
    <row r="76" spans="1:4" ht="15.5" x14ac:dyDescent="0.35">
      <c r="A76" s="13" t="s">
        <v>38</v>
      </c>
      <c r="B76" s="337">
        <v>4.8</v>
      </c>
      <c r="C76" s="15" t="s">
        <v>0</v>
      </c>
      <c r="D76" t="e">
        <f ca="1">_xlfn.FORMULATEXT(B76)</f>
        <v>#N/A</v>
      </c>
    </row>
    <row r="77" spans="1:4" ht="15.5" x14ac:dyDescent="0.35">
      <c r="A77" s="13"/>
      <c r="B77" s="338"/>
      <c r="C77" s="15"/>
    </row>
    <row r="78" spans="1:4" ht="15.5" x14ac:dyDescent="0.35">
      <c r="A78" s="13" t="s">
        <v>39</v>
      </c>
      <c r="B78" s="337">
        <f>60/B69</f>
        <v>6</v>
      </c>
      <c r="C78" s="15" t="s">
        <v>0</v>
      </c>
      <c r="D78" t="str">
        <f ca="1">_xlfn.FORMULATEXT(B78)</f>
        <v>=60/B69</v>
      </c>
    </row>
    <row r="79" spans="1:4" ht="15.5" x14ac:dyDescent="0.35">
      <c r="A79" s="13"/>
      <c r="B79" s="55"/>
      <c r="C79" s="15"/>
    </row>
    <row r="80" spans="1:4" ht="15.5" x14ac:dyDescent="0.35">
      <c r="A80" s="13" t="s">
        <v>40</v>
      </c>
      <c r="B80" s="339">
        <f>B76/B78</f>
        <v>0.79999999999999993</v>
      </c>
      <c r="C80" s="15"/>
    </row>
    <row r="81" spans="1:4" ht="15.5" x14ac:dyDescent="0.35">
      <c r="A81" s="13"/>
      <c r="B81" s="55"/>
      <c r="C81" s="15"/>
    </row>
    <row r="82" spans="1:4" ht="17.5" x14ac:dyDescent="0.45">
      <c r="A82" s="13" t="s">
        <v>41</v>
      </c>
      <c r="B82" s="339">
        <f>1-B80</f>
        <v>0.20000000000000007</v>
      </c>
      <c r="C82" s="15"/>
    </row>
    <row r="83" spans="1:4" ht="15.5" x14ac:dyDescent="0.35">
      <c r="A83" s="13"/>
      <c r="B83" s="338"/>
      <c r="C83" s="15"/>
    </row>
    <row r="84" spans="1:4" ht="15.5" x14ac:dyDescent="0.35">
      <c r="A84" s="13" t="s">
        <v>1</v>
      </c>
      <c r="B84" s="339">
        <f>B80^2/(2*(1-B80))</f>
        <v>1.5999999999999992</v>
      </c>
      <c r="C84" s="15"/>
      <c r="D84" t="s">
        <v>57</v>
      </c>
    </row>
    <row r="85" spans="1:4" ht="15.5" x14ac:dyDescent="0.35">
      <c r="A85" s="13"/>
      <c r="B85" s="338"/>
      <c r="C85" s="15"/>
    </row>
    <row r="86" spans="1:4" ht="15.5" x14ac:dyDescent="0.35">
      <c r="A86" s="13" t="s">
        <v>15</v>
      </c>
      <c r="B86" s="339">
        <f>B84/B76</f>
        <v>0.3333333333333332</v>
      </c>
      <c r="C86" s="15" t="s">
        <v>20</v>
      </c>
      <c r="D86" t="s">
        <v>58</v>
      </c>
    </row>
    <row r="87" spans="1:4" ht="15.5" x14ac:dyDescent="0.35">
      <c r="A87" s="13"/>
      <c r="B87" s="338"/>
      <c r="C87" s="15"/>
    </row>
    <row r="88" spans="1:4" ht="15.5" x14ac:dyDescent="0.35">
      <c r="A88" s="13" t="s">
        <v>2</v>
      </c>
      <c r="B88" s="339">
        <f>B84+(B76/B78)</f>
        <v>2.399999999999999</v>
      </c>
      <c r="C88" s="15"/>
      <c r="D88" t="s">
        <v>59</v>
      </c>
    </row>
    <row r="89" spans="1:4" ht="15.5" x14ac:dyDescent="0.35">
      <c r="A89" s="13"/>
      <c r="B89" s="338"/>
      <c r="C89" s="15"/>
    </row>
    <row r="90" spans="1:4" ht="15.5" x14ac:dyDescent="0.35">
      <c r="A90" s="13" t="s">
        <v>3</v>
      </c>
      <c r="B90" s="339">
        <f>B86+(1/B78)</f>
        <v>0.49999999999999989</v>
      </c>
      <c r="C90" s="15" t="s">
        <v>20</v>
      </c>
    </row>
    <row r="91" spans="1:4" ht="15" thickBot="1" x14ac:dyDescent="0.4">
      <c r="A91" s="8"/>
      <c r="B91" s="18"/>
      <c r="C91" s="9"/>
    </row>
  </sheetData>
  <mergeCells count="3">
    <mergeCell ref="A1:F1"/>
    <mergeCell ref="A31:F31"/>
    <mergeCell ref="A63:F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D32C-ACE9-4A4F-B073-89DA1054F4A7}">
  <sheetPr>
    <tabColor theme="5"/>
  </sheetPr>
  <dimension ref="A3:D59"/>
  <sheetViews>
    <sheetView showGridLines="0" zoomScale="78" zoomScaleNormal="78" workbookViewId="0">
      <selection activeCell="B37" sqref="B37"/>
    </sheetView>
  </sheetViews>
  <sheetFormatPr defaultRowHeight="14.5" x14ac:dyDescent="0.35"/>
  <cols>
    <col min="1" max="1" width="35.54296875" customWidth="1"/>
    <col min="2" max="2" width="12.81640625" customWidth="1"/>
    <col min="3" max="3" width="12.453125" customWidth="1"/>
    <col min="4" max="4" width="21.1796875" customWidth="1"/>
  </cols>
  <sheetData>
    <row r="3" spans="1:4" x14ac:dyDescent="0.35">
      <c r="A3" s="37" t="s">
        <v>47</v>
      </c>
    </row>
    <row r="4" spans="1:4" ht="15" thickBot="1" x14ac:dyDescent="0.4"/>
    <row r="5" spans="1:4" ht="15.5" x14ac:dyDescent="0.35">
      <c r="A5" s="10" t="s">
        <v>16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40</v>
      </c>
      <c r="B11" s="17">
        <f>B7/B9</f>
        <v>0.84000000000000008</v>
      </c>
      <c r="C11" s="15"/>
    </row>
    <row r="12" spans="1:4" ht="15.5" x14ac:dyDescent="0.35">
      <c r="A12" s="13"/>
      <c r="B12" s="14"/>
      <c r="C12" s="15"/>
    </row>
    <row r="13" spans="1:4" ht="17.5" x14ac:dyDescent="0.45">
      <c r="A13" s="13" t="s">
        <v>41</v>
      </c>
      <c r="B13" s="17">
        <f>1-B11</f>
        <v>0.15999999999999992</v>
      </c>
      <c r="C13" s="15"/>
    </row>
    <row r="14" spans="1:4" ht="15.5" x14ac:dyDescent="0.35">
      <c r="A14" s="13"/>
      <c r="B14" s="16"/>
      <c r="C14" s="15"/>
    </row>
    <row r="15" spans="1:4" ht="15.5" x14ac:dyDescent="0.35">
      <c r="A15" s="13" t="s">
        <v>1</v>
      </c>
      <c r="B15" s="17">
        <f>B11^2/(1-B11)</f>
        <v>4.4100000000000028</v>
      </c>
      <c r="C15" s="15"/>
      <c r="D15" t="s">
        <v>57</v>
      </c>
    </row>
    <row r="16" spans="1:4" ht="15.5" x14ac:dyDescent="0.35">
      <c r="A16" s="13"/>
      <c r="B16" s="16"/>
      <c r="C16" s="15"/>
    </row>
    <row r="17" spans="1:4" ht="15.5" x14ac:dyDescent="0.35">
      <c r="A17" s="13" t="s">
        <v>15</v>
      </c>
      <c r="B17" s="17">
        <f>B15/B7</f>
        <v>4.2000000000000028</v>
      </c>
      <c r="C17" s="15" t="s">
        <v>20</v>
      </c>
      <c r="D17" t="s">
        <v>58</v>
      </c>
    </row>
    <row r="18" spans="1:4" ht="15.5" x14ac:dyDescent="0.35">
      <c r="A18" s="13"/>
      <c r="B18" s="16"/>
      <c r="C18" s="15"/>
    </row>
    <row r="19" spans="1:4" ht="15.5" x14ac:dyDescent="0.35">
      <c r="A19" s="13" t="s">
        <v>2</v>
      </c>
      <c r="B19" s="17">
        <f>B15+(B7/B9)</f>
        <v>5.2500000000000027</v>
      </c>
      <c r="C19" s="15"/>
      <c r="D19" t="s">
        <v>59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3</v>
      </c>
      <c r="B21" s="17">
        <f>B17+1/B9</f>
        <v>5.0000000000000027</v>
      </c>
      <c r="C21" s="15" t="s">
        <v>20</v>
      </c>
    </row>
    <row r="22" spans="1:4" ht="15" thickBot="1" x14ac:dyDescent="0.4">
      <c r="A22" s="8"/>
      <c r="B22" s="18"/>
      <c r="C22" s="9"/>
    </row>
    <row r="48" spans="1:4" x14ac:dyDescent="0.35">
      <c r="A48" t="s">
        <v>27</v>
      </c>
      <c r="B48" s="4" t="s">
        <v>28</v>
      </c>
      <c r="C48" s="4" t="s">
        <v>17</v>
      </c>
      <c r="D48" s="4"/>
    </row>
    <row r="49" spans="1:4" x14ac:dyDescent="0.35">
      <c r="A49" t="s">
        <v>29</v>
      </c>
      <c r="B49" s="5">
        <f>B7</f>
        <v>1.05</v>
      </c>
      <c r="C49" s="5">
        <f>B49</f>
        <v>1.05</v>
      </c>
      <c r="D49" s="5"/>
    </row>
    <row r="50" spans="1:4" x14ac:dyDescent="0.35">
      <c r="A50" t="s">
        <v>30</v>
      </c>
      <c r="B50" s="5">
        <f>B9</f>
        <v>1.25</v>
      </c>
      <c r="C50" s="5">
        <f>B50</f>
        <v>1.25</v>
      </c>
      <c r="D50" s="5"/>
    </row>
    <row r="51" spans="1:4" x14ac:dyDescent="0.35">
      <c r="A51" t="s">
        <v>35</v>
      </c>
      <c r="B51" s="6">
        <v>2</v>
      </c>
      <c r="C51" s="6">
        <v>1</v>
      </c>
      <c r="D51" s="6"/>
    </row>
    <row r="52" spans="1:4" x14ac:dyDescent="0.35">
      <c r="A52" t="s">
        <v>36</v>
      </c>
      <c r="B52" s="5">
        <f>B49/B50</f>
        <v>0.84000000000000008</v>
      </c>
      <c r="C52" s="5">
        <f>C49/C50</f>
        <v>0.84000000000000008</v>
      </c>
      <c r="D52" s="5"/>
    </row>
    <row r="53" spans="1:4" x14ac:dyDescent="0.35">
      <c r="A53" t="s">
        <v>31</v>
      </c>
      <c r="B53" s="5">
        <f>B15</f>
        <v>4.4100000000000028</v>
      </c>
      <c r="C53" s="5" t="e">
        <f>#REF!</f>
        <v>#REF!</v>
      </c>
      <c r="D53" s="5"/>
    </row>
    <row r="54" spans="1:4" x14ac:dyDescent="0.35">
      <c r="A54" t="s">
        <v>32</v>
      </c>
      <c r="B54" s="5">
        <f>B19</f>
        <v>5.2500000000000027</v>
      </c>
      <c r="C54" s="5" t="e">
        <f>#REF!</f>
        <v>#REF!</v>
      </c>
      <c r="D54" s="5"/>
    </row>
    <row r="55" spans="1:4" x14ac:dyDescent="0.35">
      <c r="A55" t="s">
        <v>33</v>
      </c>
      <c r="B55" s="5">
        <f>B17</f>
        <v>4.2000000000000028</v>
      </c>
      <c r="C55" s="5" t="e">
        <f>#REF!</f>
        <v>#REF!</v>
      </c>
      <c r="D55" s="5"/>
    </row>
    <row r="56" spans="1:4" x14ac:dyDescent="0.35">
      <c r="A56" t="s">
        <v>34</v>
      </c>
      <c r="B56" s="5">
        <f>B21</f>
        <v>5.0000000000000027</v>
      </c>
      <c r="C56" s="5" t="e">
        <f>#REF!</f>
        <v>#REF!</v>
      </c>
      <c r="D56" s="5"/>
    </row>
    <row r="59" spans="1:4" x14ac:dyDescent="0.35">
      <c r="B59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5B41-2E34-4400-B194-D827AEAA01C8}">
  <sheetPr>
    <tabColor theme="5"/>
  </sheetPr>
  <dimension ref="A3:D61"/>
  <sheetViews>
    <sheetView showGridLines="0" zoomScale="67" zoomScaleNormal="67" workbookViewId="0">
      <selection activeCell="B37" sqref="B37"/>
    </sheetView>
  </sheetViews>
  <sheetFormatPr defaultRowHeight="14.5" x14ac:dyDescent="0.35"/>
  <cols>
    <col min="1" max="1" width="35.54296875" customWidth="1"/>
    <col min="2" max="2" width="12.81640625" customWidth="1"/>
    <col min="3" max="3" width="12.453125" customWidth="1"/>
    <col min="4" max="4" width="22.453125" customWidth="1"/>
  </cols>
  <sheetData>
    <row r="3" spans="1:4" x14ac:dyDescent="0.35">
      <c r="A3" s="37" t="s">
        <v>49</v>
      </c>
    </row>
    <row r="4" spans="1:4" ht="15" thickBot="1" x14ac:dyDescent="0.4"/>
    <row r="5" spans="1:4" ht="15.5" x14ac:dyDescent="0.35">
      <c r="A5" s="10" t="s">
        <v>17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48</v>
      </c>
      <c r="B11" s="17">
        <v>0.5</v>
      </c>
      <c r="C11" s="15" t="s">
        <v>37</v>
      </c>
    </row>
    <row r="12" spans="1:4" ht="15.5" x14ac:dyDescent="0.35">
      <c r="A12" s="13"/>
      <c r="B12" s="14"/>
      <c r="C12" s="15"/>
    </row>
    <row r="13" spans="1:4" ht="15.5" x14ac:dyDescent="0.35">
      <c r="A13" s="13" t="s">
        <v>40</v>
      </c>
      <c r="B13" s="17">
        <f>B7/B9</f>
        <v>0.84000000000000008</v>
      </c>
      <c r="C13" s="15"/>
    </row>
    <row r="14" spans="1:4" ht="15.5" x14ac:dyDescent="0.35">
      <c r="A14" s="13"/>
      <c r="B14" s="14"/>
      <c r="C14" s="15"/>
    </row>
    <row r="15" spans="1:4" ht="17.5" x14ac:dyDescent="0.45">
      <c r="A15" s="13" t="s">
        <v>41</v>
      </c>
      <c r="B15" s="17">
        <f>1-B13</f>
        <v>0.15999999999999992</v>
      </c>
      <c r="C15" s="15"/>
    </row>
    <row r="16" spans="1:4" ht="15.5" x14ac:dyDescent="0.35">
      <c r="A16" s="13"/>
      <c r="B16" s="16"/>
      <c r="C16" s="15"/>
    </row>
    <row r="17" spans="1:4" ht="15.5" x14ac:dyDescent="0.35">
      <c r="A17" s="13" t="s">
        <v>1</v>
      </c>
      <c r="B17" s="17">
        <f>((B7^2*B11^2)+B13^2)/(2*(1-B13))</f>
        <v>3.0663281250000018</v>
      </c>
      <c r="C17" s="15"/>
      <c r="D17" t="s">
        <v>57</v>
      </c>
    </row>
    <row r="18" spans="1:4" ht="15.5" x14ac:dyDescent="0.35">
      <c r="A18" s="13"/>
      <c r="B18" s="14"/>
      <c r="C18" s="7"/>
    </row>
    <row r="19" spans="1:4" ht="15.5" x14ac:dyDescent="0.35">
      <c r="A19" s="13" t="s">
        <v>15</v>
      </c>
      <c r="B19" s="17">
        <f>B17/B7</f>
        <v>2.9203125000000014</v>
      </c>
      <c r="C19" s="15" t="s">
        <v>20</v>
      </c>
      <c r="D19" t="s">
        <v>58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2</v>
      </c>
      <c r="B21" s="17">
        <f>B17+(B7/B9)</f>
        <v>3.9063281250000017</v>
      </c>
      <c r="C21" s="15"/>
      <c r="D21" t="s">
        <v>59</v>
      </c>
    </row>
    <row r="22" spans="1:4" ht="15.5" x14ac:dyDescent="0.35">
      <c r="A22" s="13"/>
      <c r="B22" s="16"/>
      <c r="C22" s="15"/>
    </row>
    <row r="23" spans="1:4" ht="15.5" x14ac:dyDescent="0.35">
      <c r="A23" s="13" t="s">
        <v>3</v>
      </c>
      <c r="B23" s="17">
        <f>B19+(1/B9)</f>
        <v>3.7203125000000012</v>
      </c>
      <c r="C23" s="15" t="s">
        <v>20</v>
      </c>
    </row>
    <row r="24" spans="1:4" ht="15" thickBot="1" x14ac:dyDescent="0.4">
      <c r="A24" s="8"/>
      <c r="B24" s="18"/>
      <c r="C24" s="9"/>
    </row>
    <row r="50" spans="1:4" x14ac:dyDescent="0.35">
      <c r="A50" t="s">
        <v>27</v>
      </c>
      <c r="B50" s="4" t="s">
        <v>28</v>
      </c>
      <c r="C50" s="4" t="s">
        <v>17</v>
      </c>
      <c r="D50" s="4"/>
    </row>
    <row r="51" spans="1:4" x14ac:dyDescent="0.35">
      <c r="A51" t="s">
        <v>29</v>
      </c>
      <c r="B51" s="5">
        <f>B7</f>
        <v>1.05</v>
      </c>
      <c r="C51" s="5">
        <f>B51</f>
        <v>1.05</v>
      </c>
      <c r="D51" s="5"/>
    </row>
    <row r="52" spans="1:4" x14ac:dyDescent="0.35">
      <c r="A52" t="s">
        <v>30</v>
      </c>
      <c r="B52" s="5">
        <f>B9</f>
        <v>1.25</v>
      </c>
      <c r="C52" s="5">
        <f>B52</f>
        <v>1.25</v>
      </c>
      <c r="D52" s="5"/>
    </row>
    <row r="53" spans="1:4" x14ac:dyDescent="0.35">
      <c r="A53" t="s">
        <v>35</v>
      </c>
      <c r="B53" s="6">
        <v>2</v>
      </c>
      <c r="C53" s="6">
        <v>1</v>
      </c>
      <c r="D53" s="6"/>
    </row>
    <row r="54" spans="1:4" x14ac:dyDescent="0.35">
      <c r="A54" t="s">
        <v>36</v>
      </c>
      <c r="B54" s="5">
        <f>B51/B52</f>
        <v>0.84000000000000008</v>
      </c>
      <c r="C54" s="5">
        <f>C51/C52</f>
        <v>0.84000000000000008</v>
      </c>
      <c r="D54" s="5"/>
    </row>
    <row r="55" spans="1:4" x14ac:dyDescent="0.35">
      <c r="A55" t="s">
        <v>31</v>
      </c>
      <c r="B55" s="5">
        <f>B17</f>
        <v>3.0663281250000018</v>
      </c>
      <c r="C55" s="5" t="e">
        <f>#REF!</f>
        <v>#REF!</v>
      </c>
      <c r="D55" s="5"/>
    </row>
    <row r="56" spans="1:4" x14ac:dyDescent="0.35">
      <c r="A56" t="s">
        <v>32</v>
      </c>
      <c r="B56" s="5">
        <f>B21</f>
        <v>3.9063281250000017</v>
      </c>
      <c r="C56" s="5" t="e">
        <f>#REF!</f>
        <v>#REF!</v>
      </c>
      <c r="D56" s="5"/>
    </row>
    <row r="57" spans="1:4" x14ac:dyDescent="0.35">
      <c r="A57" t="s">
        <v>33</v>
      </c>
      <c r="B57" s="5">
        <f>B19</f>
        <v>2.9203125000000014</v>
      </c>
      <c r="C57" s="5" t="e">
        <f>#REF!</f>
        <v>#REF!</v>
      </c>
      <c r="D57" s="5"/>
    </row>
    <row r="58" spans="1:4" x14ac:dyDescent="0.35">
      <c r="A58" t="s">
        <v>34</v>
      </c>
      <c r="B58" s="5">
        <f>B23</f>
        <v>3.7203125000000012</v>
      </c>
      <c r="C58" s="5" t="e">
        <f>#REF!</f>
        <v>#REF!</v>
      </c>
      <c r="D58" s="5"/>
    </row>
    <row r="61" spans="1:4" x14ac:dyDescent="0.35">
      <c r="B61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BE8-5628-4411-9FF6-1EBA9D77BECF}">
  <sheetPr>
    <tabColor theme="5"/>
  </sheetPr>
  <dimension ref="A3:D59"/>
  <sheetViews>
    <sheetView showGridLines="0" zoomScale="69" zoomScaleNormal="69" workbookViewId="0">
      <selection activeCell="B11" sqref="B11"/>
    </sheetView>
  </sheetViews>
  <sheetFormatPr defaultRowHeight="14.5" x14ac:dyDescent="0.35"/>
  <cols>
    <col min="1" max="1" width="35.54296875" customWidth="1"/>
    <col min="2" max="2" width="12.81640625" customWidth="1"/>
    <col min="3" max="3" width="12.453125" customWidth="1"/>
    <col min="4" max="4" width="21.81640625" customWidth="1"/>
  </cols>
  <sheetData>
    <row r="3" spans="1:4" x14ac:dyDescent="0.35">
      <c r="A3" s="37" t="s">
        <v>50</v>
      </c>
    </row>
    <row r="4" spans="1:4" ht="15" thickBot="1" x14ac:dyDescent="0.4"/>
    <row r="5" spans="1:4" ht="15.5" x14ac:dyDescent="0.35">
      <c r="A5" s="10" t="s">
        <v>18</v>
      </c>
      <c r="B5" s="11"/>
      <c r="C5" s="12"/>
    </row>
    <row r="6" spans="1:4" ht="15.5" x14ac:dyDescent="0.35">
      <c r="A6" s="13"/>
      <c r="B6" s="14"/>
      <c r="C6" s="15"/>
    </row>
    <row r="7" spans="1:4" ht="15.5" x14ac:dyDescent="0.35">
      <c r="A7" s="13" t="s">
        <v>38</v>
      </c>
      <c r="B7" s="42">
        <f>63/60</f>
        <v>1.05</v>
      </c>
      <c r="C7" s="15" t="s">
        <v>0</v>
      </c>
      <c r="D7" t="str">
        <f ca="1">_xlfn.FORMULATEXT(B7)</f>
        <v>=63/60</v>
      </c>
    </row>
    <row r="8" spans="1:4" ht="15.5" x14ac:dyDescent="0.35">
      <c r="A8" s="13"/>
      <c r="B8" s="16"/>
      <c r="C8" s="15"/>
    </row>
    <row r="9" spans="1:4" ht="15.5" x14ac:dyDescent="0.35">
      <c r="A9" s="13" t="s">
        <v>39</v>
      </c>
      <c r="B9" s="42">
        <f>60/48</f>
        <v>1.25</v>
      </c>
      <c r="C9" s="15" t="s">
        <v>0</v>
      </c>
      <c r="D9" t="str">
        <f ca="1">_xlfn.FORMULATEXT(B9)</f>
        <v>=60/48</v>
      </c>
    </row>
    <row r="10" spans="1:4" ht="15.5" x14ac:dyDescent="0.35">
      <c r="A10" s="13"/>
      <c r="B10" s="14"/>
      <c r="C10" s="15"/>
    </row>
    <row r="11" spans="1:4" ht="15.5" x14ac:dyDescent="0.35">
      <c r="A11" s="13" t="s">
        <v>40</v>
      </c>
      <c r="B11" s="17">
        <f>B7/B9</f>
        <v>0.84000000000000008</v>
      </c>
      <c r="C11" s="15"/>
    </row>
    <row r="12" spans="1:4" ht="15.5" x14ac:dyDescent="0.35">
      <c r="A12" s="13"/>
      <c r="B12" s="14"/>
      <c r="C12" s="15"/>
    </row>
    <row r="13" spans="1:4" ht="17.5" x14ac:dyDescent="0.45">
      <c r="A13" s="13" t="s">
        <v>41</v>
      </c>
      <c r="B13" s="17">
        <f>1-B11</f>
        <v>0.15999999999999992</v>
      </c>
      <c r="C13" s="15"/>
    </row>
    <row r="14" spans="1:4" ht="15.5" x14ac:dyDescent="0.35">
      <c r="A14" s="13"/>
      <c r="B14" s="16"/>
      <c r="C14" s="15"/>
    </row>
    <row r="15" spans="1:4" ht="15.5" x14ac:dyDescent="0.35">
      <c r="A15" s="13" t="s">
        <v>1</v>
      </c>
      <c r="B15" s="17">
        <f>B11^2/(2*(1-B11))</f>
        <v>2.2050000000000014</v>
      </c>
      <c r="C15" s="15"/>
      <c r="D15" t="s">
        <v>57</v>
      </c>
    </row>
    <row r="16" spans="1:4" ht="15.5" x14ac:dyDescent="0.35">
      <c r="A16" s="13"/>
      <c r="B16" s="16"/>
      <c r="C16" s="15"/>
    </row>
    <row r="17" spans="1:4" ht="15.5" x14ac:dyDescent="0.35">
      <c r="A17" s="13" t="s">
        <v>15</v>
      </c>
      <c r="B17" s="17">
        <f>B15/B7</f>
        <v>2.1000000000000014</v>
      </c>
      <c r="C17" s="15" t="s">
        <v>20</v>
      </c>
      <c r="D17" t="s">
        <v>58</v>
      </c>
    </row>
    <row r="18" spans="1:4" ht="15.5" x14ac:dyDescent="0.35">
      <c r="A18" s="13"/>
      <c r="B18" s="16"/>
      <c r="C18" s="15"/>
    </row>
    <row r="19" spans="1:4" ht="15.5" x14ac:dyDescent="0.35">
      <c r="A19" s="13" t="s">
        <v>2</v>
      </c>
      <c r="B19" s="17">
        <f>B15+(B7/B9)</f>
        <v>3.0450000000000017</v>
      </c>
      <c r="C19" s="15"/>
      <c r="D19" t="s">
        <v>59</v>
      </c>
    </row>
    <row r="20" spans="1:4" ht="15.5" x14ac:dyDescent="0.35">
      <c r="A20" s="13"/>
      <c r="B20" s="16"/>
      <c r="C20" s="15"/>
    </row>
    <row r="21" spans="1:4" ht="15.5" x14ac:dyDescent="0.35">
      <c r="A21" s="13" t="s">
        <v>3</v>
      </c>
      <c r="B21" s="17">
        <f>B17+(1/B9)</f>
        <v>2.9000000000000012</v>
      </c>
      <c r="C21" s="15" t="s">
        <v>20</v>
      </c>
    </row>
    <row r="22" spans="1:4" ht="15" thickBot="1" x14ac:dyDescent="0.4">
      <c r="A22" s="8"/>
      <c r="B22" s="18"/>
      <c r="C22" s="9"/>
    </row>
    <row r="48" spans="1:4" x14ac:dyDescent="0.35">
      <c r="A48" t="s">
        <v>27</v>
      </c>
      <c r="B48" s="4" t="s">
        <v>28</v>
      </c>
      <c r="C48" s="4" t="s">
        <v>17</v>
      </c>
      <c r="D48" s="4"/>
    </row>
    <row r="49" spans="1:4" x14ac:dyDescent="0.35">
      <c r="A49" t="s">
        <v>29</v>
      </c>
      <c r="B49" s="5">
        <f>B7</f>
        <v>1.05</v>
      </c>
      <c r="C49" s="5">
        <f>B49</f>
        <v>1.05</v>
      </c>
      <c r="D49" s="5"/>
    </row>
    <row r="50" spans="1:4" x14ac:dyDescent="0.35">
      <c r="A50" t="s">
        <v>30</v>
      </c>
      <c r="B50" s="5">
        <f>B9</f>
        <v>1.25</v>
      </c>
      <c r="C50" s="5">
        <f>B50</f>
        <v>1.25</v>
      </c>
      <c r="D50" s="5"/>
    </row>
    <row r="51" spans="1:4" x14ac:dyDescent="0.35">
      <c r="A51" t="s">
        <v>35</v>
      </c>
      <c r="B51" s="6">
        <v>2</v>
      </c>
      <c r="C51" s="6">
        <v>1</v>
      </c>
      <c r="D51" s="6"/>
    </row>
    <row r="52" spans="1:4" x14ac:dyDescent="0.35">
      <c r="A52" t="s">
        <v>36</v>
      </c>
      <c r="B52" s="5">
        <f>B49/B50</f>
        <v>0.84000000000000008</v>
      </c>
      <c r="C52" s="5">
        <f>C49/C50</f>
        <v>0.84000000000000008</v>
      </c>
      <c r="D52" s="5"/>
    </row>
    <row r="53" spans="1:4" x14ac:dyDescent="0.35">
      <c r="A53" t="s">
        <v>31</v>
      </c>
      <c r="B53" s="5">
        <f>B15</f>
        <v>2.2050000000000014</v>
      </c>
      <c r="C53" s="5" t="e">
        <f>#REF!</f>
        <v>#REF!</v>
      </c>
      <c r="D53" s="5"/>
    </row>
    <row r="54" spans="1:4" x14ac:dyDescent="0.35">
      <c r="A54" t="s">
        <v>32</v>
      </c>
      <c r="B54" s="5">
        <f>B19</f>
        <v>3.0450000000000017</v>
      </c>
      <c r="C54" s="5" t="e">
        <f>#REF!</f>
        <v>#REF!</v>
      </c>
      <c r="D54" s="5"/>
    </row>
    <row r="55" spans="1:4" x14ac:dyDescent="0.35">
      <c r="A55" t="s">
        <v>33</v>
      </c>
      <c r="B55" s="5">
        <f>B17</f>
        <v>2.1000000000000014</v>
      </c>
      <c r="C55" s="5" t="e">
        <f>#REF!</f>
        <v>#REF!</v>
      </c>
      <c r="D55" s="5"/>
    </row>
    <row r="56" spans="1:4" x14ac:dyDescent="0.35">
      <c r="A56" t="s">
        <v>34</v>
      </c>
      <c r="B56" s="5">
        <f>B21</f>
        <v>2.9000000000000012</v>
      </c>
      <c r="C56" s="5" t="e">
        <f>#REF!</f>
        <v>#REF!</v>
      </c>
      <c r="D56" s="5"/>
    </row>
    <row r="59" spans="1:4" x14ac:dyDescent="0.35">
      <c r="B59" t="s">
        <v>19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FE3F-057D-4597-BA61-37CF0D6DCB4C}">
  <sheetPr>
    <tabColor theme="5"/>
  </sheetPr>
  <dimension ref="A3:P48"/>
  <sheetViews>
    <sheetView showGridLines="0" topLeftCell="A4" zoomScale="67" zoomScaleNormal="69" workbookViewId="0">
      <selection activeCell="E26" sqref="E26:E28"/>
    </sheetView>
  </sheetViews>
  <sheetFormatPr defaultRowHeight="14.5" x14ac:dyDescent="0.35"/>
  <cols>
    <col min="1" max="1" width="33.1796875" customWidth="1"/>
    <col min="2" max="2" width="13.81640625" bestFit="1" customWidth="1"/>
    <col min="3" max="3" width="24.453125" customWidth="1"/>
    <col min="4" max="4" width="17.453125" customWidth="1"/>
    <col min="5" max="5" width="25.08984375" customWidth="1"/>
    <col min="6" max="6" width="11.81640625" customWidth="1"/>
    <col min="7" max="7" width="15.7265625" customWidth="1"/>
    <col min="8" max="8" width="22.26953125" style="3" customWidth="1"/>
    <col min="9" max="9" width="20.26953125" style="3" customWidth="1"/>
  </cols>
  <sheetData>
    <row r="3" spans="1:9" x14ac:dyDescent="0.35">
      <c r="H3" s="3">
        <f>SUM(H9:H21)</f>
        <v>0.79423371019008859</v>
      </c>
    </row>
    <row r="4" spans="1:9" x14ac:dyDescent="0.35">
      <c r="H4" s="3">
        <f>SUM(I22:I25)</f>
        <v>3.1603249193942889E-2</v>
      </c>
    </row>
    <row r="5" spans="1:9" ht="15.5" x14ac:dyDescent="0.35">
      <c r="H5" s="367">
        <f>1-H3-H4</f>
        <v>0.17416304061596852</v>
      </c>
      <c r="I5" s="367"/>
    </row>
    <row r="6" spans="1:9" ht="18.5" x14ac:dyDescent="0.45">
      <c r="A6" s="19" t="s">
        <v>42</v>
      </c>
      <c r="B6" s="20"/>
      <c r="C6" s="20"/>
      <c r="D6" s="20"/>
      <c r="F6" s="368" t="s">
        <v>45</v>
      </c>
      <c r="G6" s="33"/>
      <c r="H6" s="371" t="s">
        <v>44</v>
      </c>
      <c r="I6" s="372"/>
    </row>
    <row r="7" spans="1:9" ht="17.5" x14ac:dyDescent="0.35">
      <c r="A7" s="21" t="s">
        <v>25</v>
      </c>
      <c r="B7" s="22" t="s">
        <v>26</v>
      </c>
      <c r="C7" s="23">
        <f>75/60</f>
        <v>1.25</v>
      </c>
      <c r="D7" s="24" t="s">
        <v>0</v>
      </c>
      <c r="F7" s="369"/>
      <c r="G7" s="34"/>
      <c r="H7" s="36"/>
      <c r="I7" s="35"/>
    </row>
    <row r="8" spans="1:9" ht="22.5" customHeight="1" x14ac:dyDescent="0.35">
      <c r="A8" s="25"/>
      <c r="B8" s="22"/>
      <c r="C8" s="22"/>
      <c r="D8" s="24"/>
      <c r="F8" s="370"/>
      <c r="G8" s="34"/>
      <c r="H8" s="38"/>
      <c r="I8" s="39"/>
    </row>
    <row r="9" spans="1:9" ht="17.5" x14ac:dyDescent="0.35">
      <c r="A9" s="21" t="s">
        <v>24</v>
      </c>
      <c r="B9" s="22" t="s">
        <v>23</v>
      </c>
      <c r="C9" s="26">
        <f>1/3</f>
        <v>0.33333333333333331</v>
      </c>
      <c r="D9" s="24" t="s">
        <v>0</v>
      </c>
      <c r="F9" s="27">
        <v>0</v>
      </c>
      <c r="G9" s="41">
        <f>($C$7/$C$9)^F9/(FACT(F9))</f>
        <v>1</v>
      </c>
      <c r="H9" s="51">
        <f>G9*$C$15</f>
        <v>1.8681358776954791E-2</v>
      </c>
      <c r="I9" s="41">
        <f>(($C$7/$C$9)^F9*$C$15)/((FACT($C$11))*$C$11^(F9-$C$11))</f>
        <v>0.48649371814986431</v>
      </c>
    </row>
    <row r="10" spans="1:9" ht="17.5" x14ac:dyDescent="0.35">
      <c r="A10" s="25"/>
      <c r="B10" s="22"/>
      <c r="C10" s="22"/>
      <c r="D10" s="24"/>
      <c r="F10" s="27">
        <v>1</v>
      </c>
      <c r="G10" s="41">
        <f t="shared" ref="G10:G34" si="0">($C$7/$C$9)^F10/(FACT(F10))</f>
        <v>3.75</v>
      </c>
      <c r="H10" s="51">
        <f t="shared" ref="H10:H34" si="1">G10*$C$15</f>
        <v>7.0055095413580459E-2</v>
      </c>
      <c r="I10" s="41">
        <f t="shared" ref="I10:I34" si="2">(($C$7/$C$9)^F10*$C$15)/((FACT($C$11))*$C$11^(F10-$C$11))</f>
        <v>0.36487028861239823</v>
      </c>
    </row>
    <row r="11" spans="1:9" ht="17.5" x14ac:dyDescent="0.35">
      <c r="A11" s="21" t="s">
        <v>22</v>
      </c>
      <c r="B11" s="22" t="s">
        <v>11</v>
      </c>
      <c r="C11" s="28">
        <v>5</v>
      </c>
      <c r="D11" s="24"/>
      <c r="F11" s="27">
        <v>2</v>
      </c>
      <c r="G11" s="41">
        <f t="shared" si="0"/>
        <v>7.03125</v>
      </c>
      <c r="H11" s="51">
        <f t="shared" si="1"/>
        <v>0.13135330390046338</v>
      </c>
      <c r="I11" s="41">
        <f t="shared" si="2"/>
        <v>0.27365271645929873</v>
      </c>
    </row>
    <row r="12" spans="1:9" ht="17.5" x14ac:dyDescent="0.35">
      <c r="A12" s="25"/>
      <c r="B12" s="22"/>
      <c r="C12" s="22"/>
      <c r="D12" s="24"/>
      <c r="F12" s="27">
        <v>3</v>
      </c>
      <c r="G12" s="41">
        <f t="shared" si="0"/>
        <v>8.7890625</v>
      </c>
      <c r="H12" s="51">
        <f t="shared" si="1"/>
        <v>0.16419162987557923</v>
      </c>
      <c r="I12" s="41">
        <f t="shared" si="2"/>
        <v>0.205239537344474</v>
      </c>
    </row>
    <row r="13" spans="1:9" ht="17.5" x14ac:dyDescent="0.35">
      <c r="A13" s="21" t="s">
        <v>21</v>
      </c>
      <c r="B13" s="29" t="s">
        <v>12</v>
      </c>
      <c r="C13" s="30">
        <f>C7/(C11*C9)</f>
        <v>0.75000000000000011</v>
      </c>
      <c r="D13" s="22"/>
      <c r="F13" s="27">
        <v>4</v>
      </c>
      <c r="G13" s="41">
        <f t="shared" si="0"/>
        <v>8.23974609375</v>
      </c>
      <c r="H13" s="51">
        <f t="shared" si="1"/>
        <v>0.15392965300835551</v>
      </c>
      <c r="I13" s="41">
        <f t="shared" si="2"/>
        <v>0.15392965300835551</v>
      </c>
    </row>
    <row r="14" spans="1:9" ht="17.5" x14ac:dyDescent="0.35">
      <c r="A14" s="21"/>
      <c r="B14" s="22"/>
      <c r="C14" s="31"/>
      <c r="D14" s="22"/>
      <c r="F14" s="27">
        <v>5</v>
      </c>
      <c r="G14" s="41">
        <f t="shared" si="0"/>
        <v>6.1798095703125</v>
      </c>
      <c r="H14" s="51">
        <f t="shared" si="1"/>
        <v>0.11544723975626664</v>
      </c>
      <c r="I14" s="41">
        <f t="shared" si="2"/>
        <v>0.11544723975626664</v>
      </c>
    </row>
    <row r="15" spans="1:9" ht="20.5" x14ac:dyDescent="0.5">
      <c r="A15" s="21" t="s">
        <v>4</v>
      </c>
      <c r="B15" s="22" t="s">
        <v>43</v>
      </c>
      <c r="C15" s="32">
        <f>1/(D26+(D30*D34))</f>
        <v>1.8681358776954791E-2</v>
      </c>
      <c r="D15" s="22"/>
      <c r="F15" s="27">
        <v>6</v>
      </c>
      <c r="G15" s="41">
        <f t="shared" si="0"/>
        <v>3.8623809814453125</v>
      </c>
      <c r="H15" s="51">
        <f t="shared" si="1"/>
        <v>7.2154524847666643E-2</v>
      </c>
      <c r="I15" s="41">
        <f t="shared" si="2"/>
        <v>8.658542981719998E-2</v>
      </c>
    </row>
    <row r="16" spans="1:9" ht="17.5" x14ac:dyDescent="0.35">
      <c r="A16" s="21"/>
      <c r="B16" s="22"/>
      <c r="C16" s="31"/>
      <c r="D16" s="22"/>
      <c r="F16" s="27">
        <v>7</v>
      </c>
      <c r="G16" s="41">
        <f t="shared" si="0"/>
        <v>2.0691326686314175</v>
      </c>
      <c r="H16" s="51">
        <f t="shared" si="1"/>
        <v>3.8654209739821421E-2</v>
      </c>
      <c r="I16" s="41">
        <f t="shared" si="2"/>
        <v>6.4939072362899988E-2</v>
      </c>
    </row>
    <row r="17" spans="1:9" ht="17.5" x14ac:dyDescent="0.35">
      <c r="A17" s="21" t="s">
        <v>5</v>
      </c>
      <c r="B17" s="22" t="s">
        <v>6</v>
      </c>
      <c r="C17" s="40">
        <f>($C$15)*(($C$7/$C$9)^$C$11*($C$7*$C$9))/(FACT($C$11-1)*($C$11*$C$9-$C$7)^2)</f>
        <v>1.3853668770752003</v>
      </c>
      <c r="D17" s="22"/>
      <c r="F17" s="27">
        <v>8</v>
      </c>
      <c r="G17" s="41">
        <f t="shared" si="0"/>
        <v>0.96990593842097694</v>
      </c>
      <c r="H17" s="51">
        <f t="shared" si="1"/>
        <v>1.8119160815541289E-2</v>
      </c>
      <c r="I17" s="41">
        <f t="shared" si="2"/>
        <v>4.8704304272174988E-2</v>
      </c>
    </row>
    <row r="18" spans="1:9" ht="17.5" x14ac:dyDescent="0.35">
      <c r="A18" s="21"/>
      <c r="B18" s="22"/>
      <c r="C18" s="31"/>
      <c r="D18" s="22"/>
      <c r="F18" s="27">
        <v>9</v>
      </c>
      <c r="G18" s="41">
        <f t="shared" si="0"/>
        <v>0.40412747434207369</v>
      </c>
      <c r="H18" s="51">
        <f t="shared" si="1"/>
        <v>7.54965033980887E-3</v>
      </c>
      <c r="I18" s="41">
        <f t="shared" si="2"/>
        <v>3.6528228204131243E-2</v>
      </c>
    </row>
    <row r="19" spans="1:9" ht="17.5" x14ac:dyDescent="0.35">
      <c r="A19" s="21" t="s">
        <v>7</v>
      </c>
      <c r="B19" s="22" t="s">
        <v>13</v>
      </c>
      <c r="C19" s="40">
        <f>($C$17)+($C$7/$C$9)</f>
        <v>5.1353668770752003</v>
      </c>
      <c r="D19" s="22"/>
      <c r="F19" s="27">
        <v>10</v>
      </c>
      <c r="G19" s="41">
        <f t="shared" si="0"/>
        <v>0.15154780287827765</v>
      </c>
      <c r="H19" s="51">
        <f t="shared" si="1"/>
        <v>2.8311188774283267E-3</v>
      </c>
      <c r="I19" s="41">
        <f t="shared" si="2"/>
        <v>2.7396171153098434E-2</v>
      </c>
    </row>
    <row r="20" spans="1:9" ht="17.5" x14ac:dyDescent="0.35">
      <c r="A20" s="21"/>
      <c r="B20" s="22"/>
      <c r="C20" s="31"/>
      <c r="D20" s="22"/>
      <c r="F20" s="27">
        <v>11</v>
      </c>
      <c r="G20" s="41">
        <f t="shared" si="0"/>
        <v>5.1664023708503745E-2</v>
      </c>
      <c r="H20" s="51">
        <f t="shared" si="1"/>
        <v>9.6515416275965685E-4</v>
      </c>
      <c r="I20" s="41">
        <f t="shared" si="2"/>
        <v>2.0547128364823825E-2</v>
      </c>
    </row>
    <row r="21" spans="1:9" ht="17.5" x14ac:dyDescent="0.35">
      <c r="A21" s="21" t="s">
        <v>8</v>
      </c>
      <c r="B21" s="22" t="s">
        <v>9</v>
      </c>
      <c r="C21" s="40">
        <f>$C$17/$C$7</f>
        <v>1.1082935016601603</v>
      </c>
      <c r="D21" s="22" t="s">
        <v>20</v>
      </c>
      <c r="F21" s="27">
        <v>12</v>
      </c>
      <c r="G21" s="41">
        <f t="shared" si="0"/>
        <v>1.6145007408907418E-2</v>
      </c>
      <c r="H21" s="51">
        <f t="shared" si="1"/>
        <v>3.016106758623927E-4</v>
      </c>
      <c r="I21" s="41">
        <f t="shared" si="2"/>
        <v>1.5410346273617866E-2</v>
      </c>
    </row>
    <row r="22" spans="1:9" ht="17.5" x14ac:dyDescent="0.35">
      <c r="A22" s="21"/>
      <c r="B22" s="22"/>
      <c r="C22" s="31"/>
      <c r="D22" s="22"/>
      <c r="F22" s="27">
        <v>13</v>
      </c>
      <c r="G22" s="41">
        <f t="shared" si="0"/>
        <v>4.6572136756463708E-3</v>
      </c>
      <c r="H22" s="41">
        <f t="shared" si="1"/>
        <v>8.7003079575690215E-5</v>
      </c>
      <c r="I22" s="51">
        <f t="shared" si="2"/>
        <v>1.1557759705213401E-2</v>
      </c>
    </row>
    <row r="23" spans="1:9" ht="17.5" x14ac:dyDescent="0.35">
      <c r="A23" s="21" t="s">
        <v>10</v>
      </c>
      <c r="B23" s="22" t="s">
        <v>14</v>
      </c>
      <c r="C23" s="40">
        <f>$C$21+(1/$C$9)</f>
        <v>4.1082935016601603</v>
      </c>
      <c r="D23" s="22" t="s">
        <v>20</v>
      </c>
      <c r="F23" s="27">
        <v>14</v>
      </c>
      <c r="G23" s="41">
        <f t="shared" si="0"/>
        <v>1.2474679488338493E-3</v>
      </c>
      <c r="H23" s="41">
        <f t="shared" si="1"/>
        <v>2.330439631491702E-5</v>
      </c>
      <c r="I23" s="51">
        <f t="shared" si="2"/>
        <v>8.66831977891005E-3</v>
      </c>
    </row>
    <row r="24" spans="1:9" ht="17.5" x14ac:dyDescent="0.35">
      <c r="A24" s="21"/>
      <c r="B24" s="22"/>
      <c r="C24" s="31"/>
      <c r="D24" s="22"/>
      <c r="F24" s="27">
        <v>15</v>
      </c>
      <c r="G24" s="41">
        <f t="shared" si="0"/>
        <v>3.1186698720846233E-4</v>
      </c>
      <c r="H24" s="41">
        <f t="shared" si="1"/>
        <v>5.826099078729255E-6</v>
      </c>
      <c r="I24" s="51">
        <f t="shared" si="2"/>
        <v>6.501239834182538E-3</v>
      </c>
    </row>
    <row r="25" spans="1:9" ht="15.5" x14ac:dyDescent="0.35">
      <c r="F25" s="27">
        <v>16</v>
      </c>
      <c r="G25" s="41">
        <f t="shared" si="0"/>
        <v>7.3093825126983368E-5</v>
      </c>
      <c r="H25" s="41">
        <f t="shared" si="1"/>
        <v>1.3654919715771694E-6</v>
      </c>
      <c r="I25" s="51">
        <f t="shared" si="2"/>
        <v>4.8759298756369035E-3</v>
      </c>
    </row>
    <row r="26" spans="1:9" ht="18.5" customHeight="1" x14ac:dyDescent="0.35">
      <c r="A26" s="355" t="s">
        <v>46</v>
      </c>
      <c r="B26" s="356">
        <f>C11-1</f>
        <v>4</v>
      </c>
      <c r="C26" s="359"/>
      <c r="D26" s="360">
        <f>SUM(G9:G13)</f>
        <v>28.81005859375</v>
      </c>
      <c r="E26" s="363" t="s">
        <v>56</v>
      </c>
      <c r="F26" s="27">
        <v>17</v>
      </c>
      <c r="G26" s="41">
        <f t="shared" si="0"/>
        <v>1.6123637895658094E-5</v>
      </c>
      <c r="H26" s="41">
        <f t="shared" si="1"/>
        <v>3.0121146431849323E-7</v>
      </c>
      <c r="I26" s="41">
        <f t="shared" si="2"/>
        <v>3.6569474067276774E-3</v>
      </c>
    </row>
    <row r="27" spans="1:9" ht="15.5" x14ac:dyDescent="0.35">
      <c r="A27" s="355"/>
      <c r="B27" s="357"/>
      <c r="C27" s="359"/>
      <c r="D27" s="361"/>
      <c r="E27" s="363"/>
      <c r="F27" s="27">
        <v>18</v>
      </c>
      <c r="G27" s="41">
        <f t="shared" si="0"/>
        <v>3.3590912282621034E-6</v>
      </c>
      <c r="H27" s="41">
        <f t="shared" si="1"/>
        <v>6.2752388399686098E-8</v>
      </c>
      <c r="I27" s="41">
        <f t="shared" si="2"/>
        <v>2.7427105550457583E-3</v>
      </c>
    </row>
    <row r="28" spans="1:9" ht="15.5" x14ac:dyDescent="0.35">
      <c r="A28" s="355"/>
      <c r="B28" s="358"/>
      <c r="C28" s="359"/>
      <c r="D28" s="362"/>
      <c r="E28" s="363"/>
      <c r="F28" s="27">
        <v>19</v>
      </c>
      <c r="G28" s="41">
        <f t="shared" si="0"/>
        <v>6.6297853189383617E-7</v>
      </c>
      <c r="H28" s="41">
        <f t="shared" si="1"/>
        <v>1.2385339815727518E-8</v>
      </c>
      <c r="I28" s="41">
        <f t="shared" si="2"/>
        <v>2.0570329162843187E-3</v>
      </c>
    </row>
    <row r="29" spans="1:9" ht="15.5" x14ac:dyDescent="0.35">
      <c r="F29" s="27">
        <v>20</v>
      </c>
      <c r="G29" s="41">
        <f t="shared" si="0"/>
        <v>1.2430847473009428E-7</v>
      </c>
      <c r="H29" s="41">
        <f t="shared" si="1"/>
        <v>2.3222512154489097E-9</v>
      </c>
      <c r="I29" s="41">
        <f t="shared" si="2"/>
        <v>1.542774687213239E-3</v>
      </c>
    </row>
    <row r="30" spans="1:9" ht="18.5" customHeight="1" x14ac:dyDescent="0.35">
      <c r="C30" s="359"/>
      <c r="D30" s="364">
        <f>($C$7/$C$9)^C11/FACT($C$11)</f>
        <v>6.1798095703125</v>
      </c>
      <c r="F30" s="27">
        <v>21</v>
      </c>
      <c r="G30" s="41">
        <f t="shared" si="0"/>
        <v>2.2197941916088264E-8</v>
      </c>
      <c r="H30" s="41">
        <f t="shared" si="1"/>
        <v>4.1468771704444812E-10</v>
      </c>
      <c r="I30" s="41">
        <f t="shared" si="2"/>
        <v>1.1570810154099293E-3</v>
      </c>
    </row>
    <row r="31" spans="1:9" ht="15.5" x14ac:dyDescent="0.35">
      <c r="C31" s="359"/>
      <c r="D31" s="365"/>
      <c r="F31" s="27">
        <v>22</v>
      </c>
      <c r="G31" s="41">
        <f t="shared" si="0"/>
        <v>3.7837400993332263E-9</v>
      </c>
      <c r="H31" s="41">
        <f t="shared" si="1"/>
        <v>7.0685406314394563E-11</v>
      </c>
      <c r="I31" s="41">
        <f t="shared" si="2"/>
        <v>8.6781076155744688E-4</v>
      </c>
    </row>
    <row r="32" spans="1:9" ht="15.5" x14ac:dyDescent="0.35">
      <c r="C32" s="359"/>
      <c r="D32" s="366"/>
      <c r="F32" s="27">
        <v>23</v>
      </c>
      <c r="G32" s="41">
        <f t="shared" si="0"/>
        <v>6.169141466304174E-10</v>
      </c>
      <c r="H32" s="41">
        <f t="shared" si="1"/>
        <v>1.1524794507781722E-11</v>
      </c>
      <c r="I32" s="41">
        <f t="shared" si="2"/>
        <v>6.5085807116808524E-4</v>
      </c>
    </row>
    <row r="33" spans="3:16" ht="15.5" x14ac:dyDescent="0.35">
      <c r="F33" s="27">
        <v>24</v>
      </c>
      <c r="G33" s="41">
        <f t="shared" si="0"/>
        <v>9.6392835411002722E-11</v>
      </c>
      <c r="H33" s="41">
        <f t="shared" si="1"/>
        <v>1.8007491418408943E-12</v>
      </c>
      <c r="I33" s="41">
        <f t="shared" si="2"/>
        <v>4.881435533760639E-4</v>
      </c>
    </row>
    <row r="34" spans="3:16" ht="18.5" customHeight="1" x14ac:dyDescent="0.35">
      <c r="C34" s="359"/>
      <c r="D34" s="364">
        <f>($C$11*$C$9)/(($C$11*$C$9)-($C$7))</f>
        <v>4.0000000000000009</v>
      </c>
      <c r="F34" s="27">
        <v>25</v>
      </c>
      <c r="G34" s="41">
        <f t="shared" si="0"/>
        <v>1.445892531165041E-11</v>
      </c>
      <c r="H34" s="41">
        <f t="shared" si="1"/>
        <v>2.7011237127613416E-13</v>
      </c>
      <c r="I34" s="41">
        <f t="shared" si="2"/>
        <v>3.6610766503204794E-4</v>
      </c>
    </row>
    <row r="35" spans="3:16" x14ac:dyDescent="0.35">
      <c r="C35" s="359"/>
      <c r="D35" s="365"/>
    </row>
    <row r="36" spans="3:16" x14ac:dyDescent="0.35">
      <c r="C36" s="359"/>
      <c r="D36" s="366"/>
    </row>
    <row r="41" spans="3:16" x14ac:dyDescent="0.35">
      <c r="P41" s="1"/>
    </row>
    <row r="48" spans="3:16" x14ac:dyDescent="0.35">
      <c r="P48" s="2"/>
    </row>
  </sheetData>
  <mergeCells count="12">
    <mergeCell ref="C30:C32"/>
    <mergeCell ref="D30:D32"/>
    <mergeCell ref="C34:C36"/>
    <mergeCell ref="D34:D36"/>
    <mergeCell ref="H5:I5"/>
    <mergeCell ref="F6:F8"/>
    <mergeCell ref="H6:I6"/>
    <mergeCell ref="A26:A28"/>
    <mergeCell ref="B26:B28"/>
    <mergeCell ref="C26:C28"/>
    <mergeCell ref="D26:D28"/>
    <mergeCell ref="E26:E28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F6E2-26A3-4CBA-B52F-DAA7D95BB8DA}">
  <sheetPr>
    <tabColor theme="5"/>
  </sheetPr>
  <dimension ref="A3:P48"/>
  <sheetViews>
    <sheetView showGridLines="0" topLeftCell="A7" zoomScale="67" zoomScaleNormal="69" workbookViewId="0">
      <selection activeCell="D26" sqref="D26:D28"/>
    </sheetView>
  </sheetViews>
  <sheetFormatPr defaultRowHeight="14.5" x14ac:dyDescent="0.35"/>
  <cols>
    <col min="1" max="1" width="31.54296875" customWidth="1"/>
    <col min="2" max="2" width="13.81640625" bestFit="1" customWidth="1"/>
    <col min="3" max="3" width="24.453125" customWidth="1"/>
    <col min="4" max="4" width="17.453125" customWidth="1"/>
    <col min="5" max="5" width="25" customWidth="1"/>
    <col min="6" max="6" width="11.81640625" customWidth="1"/>
    <col min="7" max="7" width="15.7265625" customWidth="1"/>
    <col min="8" max="8" width="22.26953125" style="3" customWidth="1"/>
    <col min="9" max="9" width="20.26953125" style="3" customWidth="1"/>
  </cols>
  <sheetData>
    <row r="3" spans="1:9" x14ac:dyDescent="0.35">
      <c r="H3" s="3">
        <f>SUM(H9:H21)</f>
        <v>0.62550981308477449</v>
      </c>
    </row>
    <row r="4" spans="1:9" x14ac:dyDescent="0.35">
      <c r="H4" s="3">
        <f>SUM(I22:I25)</f>
        <v>0.19389113844144798</v>
      </c>
    </row>
    <row r="5" spans="1:9" ht="15.5" x14ac:dyDescent="0.35">
      <c r="H5" s="367">
        <f>1-H3-H4</f>
        <v>0.18059904847377753</v>
      </c>
      <c r="I5" s="367"/>
    </row>
    <row r="6" spans="1:9" ht="18.5" x14ac:dyDescent="0.45">
      <c r="A6" s="19" t="s">
        <v>42</v>
      </c>
      <c r="B6" s="20"/>
      <c r="C6" s="20"/>
      <c r="D6" s="20"/>
      <c r="F6" s="368" t="s">
        <v>45</v>
      </c>
      <c r="G6" s="33"/>
      <c r="H6" s="371" t="s">
        <v>44</v>
      </c>
      <c r="I6" s="372"/>
    </row>
    <row r="7" spans="1:9" ht="17.5" x14ac:dyDescent="0.35">
      <c r="A7" s="21" t="s">
        <v>25</v>
      </c>
      <c r="B7" s="22" t="s">
        <v>26</v>
      </c>
      <c r="C7" s="23">
        <f>60/30</f>
        <v>2</v>
      </c>
      <c r="D7" s="24" t="s">
        <v>0</v>
      </c>
      <c r="F7" s="369"/>
      <c r="G7" s="34"/>
      <c r="H7" s="36"/>
      <c r="I7" s="35"/>
    </row>
    <row r="8" spans="1:9" ht="22.5" customHeight="1" x14ac:dyDescent="0.35">
      <c r="A8" s="25"/>
      <c r="B8" s="22"/>
      <c r="C8" s="22"/>
      <c r="D8" s="24"/>
      <c r="F8" s="370"/>
      <c r="G8" s="34"/>
      <c r="H8" s="38"/>
      <c r="I8" s="39"/>
    </row>
    <row r="9" spans="1:9" ht="17.5" x14ac:dyDescent="0.35">
      <c r="A9" s="21" t="s">
        <v>24</v>
      </c>
      <c r="B9" s="22" t="s">
        <v>23</v>
      </c>
      <c r="C9" s="26">
        <f>1/5</f>
        <v>0.2</v>
      </c>
      <c r="D9" s="24" t="s">
        <v>0</v>
      </c>
      <c r="F9" s="27">
        <v>0</v>
      </c>
      <c r="G9" s="41">
        <f>($C$7/$C$9)^F9/(FACT(F9))</f>
        <v>1</v>
      </c>
      <c r="H9" s="51">
        <f>G9*$C$15</f>
        <v>3.5876279743338452E-5</v>
      </c>
      <c r="I9" s="41">
        <f>(($C$7/$C$9)^F9*$C$15)/((FACT($C$11))*$C$11^(F9-$C$11))</f>
        <v>0.66779842468446371</v>
      </c>
    </row>
    <row r="10" spans="1:9" ht="17.5" x14ac:dyDescent="0.35">
      <c r="A10" s="25"/>
      <c r="B10" s="22"/>
      <c r="C10" s="22"/>
      <c r="D10" s="24"/>
      <c r="F10" s="27">
        <v>1</v>
      </c>
      <c r="G10" s="41">
        <f t="shared" ref="G10:G34" si="0">($C$7/$C$9)^F10/(FACT(F10))</f>
        <v>10</v>
      </c>
      <c r="H10" s="51">
        <f t="shared" ref="H10:H34" si="1">G10*$C$15</f>
        <v>3.5876279743338451E-4</v>
      </c>
      <c r="I10" s="41">
        <f t="shared" ref="I10:I34" si="2">(($C$7/$C$9)^F10*$C$15)/((FACT($C$11))*$C$11^(F10-$C$11))</f>
        <v>0.55649868723705309</v>
      </c>
    </row>
    <row r="11" spans="1:9" ht="17.5" x14ac:dyDescent="0.35">
      <c r="A11" s="21" t="s">
        <v>22</v>
      </c>
      <c r="B11" s="22" t="s">
        <v>11</v>
      </c>
      <c r="C11" s="28">
        <v>12</v>
      </c>
      <c r="D11" s="24"/>
      <c r="F11" s="27">
        <v>2</v>
      </c>
      <c r="G11" s="41">
        <f t="shared" si="0"/>
        <v>50</v>
      </c>
      <c r="H11" s="51">
        <f t="shared" si="1"/>
        <v>1.7938139871669226E-3</v>
      </c>
      <c r="I11" s="41">
        <f t="shared" si="2"/>
        <v>0.46374890603087765</v>
      </c>
    </row>
    <row r="12" spans="1:9" ht="17.5" x14ac:dyDescent="0.35">
      <c r="A12" s="25"/>
      <c r="B12" s="22"/>
      <c r="C12" s="22"/>
      <c r="D12" s="24"/>
      <c r="F12" s="27">
        <v>3</v>
      </c>
      <c r="G12" s="41">
        <f t="shared" si="0"/>
        <v>166.66666666666666</v>
      </c>
      <c r="H12" s="51">
        <f t="shared" si="1"/>
        <v>5.9793799572230751E-3</v>
      </c>
      <c r="I12" s="41">
        <f t="shared" si="2"/>
        <v>0.386457421692398</v>
      </c>
    </row>
    <row r="13" spans="1:9" ht="17.5" x14ac:dyDescent="0.35">
      <c r="A13" s="21" t="s">
        <v>21</v>
      </c>
      <c r="B13" s="29" t="s">
        <v>12</v>
      </c>
      <c r="C13" s="30">
        <f>C7/(C11*C9)</f>
        <v>0.83333333333333326</v>
      </c>
      <c r="D13" s="22"/>
      <c r="F13" s="27">
        <v>4</v>
      </c>
      <c r="G13" s="41">
        <f t="shared" si="0"/>
        <v>416.66666666666669</v>
      </c>
      <c r="H13" s="51">
        <f t="shared" si="1"/>
        <v>1.4948449893057689E-2</v>
      </c>
      <c r="I13" s="41">
        <f t="shared" si="2"/>
        <v>0.3220478514103316</v>
      </c>
    </row>
    <row r="14" spans="1:9" ht="17.5" x14ac:dyDescent="0.35">
      <c r="A14" s="21"/>
      <c r="B14" s="22"/>
      <c r="C14" s="31"/>
      <c r="D14" s="22"/>
      <c r="F14" s="27">
        <v>5</v>
      </c>
      <c r="G14" s="41">
        <f t="shared" si="0"/>
        <v>833.33333333333337</v>
      </c>
      <c r="H14" s="51">
        <f t="shared" si="1"/>
        <v>2.9896899786115379E-2</v>
      </c>
      <c r="I14" s="41">
        <f t="shared" si="2"/>
        <v>0.26837320950860971</v>
      </c>
    </row>
    <row r="15" spans="1:9" ht="20.5" x14ac:dyDescent="0.5">
      <c r="A15" s="21" t="s">
        <v>4</v>
      </c>
      <c r="B15" s="22" t="s">
        <v>43</v>
      </c>
      <c r="C15" s="32">
        <f>1/(D26+(D30*D34))</f>
        <v>3.5876279743338452E-5</v>
      </c>
      <c r="D15" s="22"/>
      <c r="F15" s="27">
        <v>6</v>
      </c>
      <c r="G15" s="41">
        <f t="shared" si="0"/>
        <v>1388.8888888888889</v>
      </c>
      <c r="H15" s="51">
        <f t="shared" si="1"/>
        <v>4.9828166310192296E-2</v>
      </c>
      <c r="I15" s="41">
        <f t="shared" si="2"/>
        <v>0.22364434125717478</v>
      </c>
    </row>
    <row r="16" spans="1:9" ht="17.5" x14ac:dyDescent="0.35">
      <c r="A16" s="21"/>
      <c r="B16" s="22"/>
      <c r="C16" s="31"/>
      <c r="D16" s="22"/>
      <c r="F16" s="27">
        <v>7</v>
      </c>
      <c r="G16" s="41">
        <f t="shared" si="0"/>
        <v>1984.1269841269841</v>
      </c>
      <c r="H16" s="51">
        <f t="shared" si="1"/>
        <v>7.1183094728846139E-2</v>
      </c>
      <c r="I16" s="41">
        <f t="shared" si="2"/>
        <v>0.18637028438097897</v>
      </c>
    </row>
    <row r="17" spans="1:9" ht="17.5" x14ac:dyDescent="0.35">
      <c r="A17" s="21" t="s">
        <v>5</v>
      </c>
      <c r="B17" s="22" t="s">
        <v>6</v>
      </c>
      <c r="C17" s="40">
        <f>($C$15)*(($C$7/$C$9)^$C$11*($C$7*$C$9))/(FACT($C$11-1)*($C$11*$C$9-$C$7)^2)</f>
        <v>2.2469411214913513</v>
      </c>
      <c r="D17" s="22"/>
      <c r="F17" s="27">
        <v>8</v>
      </c>
      <c r="G17" s="41">
        <f t="shared" si="0"/>
        <v>2480.1587301587301</v>
      </c>
      <c r="H17" s="51">
        <f t="shared" si="1"/>
        <v>8.8978868411057663E-2</v>
      </c>
      <c r="I17" s="41">
        <f t="shared" si="2"/>
        <v>0.15530857031748246</v>
      </c>
    </row>
    <row r="18" spans="1:9" ht="17.5" x14ac:dyDescent="0.35">
      <c r="A18" s="21"/>
      <c r="B18" s="22"/>
      <c r="C18" s="31"/>
      <c r="D18" s="22"/>
      <c r="F18" s="27">
        <v>9</v>
      </c>
      <c r="G18" s="41">
        <f t="shared" si="0"/>
        <v>2755.7319223985892</v>
      </c>
      <c r="H18" s="51">
        <f t="shared" si="1"/>
        <v>9.8865409345619631E-2</v>
      </c>
      <c r="I18" s="41">
        <f t="shared" si="2"/>
        <v>0.12942380859790206</v>
      </c>
    </row>
    <row r="19" spans="1:9" ht="17.5" x14ac:dyDescent="0.35">
      <c r="A19" s="21" t="s">
        <v>7</v>
      </c>
      <c r="B19" s="22" t="s">
        <v>13</v>
      </c>
      <c r="C19" s="40">
        <f>($C$17)+($C$7/$C$9)</f>
        <v>12.246941121491352</v>
      </c>
      <c r="D19" s="22"/>
      <c r="F19" s="27">
        <v>10</v>
      </c>
      <c r="G19" s="41">
        <f t="shared" si="0"/>
        <v>2755.7319223985892</v>
      </c>
      <c r="H19" s="51">
        <f t="shared" si="1"/>
        <v>9.8865409345619631E-2</v>
      </c>
      <c r="I19" s="41">
        <f t="shared" si="2"/>
        <v>0.10785317383158505</v>
      </c>
    </row>
    <row r="20" spans="1:9" ht="17.5" x14ac:dyDescent="0.35">
      <c r="A20" s="21"/>
      <c r="B20" s="22"/>
      <c r="C20" s="31"/>
      <c r="D20" s="22"/>
      <c r="F20" s="27">
        <v>11</v>
      </c>
      <c r="G20" s="41">
        <f t="shared" si="0"/>
        <v>2505.210838544172</v>
      </c>
      <c r="H20" s="51">
        <f t="shared" si="1"/>
        <v>8.9877644859654215E-2</v>
      </c>
      <c r="I20" s="41">
        <f t="shared" si="2"/>
        <v>8.9877644859654202E-2</v>
      </c>
    </row>
    <row r="21" spans="1:9" ht="17.5" x14ac:dyDescent="0.35">
      <c r="A21" s="21" t="s">
        <v>8</v>
      </c>
      <c r="B21" s="22" t="s">
        <v>9</v>
      </c>
      <c r="C21" s="40">
        <f>$C$17/$C$7</f>
        <v>1.1234705607456756</v>
      </c>
      <c r="D21" s="22" t="s">
        <v>20</v>
      </c>
      <c r="F21" s="27">
        <v>12</v>
      </c>
      <c r="G21" s="41">
        <f t="shared" si="0"/>
        <v>2087.6756987868098</v>
      </c>
      <c r="H21" s="51">
        <f t="shared" si="1"/>
        <v>7.4898037383045166E-2</v>
      </c>
      <c r="I21" s="41">
        <f t="shared" si="2"/>
        <v>7.489803738304518E-2</v>
      </c>
    </row>
    <row r="22" spans="1:9" ht="17.5" x14ac:dyDescent="0.35">
      <c r="A22" s="21"/>
      <c r="B22" s="22"/>
      <c r="C22" s="31"/>
      <c r="D22" s="22"/>
      <c r="F22" s="27">
        <v>13</v>
      </c>
      <c r="G22" s="41">
        <f t="shared" si="0"/>
        <v>1605.9043836821616</v>
      </c>
      <c r="H22" s="41">
        <f t="shared" si="1"/>
        <v>5.7613874910034751E-2</v>
      </c>
      <c r="I22" s="51">
        <f t="shared" si="2"/>
        <v>6.2415031152537652E-2</v>
      </c>
    </row>
    <row r="23" spans="1:9" ht="17.5" x14ac:dyDescent="0.35">
      <c r="A23" s="21" t="s">
        <v>10</v>
      </c>
      <c r="B23" s="22" t="s">
        <v>14</v>
      </c>
      <c r="C23" s="40">
        <f>$C$21+(1/$C$9)</f>
        <v>6.1234705607456759</v>
      </c>
      <c r="D23" s="22" t="s">
        <v>20</v>
      </c>
      <c r="F23" s="27">
        <v>14</v>
      </c>
      <c r="G23" s="41">
        <f t="shared" si="0"/>
        <v>1147.0745597729724</v>
      </c>
      <c r="H23" s="41">
        <f t="shared" si="1"/>
        <v>4.1152767792881961E-2</v>
      </c>
      <c r="I23" s="51">
        <f t="shared" si="2"/>
        <v>5.2012525960448037E-2</v>
      </c>
    </row>
    <row r="24" spans="1:9" ht="17.5" x14ac:dyDescent="0.35">
      <c r="A24" s="21"/>
      <c r="B24" s="22"/>
      <c r="C24" s="31"/>
      <c r="D24" s="22"/>
      <c r="F24" s="27">
        <v>15</v>
      </c>
      <c r="G24" s="41">
        <f t="shared" si="0"/>
        <v>764.71637318198168</v>
      </c>
      <c r="H24" s="41">
        <f t="shared" si="1"/>
        <v>2.7435178528587977E-2</v>
      </c>
      <c r="I24" s="51">
        <f t="shared" si="2"/>
        <v>4.3343771633706701E-2</v>
      </c>
    </row>
    <row r="25" spans="1:9" ht="15.5" x14ac:dyDescent="0.35">
      <c r="F25" s="27">
        <v>16</v>
      </c>
      <c r="G25" s="41">
        <f t="shared" si="0"/>
        <v>477.94773323873852</v>
      </c>
      <c r="H25" s="41">
        <f t="shared" si="1"/>
        <v>1.7146986580367486E-2</v>
      </c>
      <c r="I25" s="51">
        <f t="shared" si="2"/>
        <v>3.6119809694755582E-2</v>
      </c>
    </row>
    <row r="26" spans="1:9" ht="18.5" customHeight="1" x14ac:dyDescent="0.35">
      <c r="A26" s="355" t="s">
        <v>46</v>
      </c>
      <c r="B26" s="356">
        <f>C11-1</f>
        <v>11</v>
      </c>
      <c r="C26" s="359"/>
      <c r="D26" s="360">
        <f>SUM(G9:G20)</f>
        <v>15347.515953182619</v>
      </c>
      <c r="E26" s="363" t="s">
        <v>56</v>
      </c>
      <c r="F26" s="27">
        <v>17</v>
      </c>
      <c r="G26" s="41">
        <f t="shared" si="0"/>
        <v>281.14572543455205</v>
      </c>
      <c r="H26" s="41">
        <f t="shared" si="1"/>
        <v>1.0086462694333814E-2</v>
      </c>
      <c r="I26" s="41">
        <f t="shared" si="2"/>
        <v>3.0099841412296317E-2</v>
      </c>
    </row>
    <row r="27" spans="1:9" ht="15.5" x14ac:dyDescent="0.35">
      <c r="A27" s="355"/>
      <c r="B27" s="357"/>
      <c r="C27" s="359"/>
      <c r="D27" s="361"/>
      <c r="E27" s="363"/>
      <c r="F27" s="27">
        <v>18</v>
      </c>
      <c r="G27" s="41">
        <f t="shared" si="0"/>
        <v>156.19206968586226</v>
      </c>
      <c r="H27" s="41">
        <f t="shared" si="1"/>
        <v>5.603590385741008E-3</v>
      </c>
      <c r="I27" s="41">
        <f t="shared" si="2"/>
        <v>2.5083201176913601E-2</v>
      </c>
    </row>
    <row r="28" spans="1:9" ht="15.5" x14ac:dyDescent="0.35">
      <c r="A28" s="355"/>
      <c r="B28" s="358"/>
      <c r="C28" s="359"/>
      <c r="D28" s="362"/>
      <c r="E28" s="363"/>
      <c r="F28" s="27">
        <v>19</v>
      </c>
      <c r="G28" s="41">
        <f t="shared" si="0"/>
        <v>82.206352466243303</v>
      </c>
      <c r="H28" s="41">
        <f t="shared" si="1"/>
        <v>2.9492580977584257E-3</v>
      </c>
      <c r="I28" s="41">
        <f t="shared" si="2"/>
        <v>2.0902667647427996E-2</v>
      </c>
    </row>
    <row r="29" spans="1:9" ht="15.5" x14ac:dyDescent="0.35">
      <c r="F29" s="27">
        <v>20</v>
      </c>
      <c r="G29" s="41">
        <f t="shared" si="0"/>
        <v>41.103176233121651</v>
      </c>
      <c r="H29" s="41">
        <f t="shared" si="1"/>
        <v>1.4746290488792128E-3</v>
      </c>
      <c r="I29" s="41">
        <f t="shared" si="2"/>
        <v>1.7418889706189999E-2</v>
      </c>
    </row>
    <row r="30" spans="1:9" ht="18.5" customHeight="1" x14ac:dyDescent="0.35">
      <c r="C30" s="359"/>
      <c r="D30" s="364">
        <f>($C$7/$C$9)^C11/FACT($C$11)</f>
        <v>2087.6756987868098</v>
      </c>
      <c r="F30" s="27">
        <v>21</v>
      </c>
      <c r="G30" s="41">
        <f t="shared" si="0"/>
        <v>19.572941063391262</v>
      </c>
      <c r="H30" s="41">
        <f t="shared" si="1"/>
        <v>7.022043089901013E-4</v>
      </c>
      <c r="I30" s="41">
        <f t="shared" si="2"/>
        <v>1.4515741421824999E-2</v>
      </c>
    </row>
    <row r="31" spans="1:9" ht="15.5" x14ac:dyDescent="0.35">
      <c r="C31" s="359"/>
      <c r="D31" s="365"/>
      <c r="F31" s="27">
        <v>22</v>
      </c>
      <c r="G31" s="41">
        <f t="shared" si="0"/>
        <v>8.8967913924505737</v>
      </c>
      <c r="H31" s="41">
        <f t="shared" si="1"/>
        <v>3.191837768136824E-4</v>
      </c>
      <c r="I31" s="41">
        <f t="shared" si="2"/>
        <v>1.2096451184854166E-2</v>
      </c>
    </row>
    <row r="32" spans="1:9" ht="15.5" x14ac:dyDescent="0.35">
      <c r="C32" s="359"/>
      <c r="D32" s="366"/>
      <c r="F32" s="27">
        <v>23</v>
      </c>
      <c r="G32" s="41">
        <f t="shared" si="0"/>
        <v>3.8681701706306835</v>
      </c>
      <c r="H32" s="41">
        <f t="shared" si="1"/>
        <v>1.3877555513638364E-4</v>
      </c>
      <c r="I32" s="41">
        <f t="shared" si="2"/>
        <v>1.0080375987378471E-2</v>
      </c>
    </row>
    <row r="33" spans="3:16" ht="15.5" x14ac:dyDescent="0.35">
      <c r="F33" s="27">
        <v>24</v>
      </c>
      <c r="G33" s="41">
        <f t="shared" si="0"/>
        <v>1.6117375710961184</v>
      </c>
      <c r="H33" s="41">
        <f t="shared" si="1"/>
        <v>5.7823147973493192E-5</v>
      </c>
      <c r="I33" s="41">
        <f t="shared" si="2"/>
        <v>8.4003133228153937E-3</v>
      </c>
    </row>
    <row r="34" spans="3:16" ht="18.5" customHeight="1" x14ac:dyDescent="0.35">
      <c r="C34" s="359"/>
      <c r="D34" s="364">
        <f>($C$11*$C$9)/(($C$11*$C$9)-($C$7))</f>
        <v>5.9999999999999956</v>
      </c>
      <c r="F34" s="27">
        <v>25</v>
      </c>
      <c r="G34" s="41">
        <f t="shared" si="0"/>
        <v>0.6446950284384475</v>
      </c>
      <c r="H34" s="41">
        <f t="shared" si="1"/>
        <v>2.3129259189397282E-5</v>
      </c>
      <c r="I34" s="41">
        <f t="shared" si="2"/>
        <v>7.0002611023461609E-3</v>
      </c>
    </row>
    <row r="35" spans="3:16" x14ac:dyDescent="0.35">
      <c r="C35" s="359"/>
      <c r="D35" s="365"/>
    </row>
    <row r="36" spans="3:16" x14ac:dyDescent="0.35">
      <c r="C36" s="359"/>
      <c r="D36" s="366"/>
    </row>
    <row r="41" spans="3:16" x14ac:dyDescent="0.35">
      <c r="P41" s="1"/>
    </row>
    <row r="48" spans="3:16" x14ac:dyDescent="0.35">
      <c r="P48" s="2"/>
    </row>
  </sheetData>
  <mergeCells count="12">
    <mergeCell ref="D34:D36"/>
    <mergeCell ref="C34:C36"/>
    <mergeCell ref="F6:F8"/>
    <mergeCell ref="H6:I6"/>
    <mergeCell ref="A26:A28"/>
    <mergeCell ref="B26:B28"/>
    <mergeCell ref="C26:C28"/>
    <mergeCell ref="H5:I5"/>
    <mergeCell ref="C30:C32"/>
    <mergeCell ref="D26:D28"/>
    <mergeCell ref="D30:D32"/>
    <mergeCell ref="E26:E28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16FC-1753-47F9-9E36-54117FBB0E4A}">
  <sheetPr>
    <tabColor theme="5"/>
  </sheetPr>
  <dimension ref="A1:Q47"/>
  <sheetViews>
    <sheetView showGridLines="0" zoomScale="71" zoomScaleNormal="71" workbookViewId="0">
      <selection activeCell="D25" sqref="D25:D27"/>
    </sheetView>
  </sheetViews>
  <sheetFormatPr defaultRowHeight="14.5" x14ac:dyDescent="0.35"/>
  <cols>
    <col min="1" max="1" width="32.81640625" customWidth="1"/>
    <col min="2" max="2" width="13.81640625" bestFit="1" customWidth="1"/>
    <col min="3" max="3" width="24.453125" customWidth="1"/>
    <col min="4" max="4" width="17.453125" customWidth="1"/>
    <col min="5" max="5" width="25.1796875" customWidth="1"/>
    <col min="6" max="6" width="4.54296875" customWidth="1"/>
    <col min="7" max="7" width="11.81640625" customWidth="1"/>
    <col min="8" max="8" width="29.453125" customWidth="1"/>
    <col min="9" max="9" width="30" style="3" customWidth="1"/>
    <col min="10" max="10" width="20.1796875" style="3" customWidth="1"/>
  </cols>
  <sheetData>
    <row r="1" spans="1:10" ht="45.5" x14ac:dyDescent="0.55000000000000004">
      <c r="A1" s="43" t="s">
        <v>51</v>
      </c>
      <c r="H1" s="44" t="s">
        <v>52</v>
      </c>
      <c r="I1" s="44" t="s">
        <v>53</v>
      </c>
    </row>
    <row r="2" spans="1:10" ht="23.5" x14ac:dyDescent="0.55000000000000004">
      <c r="A2" s="45" t="s">
        <v>54</v>
      </c>
      <c r="H2" s="46">
        <f>SUM(I8:I15)</f>
        <v>0.58178124738024328</v>
      </c>
      <c r="I2" s="46">
        <f>1-SUM(I8:I16)-J17</f>
        <v>0.25526046912826938</v>
      </c>
    </row>
    <row r="3" spans="1:10" ht="23.5" x14ac:dyDescent="0.55000000000000004">
      <c r="A3" s="45" t="s">
        <v>55</v>
      </c>
    </row>
    <row r="4" spans="1:10" ht="15.5" x14ac:dyDescent="0.35">
      <c r="I4" s="367"/>
      <c r="J4" s="367"/>
    </row>
    <row r="5" spans="1:10" ht="18.5" x14ac:dyDescent="0.45">
      <c r="A5" s="19" t="s">
        <v>42</v>
      </c>
      <c r="B5" s="20"/>
      <c r="C5" s="20"/>
      <c r="D5" s="20"/>
      <c r="E5" s="20"/>
      <c r="G5" s="368" t="s">
        <v>45</v>
      </c>
      <c r="H5" s="33"/>
      <c r="I5" s="371" t="s">
        <v>44</v>
      </c>
      <c r="J5" s="372"/>
    </row>
    <row r="6" spans="1:10" ht="17.5" x14ac:dyDescent="0.35">
      <c r="A6" s="21" t="s">
        <v>25</v>
      </c>
      <c r="B6" s="22" t="s">
        <v>26</v>
      </c>
      <c r="C6" s="23">
        <f>150/60</f>
        <v>2.5</v>
      </c>
      <c r="D6" s="24" t="s">
        <v>0</v>
      </c>
      <c r="E6" s="52"/>
      <c r="G6" s="369"/>
      <c r="H6" s="34"/>
      <c r="I6" s="36"/>
      <c r="J6" s="35"/>
    </row>
    <row r="7" spans="1:10" ht="25.5" customHeight="1" x14ac:dyDescent="0.35">
      <c r="A7" s="25"/>
      <c r="B7" s="22"/>
      <c r="C7" s="22"/>
      <c r="D7" s="24"/>
      <c r="E7" s="52"/>
      <c r="G7" s="370"/>
      <c r="H7" s="34"/>
      <c r="I7" s="38"/>
      <c r="J7" s="39"/>
    </row>
    <row r="8" spans="1:10" ht="17.5" x14ac:dyDescent="0.35">
      <c r="A8" s="21" t="s">
        <v>24</v>
      </c>
      <c r="B8" s="22" t="s">
        <v>23</v>
      </c>
      <c r="C8" s="47">
        <f>1/2.5</f>
        <v>0.4</v>
      </c>
      <c r="D8" s="24" t="s">
        <v>0</v>
      </c>
      <c r="E8" s="52"/>
      <c r="G8" s="27">
        <v>0</v>
      </c>
      <c r="H8" s="41">
        <f>($C$6/$C$8)^G8/(FACT(G8))</f>
        <v>1</v>
      </c>
      <c r="I8" s="48">
        <f>H8*$C$14</f>
        <v>1.584280032996829E-3</v>
      </c>
      <c r="J8" s="41">
        <f>(($C$6/$C$8)^G8*$C$14)/((FACT($C$10))*$C$10^(G8-$C$10))</f>
        <v>0.6592214364601916</v>
      </c>
    </row>
    <row r="9" spans="1:10" ht="17.5" x14ac:dyDescent="0.35">
      <c r="A9" s="25"/>
      <c r="B9" s="22"/>
      <c r="C9" s="22"/>
      <c r="D9" s="24"/>
      <c r="E9" s="52"/>
      <c r="G9" s="27">
        <v>1</v>
      </c>
      <c r="H9" s="41">
        <f t="shared" ref="H9:H33" si="0">($C$6/$C$8)^G9/(FACT(G9))</f>
        <v>6.25</v>
      </c>
      <c r="I9" s="48">
        <f t="shared" ref="I9:I33" si="1">H9*$C$14</f>
        <v>9.9017502062301813E-3</v>
      </c>
      <c r="J9" s="41">
        <f t="shared" ref="J9:J33" si="2">(($C$6/$C$8)^G9*$C$14)/((FACT($C$10))*$C$10^(G9-$C$10))</f>
        <v>0.51501674723452473</v>
      </c>
    </row>
    <row r="10" spans="1:10" ht="17.5" x14ac:dyDescent="0.35">
      <c r="A10" s="21" t="s">
        <v>22</v>
      </c>
      <c r="B10" s="22" t="s">
        <v>11</v>
      </c>
      <c r="C10" s="28">
        <v>8</v>
      </c>
      <c r="D10" s="24"/>
      <c r="E10" s="52"/>
      <c r="G10" s="27">
        <v>2</v>
      </c>
      <c r="H10" s="41">
        <f t="shared" si="0"/>
        <v>19.53125</v>
      </c>
      <c r="I10" s="48">
        <f t="shared" si="1"/>
        <v>3.0942969394469316E-2</v>
      </c>
      <c r="J10" s="41">
        <f t="shared" si="2"/>
        <v>0.40235683377697246</v>
      </c>
    </row>
    <row r="11" spans="1:10" ht="17.5" x14ac:dyDescent="0.35">
      <c r="A11" s="25"/>
      <c r="B11" s="22"/>
      <c r="C11" s="22"/>
      <c r="D11" s="24"/>
      <c r="E11" s="52"/>
      <c r="G11" s="27">
        <v>3</v>
      </c>
      <c r="H11" s="41">
        <f t="shared" si="0"/>
        <v>40.690104166666664</v>
      </c>
      <c r="I11" s="48">
        <f t="shared" si="1"/>
        <v>6.4464519571811069E-2</v>
      </c>
      <c r="J11" s="41">
        <f t="shared" si="2"/>
        <v>0.3143412763882597</v>
      </c>
    </row>
    <row r="12" spans="1:10" ht="17.5" x14ac:dyDescent="0.35">
      <c r="A12" s="21" t="s">
        <v>21</v>
      </c>
      <c r="B12" s="29" t="s">
        <v>12</v>
      </c>
      <c r="C12" s="30">
        <f>C6/(C10*C8)</f>
        <v>0.78125</v>
      </c>
      <c r="D12" s="22"/>
      <c r="E12" s="53"/>
      <c r="G12" s="27">
        <v>4</v>
      </c>
      <c r="H12" s="41">
        <f t="shared" si="0"/>
        <v>63.578287760416664</v>
      </c>
      <c r="I12" s="48">
        <f t="shared" si="1"/>
        <v>0.1007258118309548</v>
      </c>
      <c r="J12" s="41">
        <f t="shared" si="2"/>
        <v>0.24557912217832789</v>
      </c>
    </row>
    <row r="13" spans="1:10" ht="17.5" x14ac:dyDescent="0.35">
      <c r="A13" s="21"/>
      <c r="B13" s="22"/>
      <c r="C13" s="31"/>
      <c r="D13" s="22"/>
      <c r="E13" s="53"/>
      <c r="G13" s="27">
        <v>5</v>
      </c>
      <c r="H13" s="41">
        <f t="shared" si="0"/>
        <v>79.472859700520829</v>
      </c>
      <c r="I13" s="48">
        <f t="shared" si="1"/>
        <v>0.12590726478869349</v>
      </c>
      <c r="J13" s="41">
        <f t="shared" si="2"/>
        <v>0.19185868920181867</v>
      </c>
    </row>
    <row r="14" spans="1:10" ht="20.5" x14ac:dyDescent="0.5">
      <c r="A14" s="21" t="s">
        <v>4</v>
      </c>
      <c r="B14" s="22" t="s">
        <v>43</v>
      </c>
      <c r="C14" s="32">
        <f>1/(D25+(D29*D33))</f>
        <v>1.584280032996829E-3</v>
      </c>
      <c r="D14" s="22"/>
      <c r="E14" s="53"/>
      <c r="G14" s="27">
        <v>6</v>
      </c>
      <c r="H14" s="41">
        <f t="shared" si="0"/>
        <v>82.784228854709198</v>
      </c>
      <c r="I14" s="48">
        <f t="shared" si="1"/>
        <v>0.13115340082155574</v>
      </c>
      <c r="J14" s="41">
        <f t="shared" si="2"/>
        <v>0.14988960093892084</v>
      </c>
    </row>
    <row r="15" spans="1:10" ht="17.5" x14ac:dyDescent="0.35">
      <c r="A15" s="21"/>
      <c r="B15" s="22"/>
      <c r="C15" s="31"/>
      <c r="D15" s="22"/>
      <c r="E15" s="53"/>
      <c r="G15" s="27">
        <v>7</v>
      </c>
      <c r="H15" s="41">
        <f t="shared" si="0"/>
        <v>73.914490048847497</v>
      </c>
      <c r="I15" s="48">
        <f t="shared" si="1"/>
        <v>0.11710125073353191</v>
      </c>
      <c r="J15" s="41">
        <f t="shared" si="2"/>
        <v>0.11710125073353191</v>
      </c>
    </row>
    <row r="16" spans="1:10" ht="17.5" x14ac:dyDescent="0.35">
      <c r="A16" s="21" t="s">
        <v>5</v>
      </c>
      <c r="B16" s="22" t="s">
        <v>6</v>
      </c>
      <c r="C16" s="49">
        <f>($C$14)*(($C$6/$C$8)^$C$10*($C$6*$C$8))/(FACT($C$10-1)*($C$10*$C$8-$C$6)^2)</f>
        <v>1.4936384022134164</v>
      </c>
      <c r="D16" s="22"/>
      <c r="E16" s="53"/>
      <c r="G16" s="27">
        <v>8</v>
      </c>
      <c r="H16" s="41">
        <f t="shared" si="0"/>
        <v>57.74569535066211</v>
      </c>
      <c r="I16" s="41">
        <f t="shared" si="1"/>
        <v>9.1485352135571796E-2</v>
      </c>
      <c r="J16" s="41">
        <f t="shared" si="2"/>
        <v>9.1485352135571796E-2</v>
      </c>
    </row>
    <row r="17" spans="1:10" ht="17.5" x14ac:dyDescent="0.35">
      <c r="A17" s="21"/>
      <c r="B17" s="22"/>
      <c r="C17" s="50"/>
      <c r="D17" s="22"/>
      <c r="E17" s="53"/>
      <c r="G17" s="27">
        <v>9</v>
      </c>
      <c r="H17" s="41">
        <f t="shared" si="0"/>
        <v>40.101177326848685</v>
      </c>
      <c r="I17" s="41">
        <f t="shared" si="1"/>
        <v>6.3531494538591526E-2</v>
      </c>
      <c r="J17" s="41">
        <f t="shared" si="2"/>
        <v>7.1472931355915467E-2</v>
      </c>
    </row>
    <row r="18" spans="1:10" ht="17.5" x14ac:dyDescent="0.35">
      <c r="A18" s="21" t="s">
        <v>7</v>
      </c>
      <c r="B18" s="22" t="s">
        <v>13</v>
      </c>
      <c r="C18" s="49">
        <f>($C$16)+($C$6/$C$8)</f>
        <v>7.7436384022134161</v>
      </c>
      <c r="D18" s="22"/>
      <c r="E18" s="53"/>
      <c r="G18" s="27">
        <v>10</v>
      </c>
      <c r="H18" s="41">
        <f t="shared" si="0"/>
        <v>25.06323582928043</v>
      </c>
      <c r="I18" s="41">
        <f t="shared" si="1"/>
        <v>3.9707184086619704E-2</v>
      </c>
      <c r="J18" s="41">
        <f t="shared" si="2"/>
        <v>5.5838227621808963E-2</v>
      </c>
    </row>
    <row r="19" spans="1:10" ht="17.5" x14ac:dyDescent="0.35">
      <c r="A19" s="21"/>
      <c r="B19" s="22"/>
      <c r="C19" s="50"/>
      <c r="D19" s="22"/>
      <c r="E19" s="53"/>
      <c r="G19" s="27">
        <v>11</v>
      </c>
      <c r="H19" s="41">
        <f t="shared" si="0"/>
        <v>14.240474903000244</v>
      </c>
      <c r="I19" s="41">
        <f t="shared" si="1"/>
        <v>2.2560900049215741E-2</v>
      </c>
      <c r="J19" s="41">
        <f t="shared" si="2"/>
        <v>4.3623615329538248E-2</v>
      </c>
    </row>
    <row r="20" spans="1:10" ht="17.5" x14ac:dyDescent="0.35">
      <c r="A20" s="21" t="s">
        <v>8</v>
      </c>
      <c r="B20" s="22" t="s">
        <v>9</v>
      </c>
      <c r="C20" s="49">
        <f>$C$16/$C$6</f>
        <v>0.59745536088536655</v>
      </c>
      <c r="D20" s="22" t="s">
        <v>20</v>
      </c>
      <c r="E20" s="53"/>
      <c r="G20" s="27">
        <v>12</v>
      </c>
      <c r="H20" s="41">
        <f t="shared" si="0"/>
        <v>7.4169140119792933</v>
      </c>
      <c r="I20" s="41">
        <f t="shared" si="1"/>
        <v>1.1750468775633198E-2</v>
      </c>
      <c r="J20" s="41">
        <f t="shared" si="2"/>
        <v>3.4080949476201758E-2</v>
      </c>
    </row>
    <row r="21" spans="1:10" ht="17.5" x14ac:dyDescent="0.35">
      <c r="A21" s="21"/>
      <c r="B21" s="22"/>
      <c r="C21" s="50"/>
      <c r="D21" s="22"/>
      <c r="E21" s="53"/>
      <c r="G21" s="27">
        <v>13</v>
      </c>
      <c r="H21" s="41">
        <f t="shared" si="0"/>
        <v>3.5658240442208147</v>
      </c>
      <c r="I21" s="41">
        <f t="shared" si="1"/>
        <v>5.6492638344390386E-3</v>
      </c>
      <c r="J21" s="41">
        <f t="shared" si="2"/>
        <v>2.6625741778282627E-2</v>
      </c>
    </row>
    <row r="22" spans="1:10" ht="17.5" x14ac:dyDescent="0.35">
      <c r="A22" s="21" t="s">
        <v>10</v>
      </c>
      <c r="B22" s="22" t="s">
        <v>14</v>
      </c>
      <c r="C22" s="49">
        <f>$C$20+(1/$C$8)</f>
        <v>3.0974553608853665</v>
      </c>
      <c r="D22" s="22" t="s">
        <v>20</v>
      </c>
      <c r="E22" s="53"/>
      <c r="G22" s="27">
        <v>14</v>
      </c>
      <c r="H22" s="41">
        <f t="shared" si="0"/>
        <v>1.5918857340271493</v>
      </c>
      <c r="I22" s="41">
        <f t="shared" si="1"/>
        <v>2.5219927832317132E-3</v>
      </c>
      <c r="J22" s="41">
        <f t="shared" si="2"/>
        <v>2.0801360764283301E-2</v>
      </c>
    </row>
    <row r="23" spans="1:10" ht="17.5" x14ac:dyDescent="0.35">
      <c r="A23" s="21"/>
      <c r="B23" s="22"/>
      <c r="C23" s="31"/>
      <c r="D23" s="22"/>
      <c r="E23" s="53"/>
      <c r="G23" s="27">
        <v>15</v>
      </c>
      <c r="H23" s="41">
        <f t="shared" si="0"/>
        <v>0.66328572251131224</v>
      </c>
      <c r="I23" s="41">
        <f t="shared" si="1"/>
        <v>1.0508303263465472E-3</v>
      </c>
      <c r="J23" s="41">
        <f t="shared" si="2"/>
        <v>1.6251063097096331E-2</v>
      </c>
    </row>
    <row r="24" spans="1:10" ht="15.5" x14ac:dyDescent="0.35">
      <c r="G24" s="27">
        <v>16</v>
      </c>
      <c r="H24" s="41">
        <f t="shared" si="0"/>
        <v>0.25909598535598133</v>
      </c>
      <c r="I24" s="41">
        <f t="shared" si="1"/>
        <v>4.1048059622912002E-4</v>
      </c>
      <c r="J24" s="41">
        <f t="shared" si="2"/>
        <v>1.2696143044606508E-2</v>
      </c>
    </row>
    <row r="25" spans="1:10" ht="18.5" customHeight="1" x14ac:dyDescent="0.35">
      <c r="A25" s="355" t="s">
        <v>46</v>
      </c>
      <c r="B25" s="356">
        <f>C10-1</f>
        <v>7</v>
      </c>
      <c r="C25" s="359"/>
      <c r="D25" s="360">
        <f>SUM(H8:H15)</f>
        <v>367.22122053116084</v>
      </c>
      <c r="E25" s="363" t="s">
        <v>56</v>
      </c>
      <c r="G25" s="27">
        <v>17</v>
      </c>
      <c r="H25" s="41">
        <f t="shared" si="0"/>
        <v>9.5255876969110781E-2</v>
      </c>
      <c r="I25" s="41">
        <f t="shared" si="1"/>
        <v>1.5091198390776472E-4</v>
      </c>
      <c r="J25" s="41">
        <f t="shared" si="2"/>
        <v>9.9188617535988337E-3</v>
      </c>
    </row>
    <row r="26" spans="1:10" ht="18.5" customHeight="1" x14ac:dyDescent="0.35">
      <c r="A26" s="355"/>
      <c r="B26" s="357"/>
      <c r="C26" s="359"/>
      <c r="D26" s="361"/>
      <c r="E26" s="363"/>
      <c r="G26" s="27">
        <v>18</v>
      </c>
      <c r="H26" s="41">
        <f t="shared" si="0"/>
        <v>3.3074957280941245E-2</v>
      </c>
      <c r="I26" s="41">
        <f t="shared" si="1"/>
        <v>5.2399994412418306E-5</v>
      </c>
      <c r="J26" s="41">
        <f t="shared" si="2"/>
        <v>7.7491107449990885E-3</v>
      </c>
    </row>
    <row r="27" spans="1:10" ht="37" customHeight="1" x14ac:dyDescent="0.35">
      <c r="A27" s="355"/>
      <c r="B27" s="358"/>
      <c r="C27" s="359"/>
      <c r="D27" s="362"/>
      <c r="E27" s="363"/>
      <c r="G27" s="27">
        <v>19</v>
      </c>
      <c r="H27" s="41">
        <f t="shared" si="0"/>
        <v>1.0879920158204355E-2</v>
      </c>
      <c r="I27" s="41">
        <f t="shared" si="1"/>
        <v>1.7236840267242862E-5</v>
      </c>
      <c r="J27" s="41">
        <f t="shared" si="2"/>
        <v>6.0539927695305376E-3</v>
      </c>
    </row>
    <row r="28" spans="1:10" ht="15.5" x14ac:dyDescent="0.35">
      <c r="G28" s="27">
        <v>20</v>
      </c>
      <c r="H28" s="41">
        <f t="shared" si="0"/>
        <v>3.3999750494388614E-3</v>
      </c>
      <c r="I28" s="41">
        <f t="shared" si="1"/>
        <v>5.3865125835133947E-6</v>
      </c>
      <c r="J28" s="41">
        <f t="shared" si="2"/>
        <v>4.7296818511957323E-3</v>
      </c>
    </row>
    <row r="29" spans="1:10" ht="18.5" customHeight="1" x14ac:dyDescent="0.35">
      <c r="C29" s="359"/>
      <c r="D29" s="364">
        <f>($C$6/$C$8)^C10/FACT($C$10)</f>
        <v>57.74569535066211</v>
      </c>
      <c r="E29" s="54"/>
      <c r="G29" s="27">
        <v>21</v>
      </c>
      <c r="H29" s="41">
        <f t="shared" si="0"/>
        <v>1.0118973361425182E-3</v>
      </c>
      <c r="I29" s="41">
        <f t="shared" si="1"/>
        <v>1.603128745093272E-6</v>
      </c>
      <c r="J29" s="41">
        <f t="shared" si="2"/>
        <v>3.6950639462466663E-3</v>
      </c>
    </row>
    <row r="30" spans="1:10" ht="18.5" x14ac:dyDescent="0.35">
      <c r="C30" s="359"/>
      <c r="D30" s="365"/>
      <c r="E30" s="54"/>
      <c r="G30" s="27">
        <v>22</v>
      </c>
      <c r="H30" s="41">
        <f t="shared" si="0"/>
        <v>2.8747083413139727E-4</v>
      </c>
      <c r="I30" s="41">
        <f t="shared" si="1"/>
        <v>4.55434302583316E-7</v>
      </c>
      <c r="J30" s="41">
        <f t="shared" si="2"/>
        <v>2.8867687080052083E-3</v>
      </c>
    </row>
    <row r="31" spans="1:10" ht="18.5" x14ac:dyDescent="0.35">
      <c r="C31" s="359"/>
      <c r="D31" s="366"/>
      <c r="E31" s="54"/>
      <c r="G31" s="27">
        <v>23</v>
      </c>
      <c r="H31" s="41">
        <f t="shared" si="0"/>
        <v>7.8117074492227502E-5</v>
      </c>
      <c r="I31" s="41">
        <f t="shared" si="1"/>
        <v>1.2375932135416194E-7</v>
      </c>
      <c r="J31" s="41">
        <f t="shared" si="2"/>
        <v>2.2552880531290687E-3</v>
      </c>
    </row>
    <row r="32" spans="1:10" ht="15.5" x14ac:dyDescent="0.35">
      <c r="G32" s="27">
        <v>24</v>
      </c>
      <c r="H32" s="41">
        <f t="shared" si="0"/>
        <v>2.0342988149017584E-5</v>
      </c>
      <c r="I32" s="41">
        <f t="shared" si="1"/>
        <v>3.2228989935979675E-8</v>
      </c>
      <c r="J32" s="41">
        <f t="shared" si="2"/>
        <v>1.7619437915070849E-3</v>
      </c>
    </row>
    <row r="33" spans="3:17" ht="18.5" customHeight="1" x14ac:dyDescent="0.35">
      <c r="C33" s="359"/>
      <c r="D33" s="364">
        <f>($C$10*$C$8)/(($C$10*$C$8)-($C$6))</f>
        <v>4.5714285714285703</v>
      </c>
      <c r="E33" s="54"/>
      <c r="G33" s="27">
        <v>25</v>
      </c>
      <c r="H33" s="41">
        <f t="shared" si="0"/>
        <v>5.0857470372543959E-6</v>
      </c>
      <c r="I33" s="41">
        <f t="shared" si="1"/>
        <v>8.0572474839949188E-9</v>
      </c>
      <c r="J33" s="41">
        <f t="shared" si="2"/>
        <v>1.3765185871149103E-3</v>
      </c>
    </row>
    <row r="34" spans="3:17" ht="14.5" customHeight="1" x14ac:dyDescent="0.35">
      <c r="C34" s="359"/>
      <c r="D34" s="365"/>
      <c r="E34" s="54"/>
    </row>
    <row r="35" spans="3:17" ht="18.5" x14ac:dyDescent="0.35">
      <c r="C35" s="359"/>
      <c r="D35" s="366"/>
      <c r="E35" s="54"/>
    </row>
    <row r="40" spans="3:17" x14ac:dyDescent="0.35">
      <c r="Q40" s="1"/>
    </row>
    <row r="42" spans="3:17" x14ac:dyDescent="0.35">
      <c r="G42">
        <f>0.019 + 0.07 + 0.131 + 0.164 + 0.154 + 0.115</f>
        <v>0.65300000000000002</v>
      </c>
    </row>
    <row r="47" spans="3:17" x14ac:dyDescent="0.35">
      <c r="Q47" s="2"/>
    </row>
  </sheetData>
  <mergeCells count="12">
    <mergeCell ref="I4:J4"/>
    <mergeCell ref="G5:G7"/>
    <mergeCell ref="I5:J5"/>
    <mergeCell ref="A25:A27"/>
    <mergeCell ref="B25:B27"/>
    <mergeCell ref="C25:C27"/>
    <mergeCell ref="E25:E27"/>
    <mergeCell ref="C29:C31"/>
    <mergeCell ref="C33:C35"/>
    <mergeCell ref="D29:D31"/>
    <mergeCell ref="D25:D27"/>
    <mergeCell ref="D33:D35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B877-8169-492F-86AE-FF6A4F56BAA1}">
  <sheetPr>
    <pageSetUpPr fitToPage="1"/>
  </sheetPr>
  <dimension ref="J1:S50"/>
  <sheetViews>
    <sheetView showGridLines="0" zoomScale="72" zoomScaleNormal="72" workbookViewId="0">
      <selection activeCell="P17" sqref="P17"/>
    </sheetView>
  </sheetViews>
  <sheetFormatPr defaultRowHeight="14.5" x14ac:dyDescent="0.35"/>
  <cols>
    <col min="9" max="9" width="10.1796875" customWidth="1"/>
    <col min="10" max="10" width="13.1796875" customWidth="1"/>
    <col min="11" max="11" width="23.7265625" customWidth="1"/>
    <col min="12" max="12" width="30.453125" customWidth="1"/>
    <col min="13" max="13" width="26.453125" customWidth="1"/>
    <col min="16" max="16" width="19.1796875" customWidth="1"/>
    <col min="17" max="17" width="20.26953125" bestFit="1" customWidth="1"/>
    <col min="18" max="18" width="18" bestFit="1" customWidth="1"/>
  </cols>
  <sheetData>
    <row r="1" spans="10:19" ht="24.5" customHeight="1" thickBot="1" x14ac:dyDescent="0.55000000000000004">
      <c r="J1" s="377" t="s">
        <v>60</v>
      </c>
      <c r="K1" s="377"/>
      <c r="L1" s="377"/>
      <c r="M1" s="377"/>
      <c r="P1" s="373" t="s">
        <v>61</v>
      </c>
      <c r="Q1" s="373"/>
      <c r="R1" s="373"/>
    </row>
    <row r="2" spans="10:19" ht="17" customHeight="1" thickBot="1" x14ac:dyDescent="0.5">
      <c r="J2" s="56" t="s">
        <v>62</v>
      </c>
      <c r="K2" s="57" t="s">
        <v>63</v>
      </c>
      <c r="L2" s="57" t="s">
        <v>64</v>
      </c>
      <c r="M2" s="57" t="s">
        <v>65</v>
      </c>
      <c r="P2" s="58" t="s">
        <v>66</v>
      </c>
      <c r="Q2" s="58" t="s">
        <v>67</v>
      </c>
      <c r="R2" s="58" t="s">
        <v>68</v>
      </c>
    </row>
    <row r="3" spans="10:19" ht="17" customHeight="1" x14ac:dyDescent="0.45">
      <c r="J3" s="374">
        <v>1</v>
      </c>
      <c r="K3" s="60" t="s">
        <v>69</v>
      </c>
      <c r="L3" s="61" t="s">
        <v>70</v>
      </c>
      <c r="M3" s="62">
        <v>25</v>
      </c>
      <c r="P3" s="58" t="s">
        <v>71</v>
      </c>
      <c r="Q3" s="58" t="s">
        <v>70</v>
      </c>
      <c r="R3" s="58">
        <v>25</v>
      </c>
    </row>
    <row r="4" spans="10:19" ht="17" customHeight="1" x14ac:dyDescent="0.45">
      <c r="J4" s="375"/>
      <c r="K4" s="64"/>
      <c r="L4" s="65" t="s">
        <v>72</v>
      </c>
      <c r="M4" s="66">
        <v>15</v>
      </c>
      <c r="P4" s="58" t="s">
        <v>73</v>
      </c>
      <c r="Q4" s="67" t="s">
        <v>72</v>
      </c>
      <c r="R4" s="58">
        <v>15</v>
      </c>
    </row>
    <row r="5" spans="10:19" ht="17" customHeight="1" thickBot="1" x14ac:dyDescent="0.5">
      <c r="J5" s="376"/>
      <c r="K5" s="69"/>
      <c r="L5" s="70" t="s">
        <v>74</v>
      </c>
      <c r="M5" s="71">
        <v>13</v>
      </c>
      <c r="P5" s="58" t="s">
        <v>75</v>
      </c>
      <c r="Q5" s="58" t="s">
        <v>74</v>
      </c>
      <c r="R5" s="58">
        <v>13</v>
      </c>
    </row>
    <row r="6" spans="10:19" ht="17" customHeight="1" thickBot="1" x14ac:dyDescent="0.5">
      <c r="J6" s="72"/>
      <c r="K6" s="72"/>
      <c r="L6" s="65"/>
      <c r="M6" s="65"/>
      <c r="P6" s="58" t="s">
        <v>76</v>
      </c>
      <c r="Q6" s="58" t="s">
        <v>77</v>
      </c>
      <c r="R6" s="58">
        <v>47</v>
      </c>
      <c r="S6" s="73" t="s">
        <v>78</v>
      </c>
    </row>
    <row r="7" spans="10:19" ht="17" customHeight="1" thickBot="1" x14ac:dyDescent="0.5">
      <c r="J7" s="74" t="s">
        <v>62</v>
      </c>
      <c r="K7" s="75" t="s">
        <v>63</v>
      </c>
      <c r="L7" s="76" t="s">
        <v>64</v>
      </c>
      <c r="M7" s="77" t="s">
        <v>65</v>
      </c>
      <c r="P7" s="58" t="s">
        <v>79</v>
      </c>
      <c r="Q7" s="58" t="s">
        <v>80</v>
      </c>
      <c r="R7" s="58">
        <v>54</v>
      </c>
      <c r="S7" s="73" t="s">
        <v>81</v>
      </c>
    </row>
    <row r="8" spans="10:19" ht="17" customHeight="1" x14ac:dyDescent="0.35">
      <c r="J8" s="378">
        <v>2</v>
      </c>
      <c r="K8" s="60" t="s">
        <v>69</v>
      </c>
      <c r="L8" s="62" t="s">
        <v>70</v>
      </c>
      <c r="M8" s="62">
        <v>25</v>
      </c>
    </row>
    <row r="9" spans="10:19" ht="17" customHeight="1" x14ac:dyDescent="0.35">
      <c r="J9" s="379"/>
      <c r="K9" s="78" t="s">
        <v>82</v>
      </c>
      <c r="L9" s="79" t="s">
        <v>72</v>
      </c>
      <c r="M9" s="79">
        <v>15</v>
      </c>
    </row>
    <row r="10" spans="10:19" ht="17" customHeight="1" x14ac:dyDescent="0.35">
      <c r="J10" s="379"/>
      <c r="K10" s="80"/>
      <c r="L10" s="66" t="s">
        <v>83</v>
      </c>
      <c r="M10" s="66">
        <v>25</v>
      </c>
    </row>
    <row r="11" spans="10:19" ht="17" customHeight="1" thickBot="1" x14ac:dyDescent="0.4">
      <c r="J11" s="380"/>
      <c r="K11" s="82"/>
      <c r="L11" s="83"/>
      <c r="M11" s="83"/>
    </row>
    <row r="12" spans="10:19" ht="17" customHeight="1" thickBot="1" x14ac:dyDescent="0.4">
      <c r="J12" s="84"/>
      <c r="K12" s="84"/>
      <c r="L12" s="85"/>
      <c r="M12" s="85"/>
    </row>
    <row r="13" spans="10:19" ht="17" customHeight="1" thickBot="1" x14ac:dyDescent="0.4">
      <c r="J13" s="86" t="s">
        <v>62</v>
      </c>
      <c r="K13" s="86" t="s">
        <v>63</v>
      </c>
      <c r="L13" s="87" t="s">
        <v>64</v>
      </c>
      <c r="M13" s="88" t="s">
        <v>65</v>
      </c>
    </row>
    <row r="14" spans="10:19" ht="17" customHeight="1" x14ac:dyDescent="0.35">
      <c r="J14" s="374">
        <v>3</v>
      </c>
      <c r="K14" s="66" t="s">
        <v>69</v>
      </c>
      <c r="L14" s="79" t="s">
        <v>70</v>
      </c>
      <c r="M14" s="79">
        <v>25</v>
      </c>
    </row>
    <row r="15" spans="10:19" ht="17" customHeight="1" x14ac:dyDescent="0.35">
      <c r="J15" s="375"/>
      <c r="K15" s="66" t="s">
        <v>82</v>
      </c>
      <c r="L15" s="66" t="s">
        <v>84</v>
      </c>
      <c r="M15" s="66">
        <v>47</v>
      </c>
    </row>
    <row r="16" spans="10:19" ht="17" customHeight="1" x14ac:dyDescent="0.35">
      <c r="J16" s="375"/>
      <c r="K16" s="66" t="s">
        <v>85</v>
      </c>
      <c r="L16" s="66"/>
      <c r="M16" s="66"/>
    </row>
    <row r="17" spans="10:16" ht="17" customHeight="1" x14ac:dyDescent="0.35">
      <c r="J17" s="375"/>
      <c r="K17" s="66"/>
      <c r="L17" s="66"/>
      <c r="M17" s="66"/>
      <c r="P17">
        <f>19+13+6+18+15+33</f>
        <v>104</v>
      </c>
    </row>
    <row r="18" spans="10:16" ht="17" customHeight="1" thickBot="1" x14ac:dyDescent="0.4">
      <c r="J18" s="376"/>
      <c r="K18" s="83"/>
      <c r="L18" s="71"/>
      <c r="M18" s="71"/>
    </row>
    <row r="19" spans="10:16" ht="17" customHeight="1" thickBot="1" x14ac:dyDescent="0.4">
      <c r="J19" s="89"/>
      <c r="K19" s="72"/>
      <c r="L19" s="65"/>
      <c r="M19" s="65"/>
    </row>
    <row r="20" spans="10:16" ht="17" customHeight="1" thickBot="1" x14ac:dyDescent="0.4">
      <c r="J20" s="86" t="s">
        <v>62</v>
      </c>
      <c r="K20" s="86" t="s">
        <v>63</v>
      </c>
      <c r="L20" s="87" t="s">
        <v>64</v>
      </c>
      <c r="M20" s="88" t="s">
        <v>65</v>
      </c>
    </row>
    <row r="21" spans="10:16" ht="17" customHeight="1" x14ac:dyDescent="0.35">
      <c r="J21" s="374">
        <v>4</v>
      </c>
      <c r="K21" s="66" t="s">
        <v>69</v>
      </c>
      <c r="L21" s="66" t="s">
        <v>86</v>
      </c>
      <c r="M21" s="66">
        <v>55</v>
      </c>
    </row>
    <row r="22" spans="10:16" ht="17" customHeight="1" x14ac:dyDescent="0.35">
      <c r="J22" s="375"/>
      <c r="K22" s="66" t="s">
        <v>82</v>
      </c>
      <c r="L22" s="66" t="s">
        <v>87</v>
      </c>
      <c r="M22" s="66">
        <v>56</v>
      </c>
    </row>
    <row r="23" spans="10:16" ht="17" customHeight="1" x14ac:dyDescent="0.35">
      <c r="J23" s="375"/>
      <c r="K23" s="66" t="s">
        <v>85</v>
      </c>
      <c r="L23" s="79" t="s">
        <v>84</v>
      </c>
      <c r="M23" s="79">
        <v>47</v>
      </c>
    </row>
    <row r="24" spans="10:16" ht="17" customHeight="1" x14ac:dyDescent="0.35">
      <c r="J24" s="375"/>
      <c r="K24" s="66" t="s">
        <v>88</v>
      </c>
      <c r="L24" s="79"/>
      <c r="M24" s="79"/>
    </row>
    <row r="25" spans="10:16" ht="17" customHeight="1" thickBot="1" x14ac:dyDescent="0.4">
      <c r="J25" s="376"/>
      <c r="K25" s="83"/>
      <c r="L25" s="83"/>
      <c r="M25" s="83"/>
    </row>
    <row r="26" spans="10:16" ht="17" customHeight="1" thickBot="1" x14ac:dyDescent="0.4">
      <c r="J26" s="89"/>
      <c r="K26" s="84"/>
    </row>
    <row r="27" spans="10:16" ht="17" customHeight="1" thickBot="1" x14ac:dyDescent="0.4">
      <c r="J27" s="90" t="s">
        <v>62</v>
      </c>
      <c r="K27" s="91" t="s">
        <v>63</v>
      </c>
      <c r="L27" s="92" t="s">
        <v>64</v>
      </c>
      <c r="M27" s="93" t="s">
        <v>65</v>
      </c>
    </row>
    <row r="28" spans="10:16" ht="17" customHeight="1" x14ac:dyDescent="0.35">
      <c r="J28" s="381">
        <v>5</v>
      </c>
      <c r="K28" s="62" t="s">
        <v>69</v>
      </c>
      <c r="L28" s="94" t="s">
        <v>89</v>
      </c>
      <c r="M28" s="94">
        <v>54</v>
      </c>
    </row>
    <row r="29" spans="10:16" ht="17" customHeight="1" x14ac:dyDescent="0.35">
      <c r="J29" s="375"/>
      <c r="K29" s="66" t="s">
        <v>82</v>
      </c>
      <c r="L29" s="95" t="s">
        <v>87</v>
      </c>
      <c r="M29" s="66">
        <v>56</v>
      </c>
    </row>
    <row r="30" spans="10:16" ht="17" customHeight="1" x14ac:dyDescent="0.35">
      <c r="J30" s="375"/>
      <c r="K30" s="66" t="s">
        <v>85</v>
      </c>
      <c r="L30" s="94"/>
      <c r="M30" s="94"/>
    </row>
    <row r="31" spans="10:16" ht="17" customHeight="1" x14ac:dyDescent="0.35">
      <c r="J31" s="375"/>
      <c r="K31" s="66" t="s">
        <v>88</v>
      </c>
      <c r="L31" s="95"/>
      <c r="M31" s="95"/>
    </row>
    <row r="32" spans="10:16" ht="17" customHeight="1" thickBot="1" x14ac:dyDescent="0.4">
      <c r="J32" s="376"/>
      <c r="K32" s="83" t="s">
        <v>90</v>
      </c>
      <c r="L32" s="96"/>
      <c r="M32" s="96"/>
    </row>
    <row r="33" spans="10:13" ht="17" customHeight="1" thickBot="1" x14ac:dyDescent="0.4">
      <c r="J33" s="89"/>
      <c r="K33" s="72"/>
      <c r="L33" s="65"/>
      <c r="M33" s="85"/>
    </row>
    <row r="34" spans="10:13" ht="17" customHeight="1" thickBot="1" x14ac:dyDescent="0.4">
      <c r="J34" s="74" t="s">
        <v>62</v>
      </c>
      <c r="K34" s="75" t="s">
        <v>63</v>
      </c>
      <c r="L34" s="76" t="s">
        <v>64</v>
      </c>
      <c r="M34" s="77" t="s">
        <v>65</v>
      </c>
    </row>
    <row r="35" spans="10:13" ht="17" customHeight="1" x14ac:dyDescent="0.35">
      <c r="J35" s="374">
        <v>6</v>
      </c>
      <c r="K35" s="97" t="s">
        <v>69</v>
      </c>
      <c r="L35" s="98"/>
      <c r="M35" s="99"/>
    </row>
    <row r="36" spans="10:13" ht="17" customHeight="1" x14ac:dyDescent="0.35">
      <c r="J36" s="375"/>
      <c r="K36" s="100" t="s">
        <v>82</v>
      </c>
      <c r="L36" s="100"/>
      <c r="M36" s="66"/>
    </row>
    <row r="37" spans="10:13" ht="17" customHeight="1" x14ac:dyDescent="0.35">
      <c r="J37" s="375"/>
      <c r="K37" s="100" t="s">
        <v>85</v>
      </c>
      <c r="L37" s="100"/>
      <c r="M37" s="66"/>
    </row>
    <row r="38" spans="10:13" ht="17" customHeight="1" x14ac:dyDescent="0.35">
      <c r="J38" s="375"/>
      <c r="K38" s="100" t="s">
        <v>88</v>
      </c>
      <c r="L38" s="100"/>
      <c r="M38" s="66"/>
    </row>
    <row r="39" spans="10:13" ht="17" customHeight="1" x14ac:dyDescent="0.35">
      <c r="J39" s="375"/>
      <c r="K39" s="100" t="s">
        <v>90</v>
      </c>
      <c r="L39" s="100"/>
      <c r="M39" s="66"/>
    </row>
    <row r="40" spans="10:13" ht="17" customHeight="1" thickBot="1" x14ac:dyDescent="0.4">
      <c r="J40" s="376"/>
      <c r="K40" s="101" t="s">
        <v>91</v>
      </c>
      <c r="L40" s="101"/>
      <c r="M40" s="83"/>
    </row>
    <row r="41" spans="10:13" ht="17" customHeight="1" thickBot="1" x14ac:dyDescent="0.4">
      <c r="J41" s="89"/>
      <c r="K41" s="72"/>
      <c r="L41" s="65"/>
      <c r="M41" s="65"/>
    </row>
    <row r="42" spans="10:13" ht="17" customHeight="1" thickBot="1" x14ac:dyDescent="0.4">
      <c r="J42" s="74" t="s">
        <v>62</v>
      </c>
      <c r="K42" s="75" t="s">
        <v>63</v>
      </c>
      <c r="L42" s="102" t="s">
        <v>64</v>
      </c>
      <c r="M42" s="87" t="s">
        <v>65</v>
      </c>
    </row>
    <row r="43" spans="10:13" ht="17" customHeight="1" x14ac:dyDescent="0.35">
      <c r="J43" s="374">
        <v>7</v>
      </c>
      <c r="K43" s="59"/>
      <c r="L43" s="99"/>
      <c r="M43" s="94"/>
    </row>
    <row r="44" spans="10:13" ht="17" customHeight="1" x14ac:dyDescent="0.35">
      <c r="J44" s="375"/>
      <c r="K44" s="63"/>
      <c r="L44" s="66"/>
      <c r="M44" s="66"/>
    </row>
    <row r="45" spans="10:13" ht="17" customHeight="1" x14ac:dyDescent="0.35">
      <c r="J45" s="375"/>
      <c r="K45" s="63"/>
      <c r="L45" s="66"/>
      <c r="M45" s="66"/>
    </row>
    <row r="46" spans="10:13" ht="17" customHeight="1" x14ac:dyDescent="0.35">
      <c r="J46" s="375"/>
      <c r="K46" s="63"/>
      <c r="L46" s="66"/>
      <c r="M46" s="95"/>
    </row>
    <row r="47" spans="10:13" ht="17" customHeight="1" x14ac:dyDescent="0.35">
      <c r="J47" s="375"/>
      <c r="K47" s="63"/>
      <c r="L47" s="66"/>
      <c r="M47" s="95"/>
    </row>
    <row r="48" spans="10:13" ht="17" customHeight="1" x14ac:dyDescent="0.35">
      <c r="J48" s="375"/>
      <c r="K48" s="63"/>
      <c r="L48" s="66"/>
      <c r="M48" s="95"/>
    </row>
    <row r="49" spans="10:13" ht="17" customHeight="1" thickBot="1" x14ac:dyDescent="0.4">
      <c r="J49" s="376"/>
      <c r="K49" s="68"/>
      <c r="L49" s="83"/>
      <c r="M49" s="96"/>
    </row>
    <row r="50" spans="10:13" ht="17" customHeight="1" x14ac:dyDescent="0.35">
      <c r="J50" s="89"/>
      <c r="K50" s="72"/>
      <c r="L50" s="65"/>
      <c r="M50" s="65"/>
    </row>
  </sheetData>
  <mergeCells count="9">
    <mergeCell ref="P1:R1"/>
    <mergeCell ref="J35:J40"/>
    <mergeCell ref="J43:J49"/>
    <mergeCell ref="J1:M1"/>
    <mergeCell ref="J3:J5"/>
    <mergeCell ref="J8:J11"/>
    <mergeCell ref="J14:J18"/>
    <mergeCell ref="J21:J25"/>
    <mergeCell ref="J28:J32"/>
  </mergeCells>
  <pageMargins left="0.7" right="0.7" top="0.75" bottom="0.75" header="0.3" footer="0.3"/>
  <pageSetup paperSize="9" scale="58" orientation="landscape" r:id="rId1"/>
  <headerFooter>
    <oddHeader>&amp;C&amp;"Calibri"&amp;10&amp;K000000OFFICIAL (CLOSED) \ NON-SENSITIVE&amp;1#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6A7F-B48E-458A-B3C2-C2C75468BAA1}">
  <sheetPr>
    <pageSetUpPr fitToPage="1"/>
  </sheetPr>
  <dimension ref="J1:R50"/>
  <sheetViews>
    <sheetView showGridLines="0" zoomScale="68" zoomScaleNormal="68" workbookViewId="0">
      <selection activeCell="N15" sqref="N15"/>
    </sheetView>
  </sheetViews>
  <sheetFormatPr defaultRowHeight="14.5" x14ac:dyDescent="0.35"/>
  <cols>
    <col min="9" max="9" width="10.1796875" customWidth="1"/>
    <col min="10" max="10" width="13.1796875" customWidth="1"/>
    <col min="11" max="11" width="23.7265625" customWidth="1"/>
    <col min="12" max="12" width="30.453125" customWidth="1"/>
    <col min="13" max="13" width="26.453125" customWidth="1"/>
    <col min="16" max="16" width="18" bestFit="1" customWidth="1"/>
    <col min="17" max="17" width="17.7265625" bestFit="1" customWidth="1"/>
    <col min="18" max="18" width="16.453125" bestFit="1" customWidth="1"/>
  </cols>
  <sheetData>
    <row r="1" spans="10:18" ht="24.5" customHeight="1" thickBot="1" x14ac:dyDescent="0.55000000000000004">
      <c r="J1" s="377" t="s">
        <v>60</v>
      </c>
      <c r="K1" s="377"/>
      <c r="L1" s="377"/>
      <c r="M1" s="377"/>
      <c r="P1" s="373" t="s">
        <v>61</v>
      </c>
      <c r="Q1" s="373"/>
      <c r="R1" s="373"/>
    </row>
    <row r="2" spans="10:18" ht="17" customHeight="1" thickBot="1" x14ac:dyDescent="0.5">
      <c r="J2" s="56" t="s">
        <v>62</v>
      </c>
      <c r="K2" s="57" t="s">
        <v>63</v>
      </c>
      <c r="L2" s="57" t="s">
        <v>64</v>
      </c>
      <c r="M2" s="57" t="s">
        <v>65</v>
      </c>
      <c r="P2" s="58" t="s">
        <v>92</v>
      </c>
      <c r="Q2" s="58" t="s">
        <v>67</v>
      </c>
      <c r="R2" s="58" t="s">
        <v>68</v>
      </c>
    </row>
    <row r="3" spans="10:18" ht="17" customHeight="1" x14ac:dyDescent="0.45">
      <c r="J3" s="374">
        <v>1</v>
      </c>
      <c r="K3" s="60">
        <v>1</v>
      </c>
      <c r="L3" s="103" t="s">
        <v>93</v>
      </c>
      <c r="M3" s="104">
        <v>73</v>
      </c>
      <c r="P3" s="58" t="s">
        <v>94</v>
      </c>
      <c r="Q3" s="58" t="s">
        <v>95</v>
      </c>
      <c r="R3" s="58">
        <v>89</v>
      </c>
    </row>
    <row r="4" spans="10:18" ht="17" customHeight="1" x14ac:dyDescent="0.45">
      <c r="J4" s="375"/>
      <c r="K4" s="64"/>
      <c r="L4" s="65" t="s">
        <v>96</v>
      </c>
      <c r="M4" s="66">
        <v>96</v>
      </c>
      <c r="P4" s="58" t="s">
        <v>97</v>
      </c>
      <c r="Q4" s="67" t="s">
        <v>93</v>
      </c>
      <c r="R4" s="58">
        <v>73</v>
      </c>
    </row>
    <row r="5" spans="10:18" ht="17" customHeight="1" thickBot="1" x14ac:dyDescent="0.5">
      <c r="J5" s="376"/>
      <c r="K5" s="69"/>
      <c r="L5" s="105" t="s">
        <v>95</v>
      </c>
      <c r="M5" s="83">
        <v>89</v>
      </c>
      <c r="P5" s="58" t="s">
        <v>98</v>
      </c>
      <c r="Q5" s="58" t="s">
        <v>96</v>
      </c>
      <c r="R5" s="58">
        <v>96</v>
      </c>
    </row>
    <row r="6" spans="10:18" ht="17" customHeight="1" thickBot="1" x14ac:dyDescent="0.5">
      <c r="J6" s="72"/>
      <c r="K6" s="72"/>
      <c r="L6" s="65"/>
      <c r="M6" s="65"/>
      <c r="P6" s="58" t="s">
        <v>99</v>
      </c>
      <c r="Q6" s="58" t="s">
        <v>100</v>
      </c>
      <c r="R6" s="58">
        <v>162</v>
      </c>
    </row>
    <row r="7" spans="10:18" ht="17" customHeight="1" thickBot="1" x14ac:dyDescent="0.5">
      <c r="J7" s="74" t="s">
        <v>62</v>
      </c>
      <c r="K7" s="75" t="s">
        <v>63</v>
      </c>
      <c r="L7" s="76" t="s">
        <v>64</v>
      </c>
      <c r="M7" s="77" t="s">
        <v>65</v>
      </c>
      <c r="P7" s="58" t="s">
        <v>101</v>
      </c>
      <c r="Q7" s="58" t="s">
        <v>102</v>
      </c>
      <c r="R7" s="58">
        <v>167</v>
      </c>
    </row>
    <row r="8" spans="10:18" ht="17" customHeight="1" x14ac:dyDescent="0.45">
      <c r="J8" s="378">
        <v>2</v>
      </c>
      <c r="K8" s="60">
        <v>1</v>
      </c>
      <c r="L8" s="62" t="s">
        <v>103</v>
      </c>
      <c r="M8" s="62">
        <v>167</v>
      </c>
      <c r="P8" s="58" t="s">
        <v>104</v>
      </c>
      <c r="Q8" s="58" t="s">
        <v>105</v>
      </c>
      <c r="R8" s="58">
        <v>154</v>
      </c>
    </row>
    <row r="9" spans="10:18" ht="17" customHeight="1" x14ac:dyDescent="0.35">
      <c r="J9" s="379"/>
      <c r="K9" s="78" t="s">
        <v>106</v>
      </c>
      <c r="L9" s="66" t="s">
        <v>107</v>
      </c>
      <c r="M9" s="66">
        <v>154</v>
      </c>
    </row>
    <row r="10" spans="10:18" ht="17" customHeight="1" x14ac:dyDescent="0.35">
      <c r="J10" s="379"/>
      <c r="K10" s="80"/>
      <c r="L10" s="106" t="s">
        <v>95</v>
      </c>
      <c r="M10" s="106">
        <v>89</v>
      </c>
    </row>
    <row r="11" spans="10:18" ht="17" customHeight="1" thickBot="1" x14ac:dyDescent="0.4">
      <c r="J11" s="380"/>
      <c r="K11" s="82"/>
      <c r="L11" s="83" t="s">
        <v>96</v>
      </c>
      <c r="M11" s="83">
        <v>96</v>
      </c>
    </row>
    <row r="12" spans="10:18" ht="17" customHeight="1" thickBot="1" x14ac:dyDescent="0.4">
      <c r="J12" s="84"/>
      <c r="K12" s="84"/>
      <c r="L12" s="85"/>
      <c r="M12" s="85"/>
    </row>
    <row r="13" spans="10:18" ht="17" customHeight="1" thickBot="1" x14ac:dyDescent="0.4">
      <c r="J13" s="86" t="s">
        <v>62</v>
      </c>
      <c r="K13" s="86" t="s">
        <v>63</v>
      </c>
      <c r="L13" s="87" t="s">
        <v>64</v>
      </c>
      <c r="M13" s="88" t="s">
        <v>65</v>
      </c>
    </row>
    <row r="14" spans="10:18" ht="17" customHeight="1" x14ac:dyDescent="0.35">
      <c r="J14" s="374">
        <v>3</v>
      </c>
      <c r="K14" s="78">
        <v>1</v>
      </c>
      <c r="L14" s="66" t="s">
        <v>108</v>
      </c>
      <c r="M14" s="66">
        <v>194</v>
      </c>
    </row>
    <row r="15" spans="10:18" ht="17" customHeight="1" x14ac:dyDescent="0.35">
      <c r="J15" s="375"/>
      <c r="K15" s="78" t="s">
        <v>106</v>
      </c>
      <c r="L15" s="66" t="s">
        <v>109</v>
      </c>
      <c r="M15" s="66">
        <v>164</v>
      </c>
    </row>
    <row r="16" spans="10:18" ht="17" customHeight="1" x14ac:dyDescent="0.35">
      <c r="J16" s="375"/>
      <c r="K16" s="78" t="s">
        <v>110</v>
      </c>
      <c r="L16" s="66" t="s">
        <v>103</v>
      </c>
      <c r="M16" s="66">
        <v>167</v>
      </c>
    </row>
    <row r="17" spans="10:13" ht="17" customHeight="1" x14ac:dyDescent="0.35">
      <c r="J17" s="375"/>
      <c r="K17" s="78"/>
      <c r="L17" s="66" t="s">
        <v>107</v>
      </c>
      <c r="M17" s="66">
        <v>154</v>
      </c>
    </row>
    <row r="18" spans="10:13" ht="17" customHeight="1" thickBot="1" x14ac:dyDescent="0.4">
      <c r="J18" s="376"/>
      <c r="K18" s="81"/>
      <c r="L18" s="107" t="s">
        <v>96</v>
      </c>
      <c r="M18" s="107">
        <v>96</v>
      </c>
    </row>
    <row r="19" spans="10:13" ht="17" customHeight="1" thickBot="1" x14ac:dyDescent="0.4">
      <c r="J19" s="89"/>
      <c r="K19" s="72"/>
      <c r="L19" s="65"/>
      <c r="M19" s="65"/>
    </row>
    <row r="20" spans="10:13" ht="17" customHeight="1" thickBot="1" x14ac:dyDescent="0.4">
      <c r="J20" s="86" t="s">
        <v>62</v>
      </c>
      <c r="K20" s="86" t="s">
        <v>63</v>
      </c>
      <c r="L20" s="87" t="s">
        <v>64</v>
      </c>
      <c r="M20" s="88" t="s">
        <v>65</v>
      </c>
    </row>
    <row r="21" spans="10:13" ht="17" customHeight="1" x14ac:dyDescent="0.35">
      <c r="J21" s="374">
        <v>4</v>
      </c>
      <c r="K21" s="78">
        <v>1</v>
      </c>
      <c r="L21" s="66" t="s">
        <v>111</v>
      </c>
      <c r="M21" s="66">
        <v>158</v>
      </c>
    </row>
    <row r="22" spans="10:13" ht="17" customHeight="1" x14ac:dyDescent="0.35">
      <c r="J22" s="375"/>
      <c r="K22" s="78" t="s">
        <v>106</v>
      </c>
      <c r="L22" s="66" t="s">
        <v>112</v>
      </c>
      <c r="M22" s="66">
        <v>162</v>
      </c>
    </row>
    <row r="23" spans="10:13" ht="17" customHeight="1" x14ac:dyDescent="0.35">
      <c r="J23" s="375"/>
      <c r="K23" s="78" t="s">
        <v>110</v>
      </c>
      <c r="L23" s="66" t="s">
        <v>103</v>
      </c>
      <c r="M23" s="66">
        <v>167</v>
      </c>
    </row>
    <row r="24" spans="10:13" ht="17" customHeight="1" x14ac:dyDescent="0.35">
      <c r="J24" s="375"/>
      <c r="K24" s="78" t="s">
        <v>113</v>
      </c>
      <c r="L24" s="106" t="s">
        <v>107</v>
      </c>
      <c r="M24" s="106">
        <v>154</v>
      </c>
    </row>
    <row r="25" spans="10:13" ht="17" customHeight="1" thickBot="1" x14ac:dyDescent="0.4">
      <c r="J25" s="376"/>
      <c r="K25" s="81"/>
      <c r="L25" s="83" t="s">
        <v>109</v>
      </c>
      <c r="M25" s="83">
        <v>164</v>
      </c>
    </row>
    <row r="26" spans="10:13" ht="17" customHeight="1" thickBot="1" x14ac:dyDescent="0.4">
      <c r="J26" s="89"/>
      <c r="K26" s="84"/>
    </row>
    <row r="27" spans="10:13" ht="17" customHeight="1" thickBot="1" x14ac:dyDescent="0.4">
      <c r="J27" s="90" t="s">
        <v>62</v>
      </c>
      <c r="K27" s="91" t="s">
        <v>63</v>
      </c>
      <c r="L27" s="92" t="s">
        <v>64</v>
      </c>
      <c r="M27" s="93" t="s">
        <v>65</v>
      </c>
    </row>
    <row r="28" spans="10:13" ht="17" customHeight="1" x14ac:dyDescent="0.35">
      <c r="J28" s="381">
        <v>5</v>
      </c>
      <c r="K28" s="60">
        <v>1</v>
      </c>
      <c r="L28" s="95" t="s">
        <v>103</v>
      </c>
      <c r="M28" s="95">
        <v>167</v>
      </c>
    </row>
    <row r="29" spans="10:13" ht="17" customHeight="1" x14ac:dyDescent="0.35">
      <c r="J29" s="375"/>
      <c r="K29" s="78" t="s">
        <v>106</v>
      </c>
      <c r="L29" s="95" t="s">
        <v>109</v>
      </c>
      <c r="M29" s="66">
        <v>164</v>
      </c>
    </row>
    <row r="30" spans="10:13" ht="17" customHeight="1" x14ac:dyDescent="0.35">
      <c r="J30" s="375"/>
      <c r="K30" s="78" t="s">
        <v>110</v>
      </c>
      <c r="L30" s="108" t="s">
        <v>112</v>
      </c>
      <c r="M30" s="108">
        <v>162</v>
      </c>
    </row>
    <row r="31" spans="10:13" ht="17" customHeight="1" x14ac:dyDescent="0.35">
      <c r="J31" s="375"/>
      <c r="K31" s="78" t="s">
        <v>113</v>
      </c>
      <c r="L31" s="95"/>
      <c r="M31" s="95"/>
    </row>
    <row r="32" spans="10:13" ht="17" customHeight="1" thickBot="1" x14ac:dyDescent="0.4">
      <c r="J32" s="376"/>
      <c r="K32" s="81" t="s">
        <v>114</v>
      </c>
      <c r="L32" s="96"/>
      <c r="M32" s="96"/>
    </row>
    <row r="33" spans="10:13" ht="17" customHeight="1" thickBot="1" x14ac:dyDescent="0.4">
      <c r="J33" s="89"/>
      <c r="K33" s="72"/>
      <c r="L33" s="65"/>
      <c r="M33" s="85"/>
    </row>
    <row r="34" spans="10:13" ht="17" customHeight="1" thickBot="1" x14ac:dyDescent="0.4">
      <c r="J34" s="74" t="s">
        <v>62</v>
      </c>
      <c r="K34" s="75" t="s">
        <v>63</v>
      </c>
      <c r="L34" s="76" t="s">
        <v>64</v>
      </c>
      <c r="M34" s="77" t="s">
        <v>65</v>
      </c>
    </row>
    <row r="35" spans="10:13" ht="17" customHeight="1" x14ac:dyDescent="0.35">
      <c r="J35" s="374">
        <v>6</v>
      </c>
      <c r="K35" s="59">
        <v>1</v>
      </c>
      <c r="L35" s="109" t="s">
        <v>103</v>
      </c>
      <c r="M35" s="104">
        <v>167</v>
      </c>
    </row>
    <row r="36" spans="10:13" ht="17" customHeight="1" x14ac:dyDescent="0.35">
      <c r="J36" s="375"/>
      <c r="K36" s="63" t="s">
        <v>106</v>
      </c>
      <c r="L36" s="100"/>
      <c r="M36" s="66"/>
    </row>
    <row r="37" spans="10:13" ht="17" customHeight="1" x14ac:dyDescent="0.35">
      <c r="J37" s="375"/>
      <c r="K37" s="63" t="s">
        <v>110</v>
      </c>
      <c r="L37" s="100"/>
      <c r="M37" s="66"/>
    </row>
    <row r="38" spans="10:13" ht="17" customHeight="1" x14ac:dyDescent="0.35">
      <c r="J38" s="375"/>
      <c r="K38" s="63" t="s">
        <v>113</v>
      </c>
      <c r="L38" s="100"/>
      <c r="M38" s="66"/>
    </row>
    <row r="39" spans="10:13" ht="17" customHeight="1" x14ac:dyDescent="0.35">
      <c r="J39" s="375"/>
      <c r="K39" s="63" t="s">
        <v>114</v>
      </c>
      <c r="L39" s="100"/>
      <c r="M39" s="66"/>
    </row>
    <row r="40" spans="10:13" ht="17" customHeight="1" thickBot="1" x14ac:dyDescent="0.4">
      <c r="J40" s="376"/>
      <c r="K40" s="68" t="s">
        <v>115</v>
      </c>
      <c r="L40" s="101"/>
      <c r="M40" s="83"/>
    </row>
    <row r="41" spans="10:13" ht="17" customHeight="1" thickBot="1" x14ac:dyDescent="0.4">
      <c r="J41" s="89"/>
      <c r="K41" s="72"/>
      <c r="L41" s="65"/>
      <c r="M41" s="65"/>
    </row>
    <row r="42" spans="10:13" ht="17" customHeight="1" thickBot="1" x14ac:dyDescent="0.4">
      <c r="J42" s="74" t="s">
        <v>62</v>
      </c>
      <c r="K42" s="75" t="s">
        <v>63</v>
      </c>
      <c r="L42" s="102" t="s">
        <v>64</v>
      </c>
      <c r="M42" s="87" t="s">
        <v>65</v>
      </c>
    </row>
    <row r="43" spans="10:13" ht="17" customHeight="1" x14ac:dyDescent="0.35">
      <c r="J43" s="374">
        <v>7</v>
      </c>
      <c r="K43" s="59">
        <v>1</v>
      </c>
      <c r="L43" s="99"/>
      <c r="M43" s="94"/>
    </row>
    <row r="44" spans="10:13" ht="17" customHeight="1" x14ac:dyDescent="0.35">
      <c r="J44" s="375"/>
      <c r="K44" s="63" t="s">
        <v>106</v>
      </c>
      <c r="L44" s="66"/>
      <c r="M44" s="66"/>
    </row>
    <row r="45" spans="10:13" ht="17" customHeight="1" x14ac:dyDescent="0.35">
      <c r="J45" s="375"/>
      <c r="K45" s="63" t="s">
        <v>110</v>
      </c>
      <c r="L45" s="66"/>
      <c r="M45" s="66"/>
    </row>
    <row r="46" spans="10:13" ht="17" customHeight="1" x14ac:dyDescent="0.35">
      <c r="J46" s="375"/>
      <c r="K46" s="63" t="s">
        <v>113</v>
      </c>
      <c r="L46" s="66"/>
      <c r="M46" s="95"/>
    </row>
    <row r="47" spans="10:13" ht="17" customHeight="1" x14ac:dyDescent="0.35">
      <c r="J47" s="375"/>
      <c r="K47" s="63" t="s">
        <v>114</v>
      </c>
      <c r="L47" s="66"/>
      <c r="M47" s="95"/>
    </row>
    <row r="48" spans="10:13" ht="17" customHeight="1" x14ac:dyDescent="0.35">
      <c r="J48" s="375"/>
      <c r="K48" s="63" t="s">
        <v>115</v>
      </c>
      <c r="L48" s="66"/>
      <c r="M48" s="95"/>
    </row>
    <row r="49" spans="10:13" ht="17" customHeight="1" thickBot="1" x14ac:dyDescent="0.4">
      <c r="J49" s="376"/>
      <c r="K49" s="68" t="s">
        <v>116</v>
      </c>
      <c r="L49" s="83"/>
      <c r="M49" s="96"/>
    </row>
    <row r="50" spans="10:13" ht="17" customHeight="1" x14ac:dyDescent="0.35">
      <c r="J50" s="89"/>
      <c r="K50" s="72"/>
      <c r="L50" s="65"/>
      <c r="M50" s="65"/>
    </row>
  </sheetData>
  <mergeCells count="9">
    <mergeCell ref="J43:J49"/>
    <mergeCell ref="J8:J11"/>
    <mergeCell ref="J14:J18"/>
    <mergeCell ref="J21:J25"/>
    <mergeCell ref="P1:R1"/>
    <mergeCell ref="J3:J5"/>
    <mergeCell ref="J28:J32"/>
    <mergeCell ref="J1:M1"/>
    <mergeCell ref="J35:J40"/>
  </mergeCells>
  <pageMargins left="0.7" right="0.7" top="0.75" bottom="0.75" header="0.3" footer="0.3"/>
  <pageSetup paperSize="9" scale="58" orientation="landscape" r:id="rId1"/>
  <headerFooter>
    <oddHeader>&amp;C&amp;"Calibri"&amp;10&amp;K000000OFFICIAL (CLOSED) \ NON-SENSITIVE&amp;1#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16F5-F802-4CA3-B482-3FD9E72DBAA1}">
  <sheetPr>
    <pageSetUpPr fitToPage="1"/>
  </sheetPr>
  <dimension ref="A1:H61"/>
  <sheetViews>
    <sheetView showGridLines="0" zoomScale="101" zoomScaleNormal="101" workbookViewId="0">
      <selection activeCell="I20" sqref="I20"/>
    </sheetView>
  </sheetViews>
  <sheetFormatPr defaultRowHeight="14.5" x14ac:dyDescent="0.35"/>
  <cols>
    <col min="1" max="1" width="13.54296875" customWidth="1"/>
    <col min="6" max="6" width="14.54296875" customWidth="1"/>
    <col min="7" max="7" width="13" customWidth="1"/>
    <col min="8" max="8" width="24.453125" customWidth="1"/>
  </cols>
  <sheetData>
    <row r="1" spans="1:8" ht="18" x14ac:dyDescent="0.35">
      <c r="A1" s="383" t="s">
        <v>117</v>
      </c>
      <c r="B1" s="383"/>
      <c r="C1" s="383"/>
      <c r="D1" s="383"/>
      <c r="E1" s="383"/>
      <c r="F1" s="383"/>
      <c r="G1" s="383"/>
      <c r="H1" s="383"/>
    </row>
    <row r="2" spans="1:8" x14ac:dyDescent="0.35">
      <c r="A2" s="110" t="s">
        <v>118</v>
      </c>
    </row>
    <row r="3" spans="1:8" x14ac:dyDescent="0.35">
      <c r="A3" s="382" t="s">
        <v>119</v>
      </c>
      <c r="B3" s="382"/>
      <c r="C3" s="382"/>
      <c r="D3" s="382"/>
      <c r="E3" s="382"/>
      <c r="F3" s="382"/>
      <c r="G3" s="382"/>
      <c r="H3" s="382"/>
    </row>
    <row r="4" spans="1:8" x14ac:dyDescent="0.35">
      <c r="A4" s="382"/>
      <c r="B4" s="382"/>
      <c r="C4" s="382"/>
      <c r="D4" s="382"/>
      <c r="E4" s="382"/>
      <c r="F4" s="382"/>
      <c r="G4" s="382"/>
      <c r="H4" s="382"/>
    </row>
    <row r="16" spans="1:8" x14ac:dyDescent="0.35">
      <c r="A16" s="110" t="s">
        <v>120</v>
      </c>
      <c r="B16" s="37"/>
      <c r="C16" s="37"/>
      <c r="D16" s="37"/>
    </row>
    <row r="17" spans="1:8" x14ac:dyDescent="0.35">
      <c r="A17" s="37" t="s">
        <v>67</v>
      </c>
      <c r="B17" s="37"/>
      <c r="C17" s="37" t="s">
        <v>121</v>
      </c>
      <c r="D17" s="37"/>
      <c r="F17" s="111" t="s">
        <v>67</v>
      </c>
      <c r="G17" s="111" t="s">
        <v>121</v>
      </c>
      <c r="H17" s="112"/>
    </row>
    <row r="18" spans="1:8" x14ac:dyDescent="0.35">
      <c r="A18" s="37" t="s">
        <v>122</v>
      </c>
      <c r="B18" s="37"/>
      <c r="C18" s="37">
        <v>20</v>
      </c>
      <c r="D18" s="37"/>
      <c r="F18" s="111" t="s">
        <v>122</v>
      </c>
      <c r="G18" s="111">
        <v>20</v>
      </c>
      <c r="H18" s="37"/>
    </row>
    <row r="19" spans="1:8" x14ac:dyDescent="0.35">
      <c r="A19" s="37"/>
      <c r="B19" s="37"/>
      <c r="C19" s="37"/>
      <c r="D19" s="37"/>
      <c r="F19" s="111" t="s">
        <v>123</v>
      </c>
      <c r="G19" s="111">
        <v>10</v>
      </c>
      <c r="H19" s="37"/>
    </row>
    <row r="20" spans="1:8" x14ac:dyDescent="0.35">
      <c r="A20" s="37"/>
      <c r="B20" s="37"/>
      <c r="C20" s="37"/>
      <c r="D20" s="37"/>
      <c r="F20" s="111" t="s">
        <v>124</v>
      </c>
      <c r="G20" s="111">
        <v>5</v>
      </c>
      <c r="H20" s="37"/>
    </row>
    <row r="21" spans="1:8" x14ac:dyDescent="0.35">
      <c r="A21" s="37"/>
      <c r="B21" s="37"/>
      <c r="C21" s="37"/>
      <c r="D21" s="37"/>
      <c r="F21" s="111" t="s">
        <v>125</v>
      </c>
      <c r="G21" s="111">
        <v>15</v>
      </c>
      <c r="H21" s="37"/>
    </row>
    <row r="22" spans="1:8" x14ac:dyDescent="0.35">
      <c r="A22" s="37"/>
      <c r="B22" s="37"/>
      <c r="C22" s="37"/>
      <c r="D22" s="37"/>
      <c r="F22" s="111" t="s">
        <v>126</v>
      </c>
      <c r="G22" s="113">
        <f>SUM(G18:G21)</f>
        <v>50</v>
      </c>
    </row>
    <row r="23" spans="1:8" x14ac:dyDescent="0.35">
      <c r="A23" s="37"/>
      <c r="B23" s="37"/>
      <c r="C23" s="37"/>
      <c r="D23" s="37"/>
    </row>
    <row r="24" spans="1:8" x14ac:dyDescent="0.35">
      <c r="A24" s="37"/>
      <c r="B24" s="37"/>
      <c r="C24" s="37"/>
      <c r="D24" s="37"/>
    </row>
    <row r="25" spans="1:8" x14ac:dyDescent="0.35">
      <c r="A25" s="37"/>
      <c r="B25" s="37"/>
      <c r="C25" s="37"/>
      <c r="D25" s="37"/>
    </row>
    <row r="26" spans="1:8" x14ac:dyDescent="0.35">
      <c r="A26" s="37"/>
      <c r="B26" s="37"/>
      <c r="C26" s="37"/>
      <c r="D26" s="37"/>
    </row>
    <row r="27" spans="1:8" x14ac:dyDescent="0.35">
      <c r="A27" s="37"/>
      <c r="B27" s="37"/>
      <c r="C27" s="37"/>
      <c r="D27" s="37"/>
    </row>
    <row r="28" spans="1:8" x14ac:dyDescent="0.35">
      <c r="A28" s="110" t="s">
        <v>127</v>
      </c>
      <c r="B28" s="37"/>
      <c r="C28" s="37"/>
      <c r="D28" s="37"/>
    </row>
    <row r="29" spans="1:8" x14ac:dyDescent="0.35">
      <c r="A29" s="37" t="s">
        <v>67</v>
      </c>
      <c r="B29" s="37"/>
      <c r="C29" s="37" t="s">
        <v>121</v>
      </c>
      <c r="D29" s="37"/>
    </row>
    <row r="30" spans="1:8" x14ac:dyDescent="0.35">
      <c r="A30" s="37" t="s">
        <v>123</v>
      </c>
      <c r="B30" s="37"/>
      <c r="C30" s="37">
        <v>10</v>
      </c>
      <c r="D30" s="37"/>
    </row>
    <row r="31" spans="1:8" x14ac:dyDescent="0.35">
      <c r="A31" s="37"/>
      <c r="B31" s="37"/>
      <c r="C31" s="37"/>
      <c r="D31" s="37"/>
    </row>
    <row r="32" spans="1:8" x14ac:dyDescent="0.35">
      <c r="A32" s="37"/>
      <c r="B32" s="37"/>
      <c r="C32" s="37"/>
      <c r="D32" s="37"/>
    </row>
    <row r="33" spans="1:4" x14ac:dyDescent="0.35">
      <c r="A33" s="37"/>
      <c r="B33" s="37"/>
      <c r="C33" s="37"/>
      <c r="D33" s="37"/>
    </row>
    <row r="34" spans="1:4" x14ac:dyDescent="0.35">
      <c r="A34" s="37"/>
      <c r="B34" s="37"/>
      <c r="C34" s="37"/>
      <c r="D34" s="37"/>
    </row>
    <row r="35" spans="1:4" x14ac:dyDescent="0.35">
      <c r="A35" s="37"/>
      <c r="B35" s="37"/>
      <c r="C35" s="37"/>
      <c r="D35" s="37"/>
    </row>
    <row r="36" spans="1:4" x14ac:dyDescent="0.35">
      <c r="A36" s="37"/>
      <c r="B36" s="37"/>
      <c r="C36" s="37"/>
      <c r="D36" s="37"/>
    </row>
    <row r="37" spans="1:4" x14ac:dyDescent="0.35">
      <c r="A37" s="37"/>
      <c r="B37" s="37"/>
      <c r="C37" s="37"/>
      <c r="D37" s="37"/>
    </row>
    <row r="38" spans="1:4" x14ac:dyDescent="0.35">
      <c r="A38" s="37"/>
      <c r="B38" s="37"/>
      <c r="C38" s="37"/>
      <c r="D38" s="37"/>
    </row>
    <row r="39" spans="1:4" x14ac:dyDescent="0.35">
      <c r="A39" s="110" t="s">
        <v>128</v>
      </c>
      <c r="B39" s="37"/>
      <c r="C39" s="37"/>
      <c r="D39" s="37"/>
    </row>
    <row r="40" spans="1:4" x14ac:dyDescent="0.35">
      <c r="A40" s="37" t="s">
        <v>67</v>
      </c>
      <c r="B40" s="37"/>
      <c r="C40" s="37" t="s">
        <v>121</v>
      </c>
      <c r="D40" s="37"/>
    </row>
    <row r="41" spans="1:4" x14ac:dyDescent="0.35">
      <c r="A41" s="37" t="s">
        <v>124</v>
      </c>
      <c r="B41" s="37"/>
      <c r="C41" s="37">
        <v>5</v>
      </c>
      <c r="D41" s="37"/>
    </row>
    <row r="42" spans="1:4" x14ac:dyDescent="0.35">
      <c r="A42" s="37"/>
      <c r="B42" s="37"/>
      <c r="C42" s="37"/>
      <c r="D42" s="37"/>
    </row>
    <row r="43" spans="1:4" x14ac:dyDescent="0.35">
      <c r="A43" s="37"/>
      <c r="B43" s="37"/>
      <c r="C43" s="37"/>
      <c r="D43" s="37"/>
    </row>
    <row r="44" spans="1:4" x14ac:dyDescent="0.35">
      <c r="A44" s="37"/>
      <c r="B44" s="37"/>
      <c r="C44" s="37"/>
      <c r="D44" s="37"/>
    </row>
    <row r="45" spans="1:4" x14ac:dyDescent="0.35">
      <c r="A45" s="37"/>
      <c r="B45" s="37"/>
      <c r="C45" s="37"/>
      <c r="D45" s="37"/>
    </row>
    <row r="46" spans="1:4" x14ac:dyDescent="0.35">
      <c r="A46" s="37"/>
      <c r="B46" s="37"/>
      <c r="C46" s="37"/>
      <c r="D46" s="37"/>
    </row>
    <row r="47" spans="1:4" x14ac:dyDescent="0.35">
      <c r="A47" s="37"/>
      <c r="B47" s="37"/>
      <c r="C47" s="37"/>
      <c r="D47" s="37"/>
    </row>
    <row r="48" spans="1:4" x14ac:dyDescent="0.35">
      <c r="A48" s="37"/>
      <c r="B48" s="37"/>
      <c r="C48" s="37"/>
      <c r="D48" s="37"/>
    </row>
    <row r="49" spans="1:4" x14ac:dyDescent="0.35">
      <c r="A49" s="37"/>
      <c r="B49" s="37"/>
      <c r="C49" s="37"/>
      <c r="D49" s="37"/>
    </row>
    <row r="50" spans="1:4" x14ac:dyDescent="0.35">
      <c r="A50" s="37"/>
      <c r="B50" s="37"/>
      <c r="C50" s="37"/>
      <c r="D50" s="37"/>
    </row>
    <row r="51" spans="1:4" x14ac:dyDescent="0.35">
      <c r="A51" s="110" t="s">
        <v>129</v>
      </c>
      <c r="B51" s="37"/>
      <c r="C51" s="37"/>
      <c r="D51" s="37"/>
    </row>
    <row r="52" spans="1:4" x14ac:dyDescent="0.35">
      <c r="A52" s="37" t="s">
        <v>67</v>
      </c>
      <c r="B52" s="37"/>
      <c r="C52" s="37" t="s">
        <v>121</v>
      </c>
      <c r="D52" s="37"/>
    </row>
    <row r="53" spans="1:4" x14ac:dyDescent="0.35">
      <c r="A53" s="37" t="s">
        <v>125</v>
      </c>
      <c r="B53" s="37"/>
      <c r="C53" s="37">
        <v>15</v>
      </c>
      <c r="D53" s="37"/>
    </row>
    <row r="54" spans="1:4" x14ac:dyDescent="0.35">
      <c r="A54" s="37"/>
      <c r="B54" s="37"/>
      <c r="C54" s="37"/>
      <c r="D54" s="37"/>
    </row>
    <row r="55" spans="1:4" x14ac:dyDescent="0.35">
      <c r="A55" s="37"/>
      <c r="B55" s="37"/>
      <c r="C55" s="37"/>
      <c r="D55" s="37"/>
    </row>
    <row r="56" spans="1:4" x14ac:dyDescent="0.35">
      <c r="A56" s="37"/>
      <c r="B56" s="37"/>
      <c r="C56" s="37"/>
      <c r="D56" s="37"/>
    </row>
    <row r="57" spans="1:4" x14ac:dyDescent="0.35">
      <c r="A57" s="37"/>
      <c r="B57" s="37"/>
      <c r="C57" s="37"/>
      <c r="D57" s="37"/>
    </row>
    <row r="58" spans="1:4" x14ac:dyDescent="0.35">
      <c r="A58" s="37"/>
      <c r="B58" s="37"/>
      <c r="C58" s="37"/>
      <c r="D58" s="37"/>
    </row>
    <row r="61" spans="1:4" x14ac:dyDescent="0.35">
      <c r="A61" s="114"/>
    </row>
  </sheetData>
  <mergeCells count="2">
    <mergeCell ref="A3:H4"/>
    <mergeCell ref="A1:H1"/>
  </mergeCells>
  <pageMargins left="0.7" right="0.7" top="0.75" bottom="0.75" header="0.3" footer="0.3"/>
  <pageSetup paperSize="9" scale="64" orientation="landscape" r:id="rId1"/>
  <headerFooter>
    <oddHeader>&amp;C&amp;"Calibri"&amp;10&amp;K000000OFFICIAL (CLOSED) \ NON-SENSITIVE&amp;1#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A36-5201-438C-8EC3-B8BCA5CABAA1}">
  <dimension ref="J1:S79"/>
  <sheetViews>
    <sheetView showGridLines="0" zoomScale="61" zoomScaleNormal="61" workbookViewId="0">
      <selection activeCell="J3" sqref="J3:N13"/>
    </sheetView>
  </sheetViews>
  <sheetFormatPr defaultRowHeight="14.5" x14ac:dyDescent="0.35"/>
  <cols>
    <col min="9" max="9" width="7.7265625" customWidth="1"/>
    <col min="10" max="10" width="10.81640625" customWidth="1"/>
    <col min="11" max="11" width="10.26953125" customWidth="1"/>
    <col min="12" max="12" width="12.7265625" customWidth="1"/>
    <col min="13" max="13" width="9.7265625" customWidth="1"/>
    <col min="14" max="14" width="12.453125" customWidth="1"/>
    <col min="15" max="15" width="10.1796875" customWidth="1"/>
    <col min="16" max="16" width="13.1796875" customWidth="1"/>
    <col min="17" max="17" width="14.81640625" customWidth="1"/>
    <col min="18" max="18" width="14.1796875" customWidth="1"/>
    <col min="19" max="19" width="21.54296875" customWidth="1"/>
  </cols>
  <sheetData>
    <row r="1" spans="10:19" ht="15" thickBot="1" x14ac:dyDescent="0.4">
      <c r="J1" s="389" t="s">
        <v>130</v>
      </c>
      <c r="K1" s="390"/>
      <c r="L1" s="390"/>
      <c r="M1" s="390"/>
      <c r="N1" s="391"/>
      <c r="P1" s="56" t="s">
        <v>62</v>
      </c>
      <c r="Q1" s="57" t="s">
        <v>63</v>
      </c>
      <c r="R1" s="57" t="s">
        <v>64</v>
      </c>
      <c r="S1" s="57" t="s">
        <v>65</v>
      </c>
    </row>
    <row r="2" spans="10:19" ht="15" thickBot="1" x14ac:dyDescent="0.4">
      <c r="J2" s="392"/>
      <c r="K2" s="393"/>
      <c r="L2" s="393"/>
      <c r="M2" s="393"/>
      <c r="N2" s="394"/>
      <c r="P2" s="374">
        <v>1</v>
      </c>
      <c r="Q2" s="378" t="s">
        <v>131</v>
      </c>
      <c r="R2" s="115" t="s">
        <v>132</v>
      </c>
      <c r="S2" s="99">
        <v>30</v>
      </c>
    </row>
    <row r="3" spans="10:19" ht="15" thickBot="1" x14ac:dyDescent="0.4">
      <c r="J3" s="395" t="s">
        <v>133</v>
      </c>
      <c r="K3" s="396"/>
      <c r="L3" s="396"/>
      <c r="M3" s="396"/>
      <c r="N3" s="397"/>
      <c r="P3" s="375"/>
      <c r="Q3" s="379"/>
      <c r="R3" s="65" t="s">
        <v>134</v>
      </c>
      <c r="S3" s="66">
        <v>50</v>
      </c>
    </row>
    <row r="4" spans="10:19" ht="15" thickBot="1" x14ac:dyDescent="0.4">
      <c r="J4" s="116" t="s">
        <v>135</v>
      </c>
      <c r="K4" s="398" t="s">
        <v>136</v>
      </c>
      <c r="L4" s="399"/>
      <c r="M4" s="400"/>
      <c r="N4" s="116" t="s">
        <v>65</v>
      </c>
      <c r="P4" s="376"/>
      <c r="Q4" s="380"/>
      <c r="R4" s="105" t="s">
        <v>137</v>
      </c>
      <c r="S4" s="83">
        <v>80</v>
      </c>
    </row>
    <row r="5" spans="10:19" ht="15" thickBot="1" x14ac:dyDescent="0.4">
      <c r="J5" s="117" t="s">
        <v>138</v>
      </c>
      <c r="K5" s="401" t="s">
        <v>139</v>
      </c>
      <c r="L5" s="402"/>
      <c r="M5" s="403"/>
      <c r="N5" s="118">
        <v>30</v>
      </c>
      <c r="P5" s="72"/>
      <c r="Q5" s="72"/>
      <c r="R5" s="65"/>
      <c r="S5" s="65"/>
    </row>
    <row r="6" spans="10:19" ht="15" thickBot="1" x14ac:dyDescent="0.4">
      <c r="J6" s="117" t="s">
        <v>140</v>
      </c>
      <c r="K6" s="384" t="s">
        <v>141</v>
      </c>
      <c r="L6" s="359"/>
      <c r="M6" s="385"/>
      <c r="N6" s="118">
        <v>50</v>
      </c>
      <c r="P6" s="74" t="s">
        <v>62</v>
      </c>
      <c r="Q6" s="75" t="s">
        <v>63</v>
      </c>
      <c r="R6" s="76" t="s">
        <v>64</v>
      </c>
      <c r="S6" s="77" t="s">
        <v>65</v>
      </c>
    </row>
    <row r="7" spans="10:19" x14ac:dyDescent="0.35">
      <c r="J7" s="117" t="s">
        <v>142</v>
      </c>
      <c r="K7" s="384" t="s">
        <v>143</v>
      </c>
      <c r="L7" s="359"/>
      <c r="M7" s="385"/>
      <c r="N7" s="118">
        <v>75</v>
      </c>
      <c r="P7" s="378">
        <v>2</v>
      </c>
      <c r="Q7" s="60" t="s">
        <v>131</v>
      </c>
      <c r="R7" s="99" t="s">
        <v>134</v>
      </c>
      <c r="S7" s="99">
        <v>50</v>
      </c>
    </row>
    <row r="8" spans="10:19" x14ac:dyDescent="0.35">
      <c r="J8" s="117" t="s">
        <v>144</v>
      </c>
      <c r="K8" s="384" t="s">
        <v>145</v>
      </c>
      <c r="L8" s="359"/>
      <c r="M8" s="385"/>
      <c r="N8" s="118">
        <v>80</v>
      </c>
      <c r="P8" s="379"/>
      <c r="Q8" s="78" t="s">
        <v>146</v>
      </c>
      <c r="R8" s="66" t="s">
        <v>137</v>
      </c>
      <c r="S8" s="66">
        <v>80</v>
      </c>
    </row>
    <row r="9" spans="10:19" x14ac:dyDescent="0.35">
      <c r="J9" s="117" t="s">
        <v>147</v>
      </c>
      <c r="K9" s="384" t="s">
        <v>148</v>
      </c>
      <c r="L9" s="359"/>
      <c r="M9" s="385"/>
      <c r="N9" s="118">
        <v>120</v>
      </c>
      <c r="P9" s="379"/>
      <c r="Q9" s="80"/>
      <c r="R9" s="66" t="s">
        <v>149</v>
      </c>
      <c r="S9" s="66" t="s">
        <v>150</v>
      </c>
    </row>
    <row r="10" spans="10:19" ht="15" thickBot="1" x14ac:dyDescent="0.4">
      <c r="J10" s="117" t="s">
        <v>151</v>
      </c>
      <c r="K10" s="384" t="s">
        <v>152</v>
      </c>
      <c r="L10" s="359"/>
      <c r="M10" s="385"/>
      <c r="N10" s="118">
        <v>135</v>
      </c>
      <c r="P10" s="380"/>
      <c r="Q10" s="82"/>
      <c r="R10" s="83" t="s">
        <v>153</v>
      </c>
      <c r="S10" s="83" t="s">
        <v>154</v>
      </c>
    </row>
    <row r="11" spans="10:19" ht="15" thickBot="1" x14ac:dyDescent="0.4">
      <c r="J11" s="117" t="s">
        <v>155</v>
      </c>
      <c r="K11" s="384" t="s">
        <v>156</v>
      </c>
      <c r="L11" s="359"/>
      <c r="M11" s="385"/>
      <c r="N11" s="118">
        <v>155</v>
      </c>
      <c r="P11" s="84"/>
      <c r="Q11" s="84"/>
      <c r="R11" s="85"/>
      <c r="S11" s="85"/>
    </row>
    <row r="12" spans="10:19" ht="15" thickBot="1" x14ac:dyDescent="0.4">
      <c r="J12" s="117" t="s">
        <v>157</v>
      </c>
      <c r="K12" s="384" t="s">
        <v>158</v>
      </c>
      <c r="L12" s="359"/>
      <c r="M12" s="385"/>
      <c r="N12" s="118">
        <v>160</v>
      </c>
      <c r="P12" s="119" t="s">
        <v>62</v>
      </c>
      <c r="Q12" s="119" t="s">
        <v>63</v>
      </c>
      <c r="R12" s="87" t="s">
        <v>64</v>
      </c>
      <c r="S12" s="88" t="s">
        <v>65</v>
      </c>
    </row>
    <row r="13" spans="10:19" ht="15" thickBot="1" x14ac:dyDescent="0.4">
      <c r="J13" s="120" t="s">
        <v>159</v>
      </c>
      <c r="K13" s="386" t="s">
        <v>160</v>
      </c>
      <c r="L13" s="387"/>
      <c r="M13" s="388"/>
      <c r="N13" s="121">
        <v>190</v>
      </c>
      <c r="P13" s="378">
        <v>3</v>
      </c>
      <c r="Q13" s="60" t="s">
        <v>131</v>
      </c>
      <c r="R13" s="62" t="s">
        <v>137</v>
      </c>
      <c r="S13" s="122">
        <v>80</v>
      </c>
    </row>
    <row r="14" spans="10:19" ht="15" thickBot="1" x14ac:dyDescent="0.4">
      <c r="P14" s="379"/>
      <c r="Q14" s="78" t="s">
        <v>146</v>
      </c>
      <c r="R14" s="79" t="s">
        <v>153</v>
      </c>
      <c r="S14" s="71" t="s">
        <v>154</v>
      </c>
    </row>
    <row r="15" spans="10:19" ht="15" thickBot="1" x14ac:dyDescent="0.4">
      <c r="P15" s="380"/>
      <c r="Q15" s="81" t="s">
        <v>161</v>
      </c>
      <c r="R15" s="83" t="s">
        <v>162</v>
      </c>
      <c r="S15" s="96" t="s">
        <v>163</v>
      </c>
    </row>
    <row r="16" spans="10:19" ht="15" thickBot="1" x14ac:dyDescent="0.4">
      <c r="J16" s="123"/>
      <c r="P16" s="89"/>
      <c r="Q16" s="72"/>
      <c r="R16" s="65"/>
      <c r="S16" s="65"/>
    </row>
    <row r="17" spans="16:19" ht="15" thickBot="1" x14ac:dyDescent="0.4">
      <c r="P17" s="59" t="s">
        <v>62</v>
      </c>
      <c r="Q17" s="119" t="s">
        <v>63</v>
      </c>
      <c r="R17" s="88" t="s">
        <v>64</v>
      </c>
      <c r="S17" s="87" t="s">
        <v>65</v>
      </c>
    </row>
    <row r="18" spans="16:19" x14ac:dyDescent="0.35">
      <c r="P18" s="378">
        <v>4</v>
      </c>
      <c r="Q18" s="60" t="s">
        <v>131</v>
      </c>
      <c r="R18" s="99" t="s">
        <v>137</v>
      </c>
      <c r="S18" s="124">
        <v>80</v>
      </c>
    </row>
    <row r="19" spans="16:19" x14ac:dyDescent="0.35">
      <c r="P19" s="379"/>
      <c r="Q19" s="78" t="s">
        <v>146</v>
      </c>
      <c r="R19" s="95" t="s">
        <v>164</v>
      </c>
      <c r="S19" s="95" t="s">
        <v>165</v>
      </c>
    </row>
    <row r="20" spans="16:19" x14ac:dyDescent="0.35">
      <c r="P20" s="379"/>
      <c r="Q20" s="78" t="s">
        <v>161</v>
      </c>
      <c r="R20" s="95" t="s">
        <v>166</v>
      </c>
      <c r="S20" s="66" t="s">
        <v>167</v>
      </c>
    </row>
    <row r="21" spans="16:19" ht="15" thickBot="1" x14ac:dyDescent="0.4">
      <c r="P21" s="380"/>
      <c r="Q21" s="81" t="s">
        <v>168</v>
      </c>
      <c r="R21" s="96"/>
      <c r="S21" s="83"/>
    </row>
    <row r="22" spans="16:19" ht="15" thickBot="1" x14ac:dyDescent="0.4">
      <c r="P22" s="89"/>
      <c r="Q22" s="84"/>
    </row>
    <row r="23" spans="16:19" ht="15" thickBot="1" x14ac:dyDescent="0.4">
      <c r="P23" s="90" t="s">
        <v>62</v>
      </c>
      <c r="Q23" s="91" t="s">
        <v>63</v>
      </c>
      <c r="R23" s="92" t="s">
        <v>64</v>
      </c>
      <c r="S23" s="93" t="s">
        <v>65</v>
      </c>
    </row>
    <row r="24" spans="16:19" x14ac:dyDescent="0.35">
      <c r="P24" s="381">
        <v>5</v>
      </c>
      <c r="Q24" s="60" t="s">
        <v>131</v>
      </c>
      <c r="R24" s="95" t="s">
        <v>169</v>
      </c>
      <c r="S24" s="95" t="s">
        <v>170</v>
      </c>
    </row>
    <row r="25" spans="16:19" x14ac:dyDescent="0.35">
      <c r="P25" s="375"/>
      <c r="Q25" s="78" t="s">
        <v>146</v>
      </c>
      <c r="R25" s="94" t="s">
        <v>171</v>
      </c>
      <c r="S25" s="79" t="s">
        <v>172</v>
      </c>
    </row>
    <row r="26" spans="16:19" x14ac:dyDescent="0.35">
      <c r="P26" s="375"/>
      <c r="Q26" s="78" t="s">
        <v>161</v>
      </c>
      <c r="R26" s="95" t="s">
        <v>164</v>
      </c>
      <c r="S26" s="95" t="s">
        <v>165</v>
      </c>
    </row>
    <row r="27" spans="16:19" x14ac:dyDescent="0.35">
      <c r="P27" s="375"/>
      <c r="Q27" s="78" t="s">
        <v>168</v>
      </c>
      <c r="R27" s="95" t="s">
        <v>166</v>
      </c>
      <c r="S27" s="66" t="s">
        <v>167</v>
      </c>
    </row>
    <row r="28" spans="16:19" ht="15" thickBot="1" x14ac:dyDescent="0.4">
      <c r="P28" s="376"/>
      <c r="Q28" s="81" t="s">
        <v>173</v>
      </c>
      <c r="R28" s="96" t="s">
        <v>174</v>
      </c>
      <c r="S28" s="96" t="s">
        <v>175</v>
      </c>
    </row>
    <row r="29" spans="16:19" ht="15" thickBot="1" x14ac:dyDescent="0.4">
      <c r="P29" s="89"/>
      <c r="Q29" s="72"/>
      <c r="R29" s="65"/>
      <c r="S29" s="85"/>
    </row>
    <row r="30" spans="16:19" ht="15" thickBot="1" x14ac:dyDescent="0.4">
      <c r="P30" s="74" t="s">
        <v>62</v>
      </c>
      <c r="Q30" s="75" t="s">
        <v>63</v>
      </c>
      <c r="R30" s="76" t="s">
        <v>64</v>
      </c>
      <c r="S30" s="77" t="s">
        <v>65</v>
      </c>
    </row>
    <row r="31" spans="16:19" x14ac:dyDescent="0.35">
      <c r="P31" s="374">
        <v>6</v>
      </c>
      <c r="Q31" s="59" t="s">
        <v>131</v>
      </c>
      <c r="R31" s="97" t="s">
        <v>164</v>
      </c>
      <c r="S31" s="62" t="s">
        <v>165</v>
      </c>
    </row>
    <row r="32" spans="16:19" x14ac:dyDescent="0.35">
      <c r="P32" s="375"/>
      <c r="Q32" s="63" t="s">
        <v>146</v>
      </c>
      <c r="R32" s="125" t="s">
        <v>166</v>
      </c>
      <c r="S32" s="79" t="s">
        <v>167</v>
      </c>
    </row>
    <row r="33" spans="11:19" x14ac:dyDescent="0.35">
      <c r="P33" s="375"/>
      <c r="Q33" s="63" t="s">
        <v>161</v>
      </c>
      <c r="R33" s="100" t="s">
        <v>169</v>
      </c>
      <c r="S33" s="66" t="s">
        <v>170</v>
      </c>
    </row>
    <row r="34" spans="11:19" x14ac:dyDescent="0.35">
      <c r="P34" s="375"/>
      <c r="Q34" s="63" t="s">
        <v>168</v>
      </c>
      <c r="R34" s="100" t="s">
        <v>176</v>
      </c>
      <c r="S34" s="66" t="s">
        <v>177</v>
      </c>
    </row>
    <row r="35" spans="11:19" x14ac:dyDescent="0.35">
      <c r="P35" s="375"/>
      <c r="Q35" s="63" t="s">
        <v>173</v>
      </c>
      <c r="R35" s="100" t="s">
        <v>178</v>
      </c>
      <c r="S35" s="66" t="s">
        <v>179</v>
      </c>
    </row>
    <row r="36" spans="11:19" ht="15" thickBot="1" x14ac:dyDescent="0.4">
      <c r="P36" s="376"/>
      <c r="Q36" s="68" t="s">
        <v>180</v>
      </c>
      <c r="R36" s="101" t="s">
        <v>174</v>
      </c>
      <c r="S36" s="83" t="s">
        <v>175</v>
      </c>
    </row>
    <row r="37" spans="11:19" ht="15" thickBot="1" x14ac:dyDescent="0.4">
      <c r="P37" s="89"/>
      <c r="Q37" s="72"/>
      <c r="R37" s="65"/>
      <c r="S37" s="65"/>
    </row>
    <row r="38" spans="11:19" ht="15" thickBot="1" x14ac:dyDescent="0.4">
      <c r="P38" s="74" t="s">
        <v>62</v>
      </c>
      <c r="Q38" s="75" t="s">
        <v>63</v>
      </c>
      <c r="R38" s="102" t="s">
        <v>64</v>
      </c>
      <c r="S38" s="87" t="s">
        <v>65</v>
      </c>
    </row>
    <row r="39" spans="11:19" x14ac:dyDescent="0.35">
      <c r="P39" s="374">
        <v>7</v>
      </c>
      <c r="Q39" s="59" t="s">
        <v>131</v>
      </c>
      <c r="R39" s="62" t="s">
        <v>174</v>
      </c>
      <c r="S39" s="95" t="s">
        <v>175</v>
      </c>
    </row>
    <row r="40" spans="11:19" x14ac:dyDescent="0.35">
      <c r="P40" s="375"/>
      <c r="Q40" s="63" t="s">
        <v>146</v>
      </c>
      <c r="R40" s="66" t="s">
        <v>181</v>
      </c>
      <c r="S40" s="66" t="s">
        <v>182</v>
      </c>
    </row>
    <row r="41" spans="11:19" x14ac:dyDescent="0.35">
      <c r="P41" s="375"/>
      <c r="Q41" s="63" t="s">
        <v>161</v>
      </c>
      <c r="R41" s="66" t="s">
        <v>183</v>
      </c>
      <c r="S41" s="66" t="s">
        <v>184</v>
      </c>
    </row>
    <row r="42" spans="11:19" x14ac:dyDescent="0.35">
      <c r="P42" s="375"/>
      <c r="Q42" s="63" t="s">
        <v>168</v>
      </c>
      <c r="R42" s="79" t="s">
        <v>164</v>
      </c>
      <c r="S42" s="94" t="s">
        <v>165</v>
      </c>
    </row>
    <row r="43" spans="11:19" x14ac:dyDescent="0.35">
      <c r="P43" s="375"/>
      <c r="Q43" s="63" t="s">
        <v>173</v>
      </c>
      <c r="R43" s="66" t="s">
        <v>176</v>
      </c>
      <c r="S43" s="95" t="s">
        <v>177</v>
      </c>
    </row>
    <row r="44" spans="11:19" x14ac:dyDescent="0.35">
      <c r="P44" s="375"/>
      <c r="Q44" s="63" t="s">
        <v>180</v>
      </c>
      <c r="R44" s="66" t="s">
        <v>178</v>
      </c>
      <c r="S44" s="95" t="s">
        <v>179</v>
      </c>
    </row>
    <row r="45" spans="11:19" ht="15" thickBot="1" x14ac:dyDescent="0.4">
      <c r="P45" s="376"/>
      <c r="Q45" s="68" t="s">
        <v>185</v>
      </c>
      <c r="R45" s="83"/>
      <c r="S45" s="96"/>
    </row>
    <row r="46" spans="11:19" ht="15" thickBot="1" x14ac:dyDescent="0.4">
      <c r="K46" s="126"/>
      <c r="L46" s="126"/>
      <c r="P46" s="89"/>
      <c r="Q46" s="72"/>
      <c r="R46" s="65"/>
      <c r="S46" s="65"/>
    </row>
    <row r="47" spans="11:19" ht="15" thickBot="1" x14ac:dyDescent="0.4">
      <c r="P47" s="119" t="s">
        <v>62</v>
      </c>
      <c r="Q47" s="60" t="s">
        <v>63</v>
      </c>
      <c r="R47" s="87" t="s">
        <v>64</v>
      </c>
      <c r="S47" s="88" t="s">
        <v>65</v>
      </c>
    </row>
    <row r="48" spans="11:19" x14ac:dyDescent="0.35">
      <c r="P48" s="375">
        <v>8</v>
      </c>
      <c r="Q48" s="60" t="s">
        <v>131</v>
      </c>
      <c r="R48" s="95" t="s">
        <v>186</v>
      </c>
      <c r="S48" s="66" t="s">
        <v>187</v>
      </c>
    </row>
    <row r="49" spans="16:19" x14ac:dyDescent="0.35">
      <c r="P49" s="375"/>
      <c r="Q49" s="78" t="s">
        <v>146</v>
      </c>
      <c r="R49" s="95" t="s">
        <v>183</v>
      </c>
      <c r="S49" s="66" t="s">
        <v>184</v>
      </c>
    </row>
    <row r="50" spans="16:19" x14ac:dyDescent="0.35">
      <c r="P50" s="375"/>
      <c r="Q50" s="78" t="s">
        <v>161</v>
      </c>
      <c r="R50" s="95" t="s">
        <v>178</v>
      </c>
      <c r="S50" s="66" t="s">
        <v>179</v>
      </c>
    </row>
    <row r="51" spans="16:19" x14ac:dyDescent="0.35">
      <c r="P51" s="375"/>
      <c r="Q51" s="78" t="s">
        <v>168</v>
      </c>
      <c r="R51" s="95" t="s">
        <v>176</v>
      </c>
      <c r="S51" s="95" t="s">
        <v>177</v>
      </c>
    </row>
    <row r="52" spans="16:19" x14ac:dyDescent="0.35">
      <c r="P52" s="375"/>
      <c r="Q52" s="78" t="s">
        <v>173</v>
      </c>
      <c r="R52" s="94" t="s">
        <v>174</v>
      </c>
      <c r="S52" s="94" t="s">
        <v>175</v>
      </c>
    </row>
    <row r="53" spans="16:19" x14ac:dyDescent="0.35">
      <c r="P53" s="375"/>
      <c r="Q53" s="78" t="s">
        <v>180</v>
      </c>
      <c r="R53" s="95"/>
      <c r="S53" s="95"/>
    </row>
    <row r="54" spans="16:19" x14ac:dyDescent="0.35">
      <c r="P54" s="375"/>
      <c r="Q54" s="78" t="s">
        <v>185</v>
      </c>
      <c r="R54" s="95"/>
      <c r="S54" s="95"/>
    </row>
    <row r="55" spans="16:19" ht="15" thickBot="1" x14ac:dyDescent="0.4">
      <c r="P55" s="376"/>
      <c r="Q55" s="81" t="s">
        <v>188</v>
      </c>
      <c r="R55" s="96"/>
      <c r="S55" s="96"/>
    </row>
    <row r="56" spans="16:19" ht="15" thickBot="1" x14ac:dyDescent="0.4">
      <c r="P56" s="89"/>
      <c r="Q56" s="72"/>
      <c r="R56" s="65"/>
      <c r="S56" s="65"/>
    </row>
    <row r="57" spans="16:19" ht="15" thickBot="1" x14ac:dyDescent="0.4">
      <c r="P57" s="119" t="s">
        <v>62</v>
      </c>
      <c r="Q57" s="60" t="s">
        <v>63</v>
      </c>
      <c r="R57" s="87" t="s">
        <v>64</v>
      </c>
      <c r="S57" s="88" t="s">
        <v>65</v>
      </c>
    </row>
    <row r="58" spans="16:19" x14ac:dyDescent="0.35">
      <c r="P58" s="375">
        <v>9</v>
      </c>
      <c r="Q58" s="60" t="s">
        <v>131</v>
      </c>
      <c r="R58" s="95" t="s">
        <v>186</v>
      </c>
      <c r="S58" s="66" t="s">
        <v>187</v>
      </c>
    </row>
    <row r="59" spans="16:19" x14ac:dyDescent="0.35">
      <c r="P59" s="375"/>
      <c r="Q59" s="78" t="s">
        <v>146</v>
      </c>
      <c r="R59" s="94" t="s">
        <v>183</v>
      </c>
      <c r="S59" s="79" t="s">
        <v>184</v>
      </c>
    </row>
    <row r="60" spans="16:19" x14ac:dyDescent="0.35">
      <c r="P60" s="375"/>
      <c r="Q60" s="78" t="s">
        <v>161</v>
      </c>
      <c r="R60" s="95" t="s">
        <v>178</v>
      </c>
      <c r="S60" s="66" t="s">
        <v>179</v>
      </c>
    </row>
    <row r="61" spans="16:19" x14ac:dyDescent="0.35">
      <c r="P61" s="375"/>
      <c r="Q61" s="78" t="s">
        <v>168</v>
      </c>
      <c r="R61" s="95"/>
      <c r="S61" s="95"/>
    </row>
    <row r="62" spans="16:19" x14ac:dyDescent="0.35">
      <c r="P62" s="375"/>
      <c r="Q62" s="78" t="s">
        <v>173</v>
      </c>
      <c r="R62" s="95"/>
      <c r="S62" s="127"/>
    </row>
    <row r="63" spans="16:19" x14ac:dyDescent="0.35">
      <c r="P63" s="375"/>
      <c r="Q63" s="78" t="s">
        <v>180</v>
      </c>
      <c r="R63" s="95"/>
      <c r="S63" s="127"/>
    </row>
    <row r="64" spans="16:19" x14ac:dyDescent="0.35">
      <c r="P64" s="375"/>
      <c r="Q64" s="78" t="s">
        <v>185</v>
      </c>
      <c r="R64" s="95"/>
      <c r="S64" s="127"/>
    </row>
    <row r="65" spans="16:19" x14ac:dyDescent="0.35">
      <c r="P65" s="375"/>
      <c r="Q65" s="78" t="s">
        <v>188</v>
      </c>
      <c r="R65" s="95"/>
      <c r="S65" s="127"/>
    </row>
    <row r="66" spans="16:19" ht="15" thickBot="1" x14ac:dyDescent="0.4">
      <c r="P66" s="376"/>
      <c r="Q66" s="81" t="s">
        <v>189</v>
      </c>
      <c r="R66" s="128"/>
      <c r="S66" s="129"/>
    </row>
    <row r="67" spans="16:19" ht="15" thickBot="1" x14ac:dyDescent="0.4">
      <c r="P67" s="89"/>
      <c r="Q67" s="72"/>
      <c r="R67" s="84"/>
      <c r="S67" s="84"/>
    </row>
    <row r="68" spans="16:19" ht="15" thickBot="1" x14ac:dyDescent="0.4">
      <c r="P68" s="59" t="s">
        <v>62</v>
      </c>
      <c r="Q68" s="60" t="s">
        <v>63</v>
      </c>
      <c r="R68" s="119" t="s">
        <v>64</v>
      </c>
      <c r="S68" s="130" t="s">
        <v>65</v>
      </c>
    </row>
    <row r="69" spans="16:19" x14ac:dyDescent="0.35">
      <c r="P69" s="374">
        <v>10</v>
      </c>
      <c r="Q69" s="60" t="s">
        <v>131</v>
      </c>
      <c r="R69" s="130"/>
      <c r="S69" s="130"/>
    </row>
    <row r="70" spans="16:19" x14ac:dyDescent="0.35">
      <c r="P70" s="375"/>
      <c r="Q70" s="78" t="s">
        <v>146</v>
      </c>
      <c r="R70" s="127"/>
      <c r="S70" s="127"/>
    </row>
    <row r="71" spans="16:19" x14ac:dyDescent="0.35">
      <c r="P71" s="375"/>
      <c r="Q71" s="78" t="s">
        <v>161</v>
      </c>
      <c r="R71" s="127"/>
      <c r="S71" s="127"/>
    </row>
    <row r="72" spans="16:19" x14ac:dyDescent="0.35">
      <c r="P72" s="375"/>
      <c r="Q72" s="78" t="s">
        <v>168</v>
      </c>
      <c r="R72" s="127"/>
      <c r="S72" s="127"/>
    </row>
    <row r="73" spans="16:19" x14ac:dyDescent="0.35">
      <c r="P73" s="375"/>
      <c r="Q73" s="78" t="s">
        <v>173</v>
      </c>
      <c r="R73" s="127"/>
      <c r="S73" s="127"/>
    </row>
    <row r="74" spans="16:19" x14ac:dyDescent="0.35">
      <c r="P74" s="375"/>
      <c r="Q74" s="78" t="s">
        <v>180</v>
      </c>
      <c r="R74" s="131"/>
      <c r="S74" s="131"/>
    </row>
    <row r="75" spans="16:19" x14ac:dyDescent="0.35">
      <c r="P75" s="375"/>
      <c r="Q75" s="78" t="s">
        <v>185</v>
      </c>
      <c r="R75" s="127"/>
      <c r="S75" s="127"/>
    </row>
    <row r="76" spans="16:19" x14ac:dyDescent="0.35">
      <c r="P76" s="375"/>
      <c r="Q76" s="78" t="s">
        <v>188</v>
      </c>
      <c r="R76" s="127"/>
      <c r="S76" s="127"/>
    </row>
    <row r="77" spans="16:19" x14ac:dyDescent="0.35">
      <c r="P77" s="375"/>
      <c r="Q77" s="78" t="s">
        <v>189</v>
      </c>
      <c r="R77" s="131"/>
      <c r="S77" s="131"/>
    </row>
    <row r="78" spans="16:19" ht="15" thickBot="1" x14ac:dyDescent="0.4">
      <c r="P78" s="376"/>
      <c r="Q78" s="81" t="s">
        <v>190</v>
      </c>
      <c r="R78" s="129"/>
      <c r="S78" s="129"/>
    </row>
    <row r="79" spans="16:19" x14ac:dyDescent="0.35">
      <c r="P79" s="84"/>
      <c r="Q79" s="84"/>
      <c r="R79" s="132"/>
      <c r="S79" s="132"/>
    </row>
  </sheetData>
  <mergeCells count="23">
    <mergeCell ref="P7:P10"/>
    <mergeCell ref="J1:N2"/>
    <mergeCell ref="P2:P4"/>
    <mergeCell ref="Q2:Q4"/>
    <mergeCell ref="J3:N3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P58:P66"/>
    <mergeCell ref="P69:P78"/>
    <mergeCell ref="P13:P15"/>
    <mergeCell ref="P18:P21"/>
    <mergeCell ref="P24:P28"/>
    <mergeCell ref="P31:P36"/>
    <mergeCell ref="P39:P45"/>
    <mergeCell ref="P48:P55"/>
  </mergeCells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C26B-72FD-445C-9E82-76F47525BAA1}">
  <dimension ref="A1:D79"/>
  <sheetViews>
    <sheetView showGridLines="0" zoomScale="61" zoomScaleNormal="61" workbookViewId="0">
      <selection activeCell="R9" sqref="R9"/>
    </sheetView>
  </sheetViews>
  <sheetFormatPr defaultRowHeight="14.5" x14ac:dyDescent="0.35"/>
  <cols>
    <col min="2" max="2" width="20.54296875" customWidth="1"/>
    <col min="3" max="3" width="22.7265625" customWidth="1"/>
    <col min="4" max="4" width="31.54296875" customWidth="1"/>
    <col min="9" max="9" width="7.7265625" customWidth="1"/>
  </cols>
  <sheetData>
    <row r="1" spans="1:4" ht="15" thickBot="1" x14ac:dyDescent="0.4">
      <c r="A1" s="56" t="s">
        <v>62</v>
      </c>
      <c r="B1" s="57" t="s">
        <v>63</v>
      </c>
      <c r="C1" s="57" t="s">
        <v>64</v>
      </c>
      <c r="D1" s="57" t="s">
        <v>65</v>
      </c>
    </row>
    <row r="2" spans="1:4" x14ac:dyDescent="0.35">
      <c r="A2" s="374">
        <v>1</v>
      </c>
      <c r="B2" s="378" t="s">
        <v>69</v>
      </c>
      <c r="C2" s="115" t="s">
        <v>70</v>
      </c>
      <c r="D2" s="99">
        <v>6</v>
      </c>
    </row>
    <row r="3" spans="1:4" x14ac:dyDescent="0.35">
      <c r="A3" s="375"/>
      <c r="B3" s="379"/>
      <c r="C3" s="65" t="s">
        <v>72</v>
      </c>
      <c r="D3" s="66">
        <v>10</v>
      </c>
    </row>
    <row r="4" spans="1:4" ht="15" thickBot="1" x14ac:dyDescent="0.4">
      <c r="A4" s="376"/>
      <c r="B4" s="380"/>
      <c r="C4" s="105" t="s">
        <v>74</v>
      </c>
      <c r="D4" s="83">
        <v>7</v>
      </c>
    </row>
    <row r="5" spans="1:4" ht="15" thickBot="1" x14ac:dyDescent="0.4">
      <c r="A5" s="72"/>
      <c r="B5" s="72"/>
      <c r="C5" s="65"/>
      <c r="D5" s="65"/>
    </row>
    <row r="6" spans="1:4" ht="15" thickBot="1" x14ac:dyDescent="0.4">
      <c r="A6" s="74" t="s">
        <v>62</v>
      </c>
      <c r="B6" s="75" t="s">
        <v>63</v>
      </c>
      <c r="C6" s="76" t="s">
        <v>64</v>
      </c>
      <c r="D6" s="77" t="s">
        <v>65</v>
      </c>
    </row>
    <row r="7" spans="1:4" x14ac:dyDescent="0.35">
      <c r="A7" s="378">
        <v>2</v>
      </c>
      <c r="B7" s="60" t="s">
        <v>69</v>
      </c>
      <c r="C7" s="62" t="s">
        <v>72</v>
      </c>
      <c r="D7" s="62">
        <v>10</v>
      </c>
    </row>
    <row r="8" spans="1:4" x14ac:dyDescent="0.35">
      <c r="A8" s="379"/>
      <c r="B8" s="78" t="s">
        <v>191</v>
      </c>
      <c r="C8" s="79" t="s">
        <v>74</v>
      </c>
      <c r="D8" s="79">
        <v>9</v>
      </c>
    </row>
    <row r="9" spans="1:4" x14ac:dyDescent="0.35">
      <c r="A9" s="379"/>
      <c r="B9" s="80"/>
      <c r="C9" s="66" t="s">
        <v>86</v>
      </c>
      <c r="D9" s="66">
        <v>18</v>
      </c>
    </row>
    <row r="10" spans="1:4" ht="15" thickBot="1" x14ac:dyDescent="0.4">
      <c r="A10" s="380"/>
      <c r="B10" s="82"/>
      <c r="C10" s="83"/>
      <c r="D10" s="83"/>
    </row>
    <row r="11" spans="1:4" ht="15" thickBot="1" x14ac:dyDescent="0.4">
      <c r="A11" s="84"/>
      <c r="B11" s="84"/>
      <c r="C11" s="85"/>
      <c r="D11" s="85"/>
    </row>
    <row r="12" spans="1:4" ht="15" thickBot="1" x14ac:dyDescent="0.4">
      <c r="A12" s="119" t="s">
        <v>62</v>
      </c>
      <c r="B12" s="119" t="s">
        <v>63</v>
      </c>
      <c r="C12" s="87" t="s">
        <v>64</v>
      </c>
      <c r="D12" s="88" t="s">
        <v>65</v>
      </c>
    </row>
    <row r="13" spans="1:4" x14ac:dyDescent="0.35">
      <c r="A13" s="378">
        <v>3</v>
      </c>
      <c r="B13" s="60" t="s">
        <v>69</v>
      </c>
      <c r="C13" s="60" t="s">
        <v>86</v>
      </c>
      <c r="D13" s="60">
        <v>18</v>
      </c>
    </row>
    <row r="14" spans="1:4" x14ac:dyDescent="0.35">
      <c r="A14" s="379"/>
      <c r="B14" s="78" t="s">
        <v>191</v>
      </c>
      <c r="C14" s="133" t="s">
        <v>72</v>
      </c>
      <c r="D14" s="133">
        <v>10</v>
      </c>
    </row>
    <row r="15" spans="1:4" x14ac:dyDescent="0.35">
      <c r="A15" s="379"/>
      <c r="B15" s="78" t="s">
        <v>192</v>
      </c>
      <c r="C15" s="78" t="s">
        <v>83</v>
      </c>
      <c r="D15" s="78">
        <v>16</v>
      </c>
    </row>
    <row r="16" spans="1:4" ht="15" thickBot="1" x14ac:dyDescent="0.4">
      <c r="A16" s="380"/>
      <c r="B16" s="81"/>
      <c r="C16" s="81" t="s">
        <v>193</v>
      </c>
      <c r="D16" s="81">
        <v>14</v>
      </c>
    </row>
    <row r="17" spans="1:4" ht="15" thickBot="1" x14ac:dyDescent="0.4">
      <c r="A17" s="89"/>
      <c r="B17" s="72"/>
      <c r="C17" s="65"/>
      <c r="D17" s="65"/>
    </row>
    <row r="18" spans="1:4" ht="15" thickBot="1" x14ac:dyDescent="0.4">
      <c r="A18" s="59" t="s">
        <v>62</v>
      </c>
      <c r="B18" s="119" t="s">
        <v>63</v>
      </c>
      <c r="C18" s="88" t="s">
        <v>64</v>
      </c>
      <c r="D18" s="87" t="s">
        <v>65</v>
      </c>
    </row>
    <row r="19" spans="1:4" x14ac:dyDescent="0.35">
      <c r="A19" s="378">
        <v>4</v>
      </c>
      <c r="B19" s="60" t="s">
        <v>69</v>
      </c>
      <c r="C19" s="62" t="s">
        <v>86</v>
      </c>
      <c r="D19" s="122">
        <v>18</v>
      </c>
    </row>
    <row r="20" spans="1:4" x14ac:dyDescent="0.35">
      <c r="A20" s="379"/>
      <c r="B20" s="78" t="s">
        <v>191</v>
      </c>
      <c r="C20" s="95" t="s">
        <v>194</v>
      </c>
      <c r="D20" s="95">
        <v>17</v>
      </c>
    </row>
    <row r="21" spans="1:4" x14ac:dyDescent="0.35">
      <c r="A21" s="379"/>
      <c r="B21" s="78" t="s">
        <v>192</v>
      </c>
      <c r="C21" s="94" t="s">
        <v>193</v>
      </c>
      <c r="D21" s="79">
        <v>14</v>
      </c>
    </row>
    <row r="22" spans="1:4" ht="15" thickBot="1" x14ac:dyDescent="0.4">
      <c r="A22" s="380"/>
      <c r="B22" s="81" t="s">
        <v>195</v>
      </c>
      <c r="C22" s="96"/>
      <c r="D22" s="83"/>
    </row>
    <row r="23" spans="1:4" ht="15" thickBot="1" x14ac:dyDescent="0.4">
      <c r="A23" s="89"/>
      <c r="B23" s="84"/>
    </row>
    <row r="24" spans="1:4" ht="15" thickBot="1" x14ac:dyDescent="0.4">
      <c r="A24" s="90" t="s">
        <v>62</v>
      </c>
      <c r="B24" s="91" t="s">
        <v>63</v>
      </c>
      <c r="C24" s="92" t="s">
        <v>64</v>
      </c>
      <c r="D24" s="93" t="s">
        <v>65</v>
      </c>
    </row>
    <row r="25" spans="1:4" x14ac:dyDescent="0.35">
      <c r="A25" s="381">
        <v>5</v>
      </c>
      <c r="B25" s="60" t="s">
        <v>69</v>
      </c>
      <c r="C25" s="94" t="s">
        <v>84</v>
      </c>
      <c r="D25" s="94">
        <v>15</v>
      </c>
    </row>
    <row r="26" spans="1:4" x14ac:dyDescent="0.35">
      <c r="A26" s="375"/>
      <c r="B26" s="78" t="s">
        <v>191</v>
      </c>
      <c r="C26" s="95" t="s">
        <v>194</v>
      </c>
      <c r="D26" s="66">
        <v>17</v>
      </c>
    </row>
    <row r="27" spans="1:4" x14ac:dyDescent="0.35">
      <c r="A27" s="375"/>
      <c r="B27" s="78" t="s">
        <v>192</v>
      </c>
      <c r="C27" s="95"/>
      <c r="D27" s="95"/>
    </row>
    <row r="28" spans="1:4" x14ac:dyDescent="0.35">
      <c r="A28" s="375"/>
      <c r="B28" s="78" t="s">
        <v>196</v>
      </c>
      <c r="C28" s="95"/>
      <c r="D28" s="66"/>
    </row>
    <row r="29" spans="1:4" ht="15" thickBot="1" x14ac:dyDescent="0.4">
      <c r="A29" s="376"/>
      <c r="B29" s="81" t="s">
        <v>197</v>
      </c>
      <c r="C29" s="96"/>
      <c r="D29" s="96"/>
    </row>
    <row r="30" spans="1:4" ht="15" thickBot="1" x14ac:dyDescent="0.4">
      <c r="A30" s="89"/>
      <c r="B30" s="72"/>
      <c r="C30" s="65"/>
      <c r="D30" s="85"/>
    </row>
    <row r="31" spans="1:4" ht="15" thickBot="1" x14ac:dyDescent="0.4">
      <c r="A31" s="74" t="s">
        <v>62</v>
      </c>
      <c r="B31" s="75" t="s">
        <v>63</v>
      </c>
      <c r="C31" s="76" t="s">
        <v>64</v>
      </c>
      <c r="D31" s="77" t="s">
        <v>65</v>
      </c>
    </row>
    <row r="32" spans="1:4" x14ac:dyDescent="0.35">
      <c r="A32" s="374">
        <v>6</v>
      </c>
      <c r="B32" s="60" t="s">
        <v>69</v>
      </c>
      <c r="C32" s="97" t="s">
        <v>198</v>
      </c>
      <c r="D32" s="62">
        <v>20</v>
      </c>
    </row>
    <row r="33" spans="1:4" x14ac:dyDescent="0.35">
      <c r="A33" s="375"/>
      <c r="B33" s="78" t="s">
        <v>191</v>
      </c>
      <c r="C33" s="125"/>
      <c r="D33" s="79"/>
    </row>
    <row r="34" spans="1:4" x14ac:dyDescent="0.35">
      <c r="A34" s="375"/>
      <c r="B34" s="78" t="s">
        <v>192</v>
      </c>
      <c r="C34" s="100"/>
      <c r="D34" s="66"/>
    </row>
    <row r="35" spans="1:4" x14ac:dyDescent="0.35">
      <c r="A35" s="375"/>
      <c r="B35" s="78" t="s">
        <v>196</v>
      </c>
      <c r="C35" s="100"/>
      <c r="D35" s="66"/>
    </row>
    <row r="36" spans="1:4" x14ac:dyDescent="0.35">
      <c r="A36" s="375"/>
      <c r="B36" s="63" t="s">
        <v>197</v>
      </c>
      <c r="C36" s="100"/>
      <c r="D36" s="66"/>
    </row>
    <row r="37" spans="1:4" ht="15" thickBot="1" x14ac:dyDescent="0.4">
      <c r="A37" s="376"/>
      <c r="B37" s="68" t="s">
        <v>199</v>
      </c>
      <c r="C37" s="101"/>
      <c r="D37" s="83"/>
    </row>
    <row r="38" spans="1:4" ht="15" thickBot="1" x14ac:dyDescent="0.4">
      <c r="A38" s="89"/>
      <c r="B38" s="72"/>
      <c r="C38" s="65"/>
      <c r="D38" s="65"/>
    </row>
    <row r="39" spans="1:4" ht="15" thickBot="1" x14ac:dyDescent="0.4">
      <c r="A39" s="74" t="s">
        <v>62</v>
      </c>
      <c r="B39" s="75" t="s">
        <v>63</v>
      </c>
      <c r="C39" s="102" t="s">
        <v>64</v>
      </c>
      <c r="D39" s="87" t="s">
        <v>65</v>
      </c>
    </row>
    <row r="40" spans="1:4" x14ac:dyDescent="0.35">
      <c r="A40" s="374">
        <v>7</v>
      </c>
      <c r="B40" s="60" t="s">
        <v>69</v>
      </c>
      <c r="C40" s="62"/>
      <c r="D40" s="95"/>
    </row>
    <row r="41" spans="1:4" x14ac:dyDescent="0.35">
      <c r="A41" s="375"/>
      <c r="B41" s="78" t="s">
        <v>191</v>
      </c>
      <c r="C41" s="66"/>
      <c r="D41" s="66"/>
    </row>
    <row r="42" spans="1:4" x14ac:dyDescent="0.35">
      <c r="A42" s="375"/>
      <c r="B42" s="78" t="s">
        <v>192</v>
      </c>
      <c r="C42" s="66"/>
      <c r="D42" s="66"/>
    </row>
    <row r="43" spans="1:4" x14ac:dyDescent="0.35">
      <c r="A43" s="375"/>
      <c r="B43" s="78" t="s">
        <v>196</v>
      </c>
      <c r="C43" s="79"/>
      <c r="D43" s="94"/>
    </row>
    <row r="44" spans="1:4" x14ac:dyDescent="0.35">
      <c r="A44" s="375"/>
      <c r="B44" s="63" t="s">
        <v>197</v>
      </c>
      <c r="C44" s="66"/>
      <c r="D44" s="95"/>
    </row>
    <row r="45" spans="1:4" x14ac:dyDescent="0.35">
      <c r="A45" s="375"/>
      <c r="B45" s="63" t="s">
        <v>199</v>
      </c>
      <c r="C45" s="66"/>
      <c r="D45" s="95"/>
    </row>
    <row r="46" spans="1:4" ht="15" thickBot="1" x14ac:dyDescent="0.4">
      <c r="A46" s="376"/>
      <c r="B46" s="68" t="s">
        <v>200</v>
      </c>
      <c r="C46" s="83"/>
      <c r="D46" s="96"/>
    </row>
    <row r="47" spans="1:4" ht="15" thickBot="1" x14ac:dyDescent="0.4">
      <c r="A47" s="89"/>
      <c r="B47" s="72"/>
      <c r="C47" s="65"/>
      <c r="D47" s="65"/>
    </row>
    <row r="48" spans="1:4" ht="15" thickBot="1" x14ac:dyDescent="0.4">
      <c r="A48" s="119" t="s">
        <v>62</v>
      </c>
      <c r="B48" s="60" t="s">
        <v>63</v>
      </c>
      <c r="C48" s="87" t="s">
        <v>64</v>
      </c>
      <c r="D48" s="88" t="s">
        <v>65</v>
      </c>
    </row>
    <row r="49" spans="1:4" x14ac:dyDescent="0.35">
      <c r="A49" s="375">
        <v>8</v>
      </c>
      <c r="B49" s="60"/>
      <c r="C49" s="95"/>
      <c r="D49" s="66"/>
    </row>
    <row r="50" spans="1:4" x14ac:dyDescent="0.35">
      <c r="A50" s="375"/>
      <c r="B50" s="78"/>
      <c r="C50" s="95"/>
      <c r="D50" s="66"/>
    </row>
    <row r="51" spans="1:4" x14ac:dyDescent="0.35">
      <c r="A51" s="375"/>
      <c r="B51" s="78"/>
      <c r="C51" s="95"/>
      <c r="D51" s="66"/>
    </row>
    <row r="52" spans="1:4" x14ac:dyDescent="0.35">
      <c r="A52" s="375"/>
      <c r="B52" s="78"/>
      <c r="C52" s="95"/>
      <c r="D52" s="95"/>
    </row>
    <row r="53" spans="1:4" x14ac:dyDescent="0.35">
      <c r="A53" s="375"/>
      <c r="B53" s="78"/>
      <c r="C53" s="94"/>
      <c r="D53" s="94"/>
    </row>
    <row r="54" spans="1:4" x14ac:dyDescent="0.35">
      <c r="A54" s="375"/>
      <c r="B54" s="78"/>
      <c r="C54" s="95"/>
      <c r="D54" s="95"/>
    </row>
    <row r="55" spans="1:4" x14ac:dyDescent="0.35">
      <c r="A55" s="375"/>
      <c r="B55" s="78"/>
      <c r="C55" s="95"/>
      <c r="D55" s="95"/>
    </row>
    <row r="56" spans="1:4" ht="15" thickBot="1" x14ac:dyDescent="0.4">
      <c r="A56" s="376"/>
      <c r="B56" s="81"/>
      <c r="C56" s="96"/>
      <c r="D56" s="96"/>
    </row>
    <row r="57" spans="1:4" ht="15" thickBot="1" x14ac:dyDescent="0.4">
      <c r="A57" s="89"/>
      <c r="B57" s="72"/>
      <c r="C57" s="65"/>
      <c r="D57" s="65"/>
    </row>
    <row r="58" spans="1:4" ht="15" thickBot="1" x14ac:dyDescent="0.4">
      <c r="A58" s="119" t="s">
        <v>62</v>
      </c>
      <c r="B58" s="60" t="s">
        <v>63</v>
      </c>
      <c r="C58" s="87" t="s">
        <v>64</v>
      </c>
      <c r="D58" s="88" t="s">
        <v>65</v>
      </c>
    </row>
    <row r="59" spans="1:4" x14ac:dyDescent="0.35">
      <c r="A59" s="375">
        <v>9</v>
      </c>
      <c r="B59" s="60"/>
      <c r="C59" s="95"/>
      <c r="D59" s="66"/>
    </row>
    <row r="60" spans="1:4" x14ac:dyDescent="0.35">
      <c r="A60" s="375"/>
      <c r="B60" s="78"/>
      <c r="C60" s="94"/>
      <c r="D60" s="79"/>
    </row>
    <row r="61" spans="1:4" x14ac:dyDescent="0.35">
      <c r="A61" s="375"/>
      <c r="B61" s="78"/>
      <c r="C61" s="95"/>
      <c r="D61" s="66"/>
    </row>
    <row r="62" spans="1:4" x14ac:dyDescent="0.35">
      <c r="A62" s="375"/>
      <c r="B62" s="78"/>
      <c r="C62" s="95"/>
      <c r="D62" s="95"/>
    </row>
    <row r="63" spans="1:4" x14ac:dyDescent="0.35">
      <c r="A63" s="375"/>
      <c r="B63" s="78"/>
      <c r="C63" s="95"/>
      <c r="D63" s="127"/>
    </row>
    <row r="64" spans="1:4" x14ac:dyDescent="0.35">
      <c r="A64" s="375"/>
      <c r="B64" s="78"/>
      <c r="C64" s="95"/>
      <c r="D64" s="127"/>
    </row>
    <row r="65" spans="1:4" x14ac:dyDescent="0.35">
      <c r="A65" s="375"/>
      <c r="B65" s="78"/>
      <c r="C65" s="95"/>
      <c r="D65" s="127"/>
    </row>
    <row r="66" spans="1:4" x14ac:dyDescent="0.35">
      <c r="A66" s="375"/>
      <c r="B66" s="78"/>
      <c r="C66" s="95"/>
      <c r="D66" s="127"/>
    </row>
    <row r="67" spans="1:4" ht="15" thickBot="1" x14ac:dyDescent="0.4">
      <c r="A67" s="376"/>
      <c r="B67" s="81"/>
      <c r="C67" s="128"/>
      <c r="D67" s="129"/>
    </row>
    <row r="68" spans="1:4" ht="15" thickBot="1" x14ac:dyDescent="0.4">
      <c r="A68" s="89"/>
      <c r="B68" s="72"/>
      <c r="C68" s="84"/>
      <c r="D68" s="84"/>
    </row>
    <row r="69" spans="1:4" ht="15" thickBot="1" x14ac:dyDescent="0.4">
      <c r="A69" s="59" t="s">
        <v>62</v>
      </c>
      <c r="B69" s="60" t="s">
        <v>63</v>
      </c>
      <c r="C69" s="119" t="s">
        <v>64</v>
      </c>
      <c r="D69" s="130" t="s">
        <v>65</v>
      </c>
    </row>
    <row r="70" spans="1:4" x14ac:dyDescent="0.35">
      <c r="A70" s="374">
        <v>10</v>
      </c>
      <c r="B70" s="60"/>
      <c r="C70" s="130"/>
      <c r="D70" s="130"/>
    </row>
    <row r="71" spans="1:4" x14ac:dyDescent="0.35">
      <c r="A71" s="375"/>
      <c r="B71" s="78"/>
      <c r="C71" s="127"/>
      <c r="D71" s="127"/>
    </row>
    <row r="72" spans="1:4" x14ac:dyDescent="0.35">
      <c r="A72" s="375"/>
      <c r="B72" s="78"/>
      <c r="C72" s="127"/>
      <c r="D72" s="127"/>
    </row>
    <row r="73" spans="1:4" x14ac:dyDescent="0.35">
      <c r="A73" s="375"/>
      <c r="B73" s="78"/>
      <c r="C73" s="127"/>
      <c r="D73" s="127"/>
    </row>
    <row r="74" spans="1:4" x14ac:dyDescent="0.35">
      <c r="A74" s="375"/>
      <c r="B74" s="78"/>
      <c r="C74" s="127"/>
      <c r="D74" s="127"/>
    </row>
    <row r="75" spans="1:4" x14ac:dyDescent="0.35">
      <c r="A75" s="375"/>
      <c r="B75" s="78"/>
      <c r="C75" s="131"/>
      <c r="D75" s="131"/>
    </row>
    <row r="76" spans="1:4" x14ac:dyDescent="0.35">
      <c r="A76" s="375"/>
      <c r="B76" s="78"/>
      <c r="C76" s="127"/>
      <c r="D76" s="127"/>
    </row>
    <row r="77" spans="1:4" x14ac:dyDescent="0.35">
      <c r="A77" s="375"/>
      <c r="B77" s="78"/>
      <c r="C77" s="127"/>
      <c r="D77" s="127"/>
    </row>
    <row r="78" spans="1:4" x14ac:dyDescent="0.35">
      <c r="A78" s="375"/>
      <c r="B78" s="78"/>
      <c r="C78" s="131"/>
      <c r="D78" s="131"/>
    </row>
    <row r="79" spans="1:4" ht="15" thickBot="1" x14ac:dyDescent="0.4">
      <c r="A79" s="376"/>
      <c r="B79" s="81"/>
      <c r="C79" s="129"/>
      <c r="D79" s="129"/>
    </row>
  </sheetData>
  <mergeCells count="11">
    <mergeCell ref="A59:A67"/>
    <mergeCell ref="A70:A79"/>
    <mergeCell ref="A2:A4"/>
    <mergeCell ref="B2:B4"/>
    <mergeCell ref="A7:A10"/>
    <mergeCell ref="A19:A22"/>
    <mergeCell ref="A13:A16"/>
    <mergeCell ref="A25:A29"/>
    <mergeCell ref="A32:A37"/>
    <mergeCell ref="A40:A46"/>
    <mergeCell ref="A49:A56"/>
  </mergeCells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1DE9-75C5-4945-BB05-369FAFC6BAA1}">
  <dimension ref="A1:K92"/>
  <sheetViews>
    <sheetView showGridLines="0" zoomScale="77" zoomScaleNormal="77" workbookViewId="0">
      <selection activeCell="B41" sqref="B41"/>
    </sheetView>
  </sheetViews>
  <sheetFormatPr defaultRowHeight="14.5" x14ac:dyDescent="0.35"/>
  <cols>
    <col min="10" max="10" width="17.54296875" customWidth="1"/>
    <col min="11" max="11" width="12.81640625" customWidth="1"/>
  </cols>
  <sheetData>
    <row r="1" spans="10:10" x14ac:dyDescent="0.35">
      <c r="J1" s="123" t="s">
        <v>201</v>
      </c>
    </row>
    <row r="2" spans="10:10" x14ac:dyDescent="0.35">
      <c r="J2" s="123" t="s">
        <v>118</v>
      </c>
    </row>
    <row r="3" spans="10:10" x14ac:dyDescent="0.35">
      <c r="J3" s="134" t="s">
        <v>202</v>
      </c>
    </row>
    <row r="17" spans="1:11" x14ac:dyDescent="0.35">
      <c r="J17" s="123" t="s">
        <v>203</v>
      </c>
    </row>
    <row r="18" spans="1:11" x14ac:dyDescent="0.35">
      <c r="J18" t="s">
        <v>67</v>
      </c>
      <c r="K18" t="s">
        <v>121</v>
      </c>
    </row>
    <row r="19" spans="1:11" x14ac:dyDescent="0.35">
      <c r="J19" t="s">
        <v>204</v>
      </c>
      <c r="K19">
        <v>50</v>
      </c>
    </row>
    <row r="29" spans="1:11" x14ac:dyDescent="0.35">
      <c r="J29" s="123" t="s">
        <v>205</v>
      </c>
    </row>
    <row r="30" spans="1:11" x14ac:dyDescent="0.35">
      <c r="J30" t="s">
        <v>67</v>
      </c>
      <c r="K30" t="s">
        <v>121</v>
      </c>
    </row>
    <row r="31" spans="1:11" x14ac:dyDescent="0.35">
      <c r="A31" s="123"/>
      <c r="J31" t="s">
        <v>206</v>
      </c>
      <c r="K31">
        <v>40</v>
      </c>
    </row>
    <row r="40" spans="10:11" x14ac:dyDescent="0.35">
      <c r="J40" s="123" t="s">
        <v>207</v>
      </c>
    </row>
    <row r="41" spans="10:11" x14ac:dyDescent="0.35">
      <c r="J41" t="s">
        <v>67</v>
      </c>
      <c r="K41" t="s">
        <v>121</v>
      </c>
    </row>
    <row r="42" spans="10:11" x14ac:dyDescent="0.35">
      <c r="J42" t="s">
        <v>208</v>
      </c>
      <c r="K42">
        <v>40</v>
      </c>
    </row>
    <row r="52" spans="10:11" x14ac:dyDescent="0.35">
      <c r="J52" s="123" t="s">
        <v>129</v>
      </c>
    </row>
    <row r="53" spans="10:11" x14ac:dyDescent="0.35">
      <c r="J53" t="s">
        <v>67</v>
      </c>
      <c r="K53" t="s">
        <v>121</v>
      </c>
    </row>
    <row r="54" spans="10:11" x14ac:dyDescent="0.35">
      <c r="J54" t="s">
        <v>209</v>
      </c>
      <c r="K54">
        <v>30</v>
      </c>
    </row>
    <row r="63" spans="10:11" x14ac:dyDescent="0.35">
      <c r="J63" s="123" t="s">
        <v>210</v>
      </c>
    </row>
    <row r="64" spans="10:11" x14ac:dyDescent="0.35">
      <c r="J64" t="s">
        <v>67</v>
      </c>
      <c r="K64" t="s">
        <v>121</v>
      </c>
    </row>
    <row r="65" spans="10:11" x14ac:dyDescent="0.35">
      <c r="J65" t="s">
        <v>211</v>
      </c>
      <c r="K65">
        <v>10</v>
      </c>
    </row>
    <row r="74" spans="10:11" x14ac:dyDescent="0.35">
      <c r="J74" s="123" t="s">
        <v>212</v>
      </c>
    </row>
    <row r="75" spans="10:11" x14ac:dyDescent="0.35">
      <c r="J75" s="135" t="s">
        <v>67</v>
      </c>
      <c r="K75" s="135" t="s">
        <v>121</v>
      </c>
    </row>
    <row r="76" spans="10:11" x14ac:dyDescent="0.35">
      <c r="J76" s="135" t="s">
        <v>204</v>
      </c>
      <c r="K76" s="135">
        <v>50</v>
      </c>
    </row>
    <row r="77" spans="10:11" x14ac:dyDescent="0.35">
      <c r="J77" s="135" t="s">
        <v>206</v>
      </c>
      <c r="K77" s="135">
        <v>40</v>
      </c>
    </row>
    <row r="78" spans="10:11" x14ac:dyDescent="0.35">
      <c r="J78" s="135" t="s">
        <v>208</v>
      </c>
      <c r="K78" s="135">
        <v>40</v>
      </c>
    </row>
    <row r="79" spans="10:11" x14ac:dyDescent="0.35">
      <c r="J79" s="135" t="s">
        <v>209</v>
      </c>
      <c r="K79" s="135">
        <v>30</v>
      </c>
    </row>
    <row r="80" spans="10:11" x14ac:dyDescent="0.35">
      <c r="J80" s="135" t="s">
        <v>211</v>
      </c>
      <c r="K80" s="135">
        <v>10</v>
      </c>
    </row>
    <row r="81" spans="10:11" x14ac:dyDescent="0.35">
      <c r="J81" s="136" t="s">
        <v>126</v>
      </c>
      <c r="K81" s="137">
        <f>SUM(K76:K80)</f>
        <v>170</v>
      </c>
    </row>
    <row r="92" spans="10:11" ht="15" thickBot="1" x14ac:dyDescent="0.4">
      <c r="J92" s="114"/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E440-37D3-43EA-9B78-6D879F4FBAA1}">
  <sheetPr>
    <tabColor rgb="FF92D050"/>
  </sheetPr>
  <dimension ref="A1:AD39"/>
  <sheetViews>
    <sheetView showGridLines="0" topLeftCell="A3" zoomScale="87" zoomScaleNormal="87" workbookViewId="0">
      <selection activeCell="P10" sqref="P10"/>
    </sheetView>
  </sheetViews>
  <sheetFormatPr defaultColWidth="10.26953125" defaultRowHeight="14" customHeight="1" x14ac:dyDescent="0.3"/>
  <cols>
    <col min="1" max="1" width="26.54296875" style="139" customWidth="1"/>
    <col min="2" max="2" width="8.26953125" style="156" customWidth="1"/>
    <col min="3" max="11" width="6.453125" style="156" customWidth="1"/>
    <col min="12" max="12" width="4.453125" style="139" customWidth="1"/>
    <col min="13" max="14" width="8.54296875" style="139" customWidth="1"/>
    <col min="15" max="15" width="9.453125" style="139" customWidth="1"/>
    <col min="16" max="16" width="8.54296875" style="139" customWidth="1"/>
    <col min="17" max="17" width="17.54296875" style="139" customWidth="1"/>
    <col min="18" max="18" width="29.1796875" style="139" customWidth="1"/>
    <col min="19" max="19" width="10.26953125" style="139" customWidth="1"/>
    <col min="20" max="16384" width="10.26953125" style="139"/>
  </cols>
  <sheetData>
    <row r="1" spans="1:19" ht="35.5" customHeight="1" x14ac:dyDescent="0.3">
      <c r="A1" s="404" t="s">
        <v>213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</row>
    <row r="2" spans="1:19" ht="14.5" customHeight="1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9" ht="17.5" x14ac:dyDescent="0.3">
      <c r="D3" s="140" t="s">
        <v>214</v>
      </c>
    </row>
    <row r="4" spans="1:19" x14ac:dyDescent="0.3">
      <c r="A4" s="405" t="s">
        <v>215</v>
      </c>
      <c r="B4" s="405"/>
      <c r="C4" s="406" t="s">
        <v>216</v>
      </c>
      <c r="D4" s="406"/>
      <c r="E4" s="406"/>
      <c r="F4" s="406"/>
      <c r="G4" s="406"/>
      <c r="H4" s="406"/>
      <c r="I4" s="406"/>
      <c r="J4" s="406"/>
      <c r="K4" s="406"/>
      <c r="M4" s="142" t="s">
        <v>217</v>
      </c>
      <c r="N4" s="143"/>
      <c r="O4" s="143"/>
      <c r="P4" s="143"/>
    </row>
    <row r="5" spans="1:19" x14ac:dyDescent="0.3">
      <c r="A5" s="405"/>
      <c r="B5" s="405"/>
      <c r="C5" s="144" t="s">
        <v>218</v>
      </c>
      <c r="D5" s="144" t="s">
        <v>219</v>
      </c>
      <c r="E5" s="144" t="s">
        <v>220</v>
      </c>
      <c r="F5" s="144" t="s">
        <v>221</v>
      </c>
      <c r="G5" s="144" t="s">
        <v>222</v>
      </c>
      <c r="H5" s="144" t="s">
        <v>223</v>
      </c>
      <c r="I5" s="144" t="s">
        <v>224</v>
      </c>
      <c r="J5" s="144" t="s">
        <v>225</v>
      </c>
      <c r="K5" s="144" t="s">
        <v>226</v>
      </c>
      <c r="M5" s="143"/>
      <c r="N5" s="143"/>
      <c r="O5" s="143"/>
      <c r="P5" s="143"/>
    </row>
    <row r="6" spans="1:19" ht="14.5" thickBot="1" x14ac:dyDescent="0.35">
      <c r="A6" s="145" t="s">
        <v>227</v>
      </c>
      <c r="B6" s="144" t="s">
        <v>218</v>
      </c>
      <c r="C6" s="146">
        <v>0</v>
      </c>
      <c r="D6" s="147">
        <v>8.1</v>
      </c>
      <c r="E6" s="147">
        <v>6</v>
      </c>
      <c r="F6" s="147">
        <v>6</v>
      </c>
      <c r="G6" s="147">
        <v>5.2</v>
      </c>
      <c r="H6" s="147">
        <v>4.3</v>
      </c>
      <c r="I6" s="148">
        <v>3.8</v>
      </c>
      <c r="J6" s="147">
        <v>4</v>
      </c>
      <c r="K6" s="147">
        <v>4</v>
      </c>
      <c r="M6" s="141" t="s">
        <v>215</v>
      </c>
      <c r="N6" s="141" t="s">
        <v>228</v>
      </c>
      <c r="O6" s="141" t="s">
        <v>229</v>
      </c>
      <c r="P6" s="149"/>
    </row>
    <row r="7" spans="1:19" ht="14.5" thickBot="1" x14ac:dyDescent="0.35">
      <c r="A7" s="145" t="s">
        <v>230</v>
      </c>
      <c r="B7" s="144" t="s">
        <v>219</v>
      </c>
      <c r="C7" s="147">
        <v>8.1</v>
      </c>
      <c r="D7" s="146">
        <v>0</v>
      </c>
      <c r="E7" s="147">
        <v>13.5</v>
      </c>
      <c r="F7" s="147">
        <v>14.4</v>
      </c>
      <c r="G7" s="147">
        <v>14.3</v>
      </c>
      <c r="H7" s="147">
        <v>9.1</v>
      </c>
      <c r="I7" s="147">
        <v>6.7</v>
      </c>
      <c r="J7" s="148">
        <v>9.5</v>
      </c>
      <c r="K7" s="147">
        <v>9.3000000000000007</v>
      </c>
      <c r="M7" s="150" t="s">
        <v>218</v>
      </c>
      <c r="N7" s="151" t="s">
        <v>224</v>
      </c>
      <c r="O7" s="151">
        <v>3.8</v>
      </c>
    </row>
    <row r="8" spans="1:19" ht="14.5" thickBot="1" x14ac:dyDescent="0.35">
      <c r="A8" s="145" t="s">
        <v>231</v>
      </c>
      <c r="B8" s="144" t="s">
        <v>220</v>
      </c>
      <c r="C8" s="147">
        <v>6</v>
      </c>
      <c r="D8" s="147">
        <v>13.5</v>
      </c>
      <c r="E8" s="146">
        <v>0</v>
      </c>
      <c r="F8" s="148">
        <v>3.7</v>
      </c>
      <c r="G8" s="147">
        <v>3.6</v>
      </c>
      <c r="H8" s="147">
        <v>9.1</v>
      </c>
      <c r="I8" s="147">
        <v>9.6999999999999993</v>
      </c>
      <c r="J8" s="147">
        <v>6.2</v>
      </c>
      <c r="K8" s="148">
        <v>5.6</v>
      </c>
      <c r="M8" s="150" t="s">
        <v>224</v>
      </c>
      <c r="N8" s="151" t="s">
        <v>223</v>
      </c>
      <c r="O8" s="151">
        <v>2.2999999999999998</v>
      </c>
    </row>
    <row r="9" spans="1:19" ht="14.5" thickBot="1" x14ac:dyDescent="0.35">
      <c r="A9" s="145" t="s">
        <v>232</v>
      </c>
      <c r="B9" s="144" t="s">
        <v>221</v>
      </c>
      <c r="C9" s="147">
        <v>6</v>
      </c>
      <c r="D9" s="147">
        <v>14.4</v>
      </c>
      <c r="E9" s="148">
        <v>3.7</v>
      </c>
      <c r="F9" s="146">
        <v>0</v>
      </c>
      <c r="G9" s="148">
        <v>1.7</v>
      </c>
      <c r="H9" s="147">
        <v>6.8</v>
      </c>
      <c r="I9" s="147">
        <v>7.1</v>
      </c>
      <c r="J9" s="147">
        <v>4.4000000000000004</v>
      </c>
      <c r="K9" s="147">
        <v>4.2</v>
      </c>
      <c r="M9" s="150" t="s">
        <v>223</v>
      </c>
      <c r="N9" s="151" t="s">
        <v>222</v>
      </c>
      <c r="O9" s="151">
        <v>6.5</v>
      </c>
    </row>
    <row r="10" spans="1:19" ht="14.5" thickBot="1" x14ac:dyDescent="0.35">
      <c r="A10" s="145" t="s">
        <v>233</v>
      </c>
      <c r="B10" s="144" t="s">
        <v>222</v>
      </c>
      <c r="C10" s="147">
        <v>5.2</v>
      </c>
      <c r="D10" s="147">
        <v>14.3</v>
      </c>
      <c r="E10" s="147">
        <v>3.6</v>
      </c>
      <c r="F10" s="148">
        <v>1.7</v>
      </c>
      <c r="G10" s="146">
        <v>0</v>
      </c>
      <c r="H10" s="147">
        <v>6.5</v>
      </c>
      <c r="I10" s="147">
        <v>7.1</v>
      </c>
      <c r="J10" s="147">
        <v>4.2</v>
      </c>
      <c r="K10" s="147">
        <v>4.5</v>
      </c>
      <c r="M10" s="150" t="s">
        <v>222</v>
      </c>
      <c r="N10" s="151" t="s">
        <v>221</v>
      </c>
      <c r="O10" s="151">
        <v>1.7</v>
      </c>
    </row>
    <row r="11" spans="1:19" ht="14.5" thickBot="1" x14ac:dyDescent="0.35">
      <c r="A11" s="145" t="s">
        <v>234</v>
      </c>
      <c r="B11" s="144" t="s">
        <v>223</v>
      </c>
      <c r="C11" s="147">
        <v>4.3</v>
      </c>
      <c r="D11" s="147">
        <v>9.1</v>
      </c>
      <c r="E11" s="147">
        <v>9.1</v>
      </c>
      <c r="F11" s="147">
        <v>6.8</v>
      </c>
      <c r="G11" s="148">
        <v>6.5</v>
      </c>
      <c r="H11" s="146">
        <v>0</v>
      </c>
      <c r="I11" s="148">
        <v>2.2999999999999998</v>
      </c>
      <c r="J11" s="147">
        <v>7.7</v>
      </c>
      <c r="K11" s="147">
        <v>8.1999999999999993</v>
      </c>
      <c r="M11" s="150" t="s">
        <v>221</v>
      </c>
      <c r="N11" s="151" t="s">
        <v>220</v>
      </c>
      <c r="O11" s="151">
        <v>3.7</v>
      </c>
    </row>
    <row r="12" spans="1:19" ht="14.5" thickBot="1" x14ac:dyDescent="0.35">
      <c r="A12" s="145" t="s">
        <v>235</v>
      </c>
      <c r="B12" s="144" t="s">
        <v>224</v>
      </c>
      <c r="C12" s="147">
        <v>3.8</v>
      </c>
      <c r="D12" s="147">
        <v>6.7</v>
      </c>
      <c r="E12" s="147">
        <v>9.6999999999999993</v>
      </c>
      <c r="F12" s="147">
        <v>7.1</v>
      </c>
      <c r="G12" s="147">
        <v>7.1</v>
      </c>
      <c r="H12" s="147">
        <v>2.2999999999999998</v>
      </c>
      <c r="I12" s="146">
        <v>0</v>
      </c>
      <c r="J12" s="147">
        <v>7.2</v>
      </c>
      <c r="K12" s="147">
        <v>6.6</v>
      </c>
      <c r="M12" s="150" t="s">
        <v>220</v>
      </c>
      <c r="N12" s="151" t="s">
        <v>226</v>
      </c>
      <c r="O12" s="151">
        <v>5.6</v>
      </c>
    </row>
    <row r="13" spans="1:19" ht="14.5" thickBot="1" x14ac:dyDescent="0.35">
      <c r="A13" s="145" t="s">
        <v>236</v>
      </c>
      <c r="B13" s="144" t="s">
        <v>225</v>
      </c>
      <c r="C13" s="147">
        <v>4</v>
      </c>
      <c r="D13" s="148">
        <v>9.5</v>
      </c>
      <c r="E13" s="147">
        <v>6.2</v>
      </c>
      <c r="F13" s="147">
        <v>4.4000000000000004</v>
      </c>
      <c r="G13" s="147">
        <v>4.2</v>
      </c>
      <c r="H13" s="147">
        <v>7.7</v>
      </c>
      <c r="I13" s="147">
        <v>7.2</v>
      </c>
      <c r="J13" s="146">
        <v>0</v>
      </c>
      <c r="K13" s="148">
        <v>1.3</v>
      </c>
      <c r="M13" s="150" t="s">
        <v>226</v>
      </c>
      <c r="N13" s="151" t="s">
        <v>225</v>
      </c>
      <c r="O13" s="151">
        <v>1.3</v>
      </c>
    </row>
    <row r="14" spans="1:19" ht="14.5" thickBot="1" x14ac:dyDescent="0.35">
      <c r="A14" s="145" t="s">
        <v>237</v>
      </c>
      <c r="B14" s="144" t="s">
        <v>226</v>
      </c>
      <c r="C14" s="147">
        <v>4</v>
      </c>
      <c r="D14" s="147">
        <v>9.3000000000000007</v>
      </c>
      <c r="E14" s="148">
        <v>5.6</v>
      </c>
      <c r="F14" s="147">
        <v>4.2</v>
      </c>
      <c r="G14" s="147">
        <v>4.5</v>
      </c>
      <c r="H14" s="147">
        <v>8.1999999999999993</v>
      </c>
      <c r="I14" s="147">
        <v>6.6</v>
      </c>
      <c r="J14" s="148">
        <v>1.3</v>
      </c>
      <c r="K14" s="146">
        <v>0</v>
      </c>
      <c r="M14" s="150" t="s">
        <v>225</v>
      </c>
      <c r="N14" s="151" t="s">
        <v>219</v>
      </c>
      <c r="O14" s="151">
        <v>9.5</v>
      </c>
    </row>
    <row r="15" spans="1:19" x14ac:dyDescent="0.3">
      <c r="M15" s="150" t="s">
        <v>219</v>
      </c>
      <c r="N15" s="151" t="s">
        <v>218</v>
      </c>
      <c r="O15" s="151">
        <v>8.1</v>
      </c>
    </row>
    <row r="16" spans="1:19" s="143" customFormat="1" x14ac:dyDescent="0.3">
      <c r="N16" s="152" t="s">
        <v>238</v>
      </c>
      <c r="O16" s="153">
        <f>SUM(O7:O15)</f>
        <v>42.500000000000007</v>
      </c>
      <c r="P16" s="154" t="s">
        <v>239</v>
      </c>
      <c r="Q16" s="139"/>
      <c r="R16" s="155"/>
      <c r="S16" s="155"/>
    </row>
    <row r="17" spans="12:30" s="143" customFormat="1" x14ac:dyDescent="0.3">
      <c r="Q17" s="139"/>
      <c r="R17" s="155"/>
      <c r="S17" s="155"/>
    </row>
    <row r="18" spans="12:30" s="143" customFormat="1" x14ac:dyDescent="0.3">
      <c r="Q18" s="139"/>
      <c r="R18" s="155"/>
      <c r="S18" s="155"/>
    </row>
    <row r="19" spans="12:30" s="143" customFormat="1" x14ac:dyDescent="0.3">
      <c r="Q19" s="139"/>
      <c r="R19" s="139"/>
      <c r="S19" s="155"/>
    </row>
    <row r="20" spans="12:30" s="143" customFormat="1" x14ac:dyDescent="0.3">
      <c r="L20" s="139"/>
      <c r="Q20" s="139"/>
      <c r="R20" s="139"/>
      <c r="S20" s="155"/>
    </row>
    <row r="21" spans="12:30" s="143" customFormat="1" x14ac:dyDescent="0.3">
      <c r="L21" s="139"/>
      <c r="Q21" s="139"/>
      <c r="R21" s="139"/>
      <c r="S21" s="155"/>
    </row>
    <row r="22" spans="12:30" s="143" customFormat="1" x14ac:dyDescent="0.3">
      <c r="L22" s="139"/>
      <c r="Q22" s="139"/>
      <c r="R22" s="139"/>
      <c r="S22" s="155"/>
    </row>
    <row r="23" spans="12:30" s="143" customFormat="1" x14ac:dyDescent="0.3">
      <c r="L23" s="139"/>
      <c r="Q23" s="139"/>
      <c r="R23" s="139"/>
      <c r="S23" s="155"/>
    </row>
    <row r="24" spans="12:30" s="143" customFormat="1" x14ac:dyDescent="0.3">
      <c r="L24" s="139"/>
      <c r="Q24" s="139"/>
      <c r="R24" s="139"/>
      <c r="S24" s="155"/>
    </row>
    <row r="25" spans="12:30" s="143" customFormat="1" x14ac:dyDescent="0.3">
      <c r="L25" s="139"/>
      <c r="Q25" s="139"/>
      <c r="R25" s="139"/>
      <c r="S25" s="155"/>
      <c r="T25" s="139"/>
      <c r="U25" s="139"/>
      <c r="V25" s="139"/>
      <c r="W25" s="139"/>
    </row>
    <row r="26" spans="12:30" s="143" customFormat="1" x14ac:dyDescent="0.3">
      <c r="L26" s="139"/>
      <c r="Q26" s="139"/>
      <c r="R26" s="139"/>
      <c r="S26" s="155"/>
      <c r="T26" s="139"/>
      <c r="U26" s="139"/>
      <c r="V26" s="139"/>
      <c r="W26" s="139"/>
    </row>
    <row r="27" spans="12:30" s="143" customFormat="1" x14ac:dyDescent="0.3">
      <c r="L27" s="139"/>
      <c r="Q27" s="139"/>
      <c r="R27" s="139"/>
      <c r="S27" s="155"/>
      <c r="T27" s="139"/>
      <c r="U27" s="139"/>
      <c r="V27" s="139"/>
      <c r="W27" s="139"/>
    </row>
    <row r="28" spans="12:30" x14ac:dyDescent="0.3">
      <c r="S28" s="155"/>
      <c r="X28" s="143"/>
      <c r="Y28" s="143"/>
      <c r="Z28" s="143"/>
      <c r="AA28" s="143"/>
      <c r="AB28" s="143"/>
      <c r="AC28" s="143"/>
      <c r="AD28" s="143"/>
    </row>
    <row r="29" spans="12:30" x14ac:dyDescent="0.3">
      <c r="S29" s="155"/>
      <c r="X29" s="143"/>
      <c r="Y29" s="143"/>
      <c r="Z29" s="143"/>
      <c r="AA29" s="143"/>
      <c r="AB29" s="143"/>
      <c r="AC29" s="143"/>
      <c r="AD29" s="143"/>
    </row>
    <row r="30" spans="12:30" x14ac:dyDescent="0.3">
      <c r="M30" s="143"/>
      <c r="N30" s="143"/>
      <c r="O30" s="143"/>
      <c r="P30" s="143"/>
      <c r="Q30" s="143"/>
      <c r="R30" s="143"/>
      <c r="S30" s="155"/>
      <c r="X30" s="143"/>
      <c r="Y30" s="143"/>
      <c r="Z30" s="143"/>
      <c r="AA30" s="143"/>
      <c r="AB30" s="143"/>
      <c r="AC30" s="143"/>
      <c r="AD30" s="143"/>
    </row>
    <row r="31" spans="12:30" x14ac:dyDescent="0.3">
      <c r="S31" s="155"/>
      <c r="X31" s="143"/>
      <c r="Y31" s="143"/>
      <c r="Z31" s="143"/>
      <c r="AA31" s="143"/>
      <c r="AB31" s="143"/>
      <c r="AC31" s="143"/>
      <c r="AD31" s="143"/>
    </row>
    <row r="32" spans="12:30" x14ac:dyDescent="0.3">
      <c r="S32" s="155"/>
      <c r="X32" s="143"/>
      <c r="Y32" s="143"/>
      <c r="Z32" s="143"/>
      <c r="AA32" s="143"/>
      <c r="AB32" s="143"/>
      <c r="AC32" s="143"/>
      <c r="AD32" s="143"/>
    </row>
    <row r="33" spans="19:30" x14ac:dyDescent="0.3">
      <c r="S33" s="155"/>
      <c r="X33" s="143"/>
      <c r="Y33" s="143"/>
      <c r="Z33" s="143"/>
      <c r="AA33" s="143"/>
      <c r="AB33" s="143"/>
      <c r="AC33" s="143"/>
      <c r="AD33" s="143"/>
    </row>
    <row r="34" spans="19:30" x14ac:dyDescent="0.3">
      <c r="S34" s="155"/>
      <c r="X34" s="143"/>
      <c r="Y34" s="143"/>
      <c r="Z34" s="143"/>
      <c r="AA34" s="143"/>
      <c r="AB34" s="143"/>
      <c r="AC34" s="143"/>
      <c r="AD34" s="143"/>
    </row>
    <row r="35" spans="19:30" x14ac:dyDescent="0.3">
      <c r="S35" s="155"/>
      <c r="X35" s="143"/>
      <c r="Y35" s="143"/>
      <c r="Z35" s="143"/>
      <c r="AA35" s="143"/>
      <c r="AB35" s="143"/>
      <c r="AC35" s="143"/>
      <c r="AD35" s="143"/>
    </row>
    <row r="36" spans="19:30" x14ac:dyDescent="0.3">
      <c r="S36" s="155"/>
      <c r="X36" s="143"/>
      <c r="Y36" s="143"/>
      <c r="Z36" s="143"/>
      <c r="AA36" s="143"/>
      <c r="AB36" s="143"/>
      <c r="AC36" s="143"/>
      <c r="AD36" s="143"/>
    </row>
    <row r="37" spans="19:30" x14ac:dyDescent="0.3">
      <c r="S37" s="155"/>
      <c r="X37" s="143"/>
      <c r="Y37" s="143"/>
      <c r="Z37" s="143"/>
      <c r="AA37" s="143"/>
      <c r="AB37" s="143"/>
      <c r="AC37" s="143"/>
      <c r="AD37" s="143"/>
    </row>
    <row r="38" spans="19:30" x14ac:dyDescent="0.3">
      <c r="S38" s="155"/>
      <c r="X38" s="143"/>
      <c r="Y38" s="143"/>
      <c r="Z38" s="143"/>
      <c r="AA38" s="143"/>
      <c r="AB38" s="143"/>
      <c r="AC38" s="143"/>
      <c r="AD38" s="143"/>
    </row>
    <row r="39" spans="19:30" x14ac:dyDescent="0.3"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</row>
  </sheetData>
  <mergeCells count="3">
    <mergeCell ref="A1:K1"/>
    <mergeCell ref="A4:B5"/>
    <mergeCell ref="C4:K4"/>
  </mergeCells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7173-E0C4-4A80-8DC7-56798B4CBAA1}">
  <sheetPr>
    <tabColor rgb="FF92D050"/>
  </sheetPr>
  <dimension ref="A1:AD70"/>
  <sheetViews>
    <sheetView showGridLines="0" topLeftCell="F18" zoomScale="110" zoomScaleNormal="60" workbookViewId="0">
      <selection activeCell="Q51" sqref="Q51"/>
    </sheetView>
  </sheetViews>
  <sheetFormatPr defaultColWidth="10.26953125" defaultRowHeight="14" customHeight="1" x14ac:dyDescent="0.3"/>
  <cols>
    <col min="1" max="1" width="26.54296875" style="139" customWidth="1"/>
    <col min="2" max="2" width="8.26953125" style="156" customWidth="1"/>
    <col min="3" max="11" width="6.453125" style="156" customWidth="1"/>
    <col min="12" max="12" width="4.453125" style="139" customWidth="1"/>
    <col min="13" max="13" width="13.54296875" style="139" customWidth="1"/>
    <col min="14" max="14" width="8.54296875" style="139" customWidth="1"/>
    <col min="15" max="15" width="9.453125" style="139" customWidth="1"/>
    <col min="16" max="16" width="8.54296875" style="139" customWidth="1"/>
    <col min="17" max="17" width="37.7265625" style="139" customWidth="1"/>
    <col min="18" max="18" width="47.54296875" style="139" customWidth="1"/>
    <col min="19" max="19" width="10.26953125" style="139" customWidth="1"/>
    <col min="20" max="16384" width="10.26953125" style="139"/>
  </cols>
  <sheetData>
    <row r="1" spans="1:17" ht="35.5" customHeight="1" x14ac:dyDescent="0.3">
      <c r="A1" s="404" t="s">
        <v>240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</row>
    <row r="2" spans="1:17" ht="14.5" customHeight="1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7" ht="17.5" x14ac:dyDescent="0.3">
      <c r="D3" s="140" t="s">
        <v>214</v>
      </c>
    </row>
    <row r="4" spans="1:17" x14ac:dyDescent="0.3">
      <c r="A4" s="405" t="s">
        <v>215</v>
      </c>
      <c r="B4" s="405"/>
      <c r="C4" s="406" t="s">
        <v>216</v>
      </c>
      <c r="D4" s="406"/>
      <c r="E4" s="406"/>
      <c r="F4" s="406"/>
      <c r="G4" s="406"/>
      <c r="H4" s="406"/>
      <c r="I4" s="406"/>
      <c r="J4" s="406"/>
      <c r="K4" s="406"/>
    </row>
    <row r="5" spans="1:17" x14ac:dyDescent="0.3">
      <c r="A5" s="405"/>
      <c r="B5" s="405"/>
      <c r="C5" s="144" t="s">
        <v>218</v>
      </c>
      <c r="D5" s="144" t="s">
        <v>219</v>
      </c>
      <c r="E5" s="144" t="s">
        <v>220</v>
      </c>
      <c r="F5" s="144" t="s">
        <v>221</v>
      </c>
      <c r="G5" s="144" t="s">
        <v>222</v>
      </c>
      <c r="H5" s="144" t="s">
        <v>223</v>
      </c>
      <c r="I5" s="144" t="s">
        <v>224</v>
      </c>
      <c r="J5" s="144" t="s">
        <v>225</v>
      </c>
      <c r="K5" s="144" t="s">
        <v>226</v>
      </c>
    </row>
    <row r="6" spans="1:17" x14ac:dyDescent="0.3">
      <c r="A6" s="145" t="s">
        <v>227</v>
      </c>
      <c r="B6" s="144" t="s">
        <v>218</v>
      </c>
      <c r="C6" s="151">
        <v>0</v>
      </c>
      <c r="D6" s="151">
        <v>8.1</v>
      </c>
      <c r="E6" s="151">
        <v>6</v>
      </c>
      <c r="F6" s="151">
        <v>6</v>
      </c>
      <c r="G6" s="151">
        <v>5.2</v>
      </c>
      <c r="H6" s="151">
        <v>4.3</v>
      </c>
      <c r="I6" s="151">
        <v>3.8</v>
      </c>
      <c r="J6" s="151">
        <v>4</v>
      </c>
      <c r="K6" s="151">
        <v>4</v>
      </c>
    </row>
    <row r="7" spans="1:17" x14ac:dyDescent="0.3">
      <c r="A7" s="145" t="s">
        <v>230</v>
      </c>
      <c r="B7" s="144" t="s">
        <v>219</v>
      </c>
      <c r="C7" s="151">
        <v>8.1</v>
      </c>
      <c r="D7" s="151">
        <v>0</v>
      </c>
      <c r="E7" s="151">
        <v>13.5</v>
      </c>
      <c r="F7" s="151">
        <v>14.4</v>
      </c>
      <c r="G7" s="151">
        <v>14.3</v>
      </c>
      <c r="H7" s="151">
        <v>9.1</v>
      </c>
      <c r="I7" s="151">
        <v>6.7</v>
      </c>
      <c r="J7" s="151">
        <v>9.5</v>
      </c>
      <c r="K7" s="151">
        <v>9.3000000000000007</v>
      </c>
    </row>
    <row r="8" spans="1:17" x14ac:dyDescent="0.3">
      <c r="A8" s="145" t="s">
        <v>231</v>
      </c>
      <c r="B8" s="144" t="s">
        <v>220</v>
      </c>
      <c r="C8" s="151">
        <v>6</v>
      </c>
      <c r="D8" s="151">
        <v>13.5</v>
      </c>
      <c r="E8" s="151">
        <v>0</v>
      </c>
      <c r="F8" s="151">
        <v>3.7</v>
      </c>
      <c r="G8" s="151">
        <v>3.6</v>
      </c>
      <c r="H8" s="151">
        <v>9.1</v>
      </c>
      <c r="I8" s="151">
        <v>9.6999999999999993</v>
      </c>
      <c r="J8" s="151">
        <v>6.2</v>
      </c>
      <c r="K8" s="151">
        <v>5.6</v>
      </c>
    </row>
    <row r="9" spans="1:17" x14ac:dyDescent="0.3">
      <c r="A9" s="145" t="s">
        <v>232</v>
      </c>
      <c r="B9" s="144" t="s">
        <v>221</v>
      </c>
      <c r="C9" s="151">
        <v>6</v>
      </c>
      <c r="D9" s="151">
        <v>14.4</v>
      </c>
      <c r="E9" s="151">
        <v>3.7</v>
      </c>
      <c r="F9" s="151">
        <v>0</v>
      </c>
      <c r="G9" s="151">
        <v>1.7</v>
      </c>
      <c r="H9" s="151">
        <v>6.8</v>
      </c>
      <c r="I9" s="151">
        <v>7.1</v>
      </c>
      <c r="J9" s="151">
        <v>4.4000000000000004</v>
      </c>
      <c r="K9" s="151">
        <v>4.2</v>
      </c>
    </row>
    <row r="10" spans="1:17" x14ac:dyDescent="0.3">
      <c r="A10" s="145" t="s">
        <v>233</v>
      </c>
      <c r="B10" s="144" t="s">
        <v>222</v>
      </c>
      <c r="C10" s="151">
        <v>5.2</v>
      </c>
      <c r="D10" s="151">
        <v>14.3</v>
      </c>
      <c r="E10" s="151">
        <v>3.6</v>
      </c>
      <c r="F10" s="151">
        <v>1.7</v>
      </c>
      <c r="G10" s="151">
        <v>0</v>
      </c>
      <c r="H10" s="151">
        <v>6.5</v>
      </c>
      <c r="I10" s="151">
        <v>7.1</v>
      </c>
      <c r="J10" s="151">
        <v>4.2</v>
      </c>
      <c r="K10" s="151">
        <v>4.5</v>
      </c>
    </row>
    <row r="11" spans="1:17" x14ac:dyDescent="0.3">
      <c r="A11" s="145" t="s">
        <v>234</v>
      </c>
      <c r="B11" s="144" t="s">
        <v>223</v>
      </c>
      <c r="C11" s="151">
        <v>4.3</v>
      </c>
      <c r="D11" s="151">
        <v>9.1</v>
      </c>
      <c r="E11" s="151">
        <v>9.1</v>
      </c>
      <c r="F11" s="151">
        <v>6.8</v>
      </c>
      <c r="G11" s="151">
        <v>6.5</v>
      </c>
      <c r="H11" s="151">
        <v>0</v>
      </c>
      <c r="I11" s="151">
        <v>2.2999999999999998</v>
      </c>
      <c r="J11" s="151">
        <v>7.7</v>
      </c>
      <c r="K11" s="151">
        <v>8.1999999999999993</v>
      </c>
    </row>
    <row r="12" spans="1:17" x14ac:dyDescent="0.3">
      <c r="A12" s="145" t="s">
        <v>235</v>
      </c>
      <c r="B12" s="144" t="s">
        <v>224</v>
      </c>
      <c r="C12" s="151">
        <v>3.8</v>
      </c>
      <c r="D12" s="151">
        <v>6.7</v>
      </c>
      <c r="E12" s="151">
        <v>9.6999999999999993</v>
      </c>
      <c r="F12" s="151">
        <v>7.1</v>
      </c>
      <c r="G12" s="151">
        <v>7.1</v>
      </c>
      <c r="H12" s="151">
        <v>2.2999999999999998</v>
      </c>
      <c r="I12" s="151">
        <v>0</v>
      </c>
      <c r="J12" s="151">
        <v>7.2</v>
      </c>
      <c r="K12" s="151">
        <v>6.6</v>
      </c>
    </row>
    <row r="13" spans="1:17" x14ac:dyDescent="0.3">
      <c r="A13" s="145" t="s">
        <v>236</v>
      </c>
      <c r="B13" s="144" t="s">
        <v>225</v>
      </c>
      <c r="C13" s="151">
        <v>4</v>
      </c>
      <c r="D13" s="151">
        <v>9.5</v>
      </c>
      <c r="E13" s="151">
        <v>6.2</v>
      </c>
      <c r="F13" s="151">
        <v>4.4000000000000004</v>
      </c>
      <c r="G13" s="151">
        <v>4.2</v>
      </c>
      <c r="H13" s="151">
        <v>7.7</v>
      </c>
      <c r="I13" s="151">
        <v>7.2</v>
      </c>
      <c r="J13" s="151">
        <v>0</v>
      </c>
      <c r="K13" s="151">
        <v>1.3</v>
      </c>
    </row>
    <row r="14" spans="1:17" x14ac:dyDescent="0.3">
      <c r="A14" s="145" t="s">
        <v>237</v>
      </c>
      <c r="B14" s="144" t="s">
        <v>226</v>
      </c>
      <c r="C14" s="151">
        <v>4</v>
      </c>
      <c r="D14" s="151">
        <v>9.3000000000000007</v>
      </c>
      <c r="E14" s="151">
        <v>5.6</v>
      </c>
      <c r="F14" s="151">
        <v>4.2</v>
      </c>
      <c r="G14" s="151">
        <v>4.5</v>
      </c>
      <c r="H14" s="151">
        <v>8.1999999999999993</v>
      </c>
      <c r="I14" s="151">
        <v>6.6</v>
      </c>
      <c r="J14" s="151">
        <v>1.3</v>
      </c>
      <c r="K14" s="151">
        <v>0</v>
      </c>
    </row>
    <row r="16" spans="1:17" ht="17.5" x14ac:dyDescent="0.3">
      <c r="D16" s="140" t="s">
        <v>241</v>
      </c>
      <c r="Q16" s="140" t="s">
        <v>242</v>
      </c>
    </row>
    <row r="17" spans="1:24" x14ac:dyDescent="0.3">
      <c r="A17" s="405" t="s">
        <v>215</v>
      </c>
      <c r="B17" s="405"/>
      <c r="C17" s="406" t="s">
        <v>243</v>
      </c>
      <c r="D17" s="406"/>
      <c r="E17" s="406"/>
      <c r="F17" s="406"/>
      <c r="G17" s="406"/>
      <c r="H17" s="406"/>
      <c r="I17" s="406"/>
      <c r="J17" s="406"/>
      <c r="K17" s="406"/>
    </row>
    <row r="18" spans="1:24" x14ac:dyDescent="0.3">
      <c r="A18" s="405"/>
      <c r="B18" s="405"/>
      <c r="C18" s="141" t="s">
        <v>218</v>
      </c>
      <c r="D18" s="141" t="s">
        <v>219</v>
      </c>
      <c r="E18" s="141" t="s">
        <v>220</v>
      </c>
      <c r="F18" s="141" t="s">
        <v>221</v>
      </c>
      <c r="G18" s="141" t="s">
        <v>222</v>
      </c>
      <c r="H18" s="141" t="s">
        <v>223</v>
      </c>
      <c r="I18" s="141" t="s">
        <v>224</v>
      </c>
      <c r="J18" s="141" t="s">
        <v>225</v>
      </c>
      <c r="K18" s="141" t="s">
        <v>226</v>
      </c>
      <c r="M18" s="157" t="s">
        <v>244</v>
      </c>
      <c r="N18" s="157" t="s">
        <v>245</v>
      </c>
      <c r="O18" s="157" t="s">
        <v>215</v>
      </c>
      <c r="P18" s="157" t="s">
        <v>228</v>
      </c>
      <c r="Q18" s="157" t="s">
        <v>246</v>
      </c>
      <c r="R18" s="157" t="s">
        <v>247</v>
      </c>
    </row>
    <row r="19" spans="1:24" x14ac:dyDescent="0.3">
      <c r="A19" s="145" t="s">
        <v>227</v>
      </c>
      <c r="B19" s="141" t="s">
        <v>218</v>
      </c>
      <c r="C19" s="158" t="s">
        <v>248</v>
      </c>
      <c r="D19" s="158" t="s">
        <v>248</v>
      </c>
      <c r="E19" s="158" t="s">
        <v>248</v>
      </c>
      <c r="F19" s="158" t="s">
        <v>248</v>
      </c>
      <c r="G19" s="158" t="s">
        <v>248</v>
      </c>
      <c r="H19" s="158" t="s">
        <v>248</v>
      </c>
      <c r="I19" s="158" t="s">
        <v>248</v>
      </c>
      <c r="J19" s="158" t="s">
        <v>248</v>
      </c>
      <c r="K19" s="158" t="s">
        <v>248</v>
      </c>
      <c r="M19" s="150">
        <v>1</v>
      </c>
      <c r="N19" s="159">
        <v>9.5</v>
      </c>
      <c r="O19" s="150" t="s">
        <v>221</v>
      </c>
      <c r="P19" s="150" t="s">
        <v>222</v>
      </c>
      <c r="Q19" s="160" t="s">
        <v>249</v>
      </c>
      <c r="R19" s="161" t="s">
        <v>250</v>
      </c>
    </row>
    <row r="20" spans="1:24" x14ac:dyDescent="0.3">
      <c r="A20" s="145" t="s">
        <v>230</v>
      </c>
      <c r="B20" s="141" t="s">
        <v>219</v>
      </c>
      <c r="C20" s="158" t="s">
        <v>248</v>
      </c>
      <c r="D20" s="158" t="s">
        <v>248</v>
      </c>
      <c r="E20" s="162">
        <f>$D$6+E6-E7</f>
        <v>0.59999999999999964</v>
      </c>
      <c r="F20" s="162">
        <f t="shared" ref="F20:K20" si="0">$D$6+F6-F7</f>
        <v>-0.30000000000000071</v>
      </c>
      <c r="G20" s="162">
        <f t="shared" si="0"/>
        <v>-1</v>
      </c>
      <c r="H20" s="162">
        <f t="shared" si="0"/>
        <v>3.2999999999999989</v>
      </c>
      <c r="I20" s="162">
        <f t="shared" si="0"/>
        <v>5.1999999999999984</v>
      </c>
      <c r="J20" s="162">
        <f t="shared" si="0"/>
        <v>2.5999999999999996</v>
      </c>
      <c r="K20" s="162">
        <f t="shared" si="0"/>
        <v>2.7999999999999989</v>
      </c>
      <c r="L20" s="143"/>
      <c r="M20" s="150">
        <v>2</v>
      </c>
      <c r="N20" s="159">
        <v>8.3000000000000007</v>
      </c>
      <c r="O20" s="150" t="s">
        <v>220</v>
      </c>
      <c r="P20" s="150" t="s">
        <v>221</v>
      </c>
      <c r="Q20" s="160" t="s">
        <v>251</v>
      </c>
      <c r="R20" s="161" t="s">
        <v>252</v>
      </c>
    </row>
    <row r="21" spans="1:24" x14ac:dyDescent="0.3">
      <c r="A21" s="145" t="s">
        <v>231</v>
      </c>
      <c r="B21" s="141" t="s">
        <v>220</v>
      </c>
      <c r="C21" s="158" t="s">
        <v>248</v>
      </c>
      <c r="D21" s="151">
        <f>E20</f>
        <v>0.59999999999999964</v>
      </c>
      <c r="E21" s="158" t="s">
        <v>248</v>
      </c>
      <c r="F21" s="162">
        <f>$E$6+F6-F8</f>
        <v>8.3000000000000007</v>
      </c>
      <c r="G21" s="162">
        <f t="shared" ref="G21:K21" si="1">$E$6+G6-G8</f>
        <v>7.6</v>
      </c>
      <c r="H21" s="162">
        <f t="shared" si="1"/>
        <v>1.2000000000000011</v>
      </c>
      <c r="I21" s="162">
        <f t="shared" si="1"/>
        <v>0.10000000000000142</v>
      </c>
      <c r="J21" s="162">
        <f t="shared" si="1"/>
        <v>3.8</v>
      </c>
      <c r="K21" s="162">
        <f t="shared" si="1"/>
        <v>4.4000000000000004</v>
      </c>
      <c r="L21" s="143"/>
      <c r="M21" s="150">
        <v>3</v>
      </c>
      <c r="N21" s="159">
        <v>7.6</v>
      </c>
      <c r="O21" s="150" t="s">
        <v>220</v>
      </c>
      <c r="P21" s="150" t="s">
        <v>222</v>
      </c>
      <c r="Q21" s="161"/>
      <c r="R21" s="161" t="s">
        <v>253</v>
      </c>
    </row>
    <row r="22" spans="1:24" ht="28" x14ac:dyDescent="0.3">
      <c r="A22" s="145" t="s">
        <v>232</v>
      </c>
      <c r="B22" s="141" t="s">
        <v>221</v>
      </c>
      <c r="C22" s="158" t="s">
        <v>248</v>
      </c>
      <c r="D22" s="151">
        <f>F20</f>
        <v>-0.30000000000000071</v>
      </c>
      <c r="E22" s="163">
        <f>F21</f>
        <v>8.3000000000000007</v>
      </c>
      <c r="F22" s="158" t="s">
        <v>248</v>
      </c>
      <c r="G22" s="162">
        <f>$F$6+G6-G9</f>
        <v>9.5</v>
      </c>
      <c r="H22" s="162">
        <f t="shared" ref="H22:K22" si="2">$F$6+H6-H9</f>
        <v>3.5000000000000009</v>
      </c>
      <c r="I22" s="162">
        <f t="shared" si="2"/>
        <v>2.7000000000000011</v>
      </c>
      <c r="J22" s="162">
        <f t="shared" si="2"/>
        <v>5.6</v>
      </c>
      <c r="K22" s="162">
        <f t="shared" si="2"/>
        <v>5.8</v>
      </c>
      <c r="L22" s="143"/>
      <c r="M22" s="150">
        <v>4</v>
      </c>
      <c r="N22" s="159">
        <v>6.7</v>
      </c>
      <c r="O22" s="150" t="s">
        <v>225</v>
      </c>
      <c r="P22" s="150" t="s">
        <v>226</v>
      </c>
      <c r="Q22" s="164" t="s">
        <v>254</v>
      </c>
      <c r="R22" s="161" t="s">
        <v>250</v>
      </c>
    </row>
    <row r="23" spans="1:24" x14ac:dyDescent="0.3">
      <c r="A23" s="145" t="s">
        <v>233</v>
      </c>
      <c r="B23" s="141" t="s">
        <v>222</v>
      </c>
      <c r="C23" s="158" t="s">
        <v>248</v>
      </c>
      <c r="D23" s="151">
        <f>G20</f>
        <v>-1</v>
      </c>
      <c r="E23" s="151">
        <f>G21</f>
        <v>7.6</v>
      </c>
      <c r="F23" s="165">
        <f>G22</f>
        <v>9.5</v>
      </c>
      <c r="G23" s="158" t="s">
        <v>248</v>
      </c>
      <c r="H23" s="162">
        <f>$G$6+H6-H10</f>
        <v>3</v>
      </c>
      <c r="I23" s="162">
        <f t="shared" ref="I23:K23" si="3">$G$6+I6-I10</f>
        <v>1.9000000000000004</v>
      </c>
      <c r="J23" s="162">
        <f t="shared" si="3"/>
        <v>4.9999999999999991</v>
      </c>
      <c r="K23" s="162">
        <f t="shared" si="3"/>
        <v>4.6999999999999993</v>
      </c>
      <c r="L23" s="143"/>
      <c r="M23" s="150">
        <v>5</v>
      </c>
      <c r="N23" s="159">
        <v>5.8</v>
      </c>
      <c r="O23" s="150" t="s">
        <v>221</v>
      </c>
      <c r="P23" s="150" t="s">
        <v>226</v>
      </c>
      <c r="Q23" s="161"/>
      <c r="R23" s="161" t="s">
        <v>255</v>
      </c>
    </row>
    <row r="24" spans="1:24" ht="42" x14ac:dyDescent="0.3">
      <c r="A24" s="145" t="s">
        <v>234</v>
      </c>
      <c r="B24" s="141" t="s">
        <v>223</v>
      </c>
      <c r="C24" s="158" t="s">
        <v>248</v>
      </c>
      <c r="D24" s="151">
        <f>H20</f>
        <v>3.2999999999999989</v>
      </c>
      <c r="E24" s="151">
        <f>H21</f>
        <v>1.2000000000000011</v>
      </c>
      <c r="F24" s="151">
        <f>H22</f>
        <v>3.5000000000000009</v>
      </c>
      <c r="G24" s="166">
        <f>H23</f>
        <v>3</v>
      </c>
      <c r="H24" s="158" t="s">
        <v>248</v>
      </c>
      <c r="I24" s="162">
        <f>$H$6+I6-I11</f>
        <v>5.8</v>
      </c>
      <c r="J24" s="162">
        <f t="shared" ref="J24:K24" si="4">$H$6+J6-J11</f>
        <v>0.60000000000000053</v>
      </c>
      <c r="K24" s="162">
        <f t="shared" si="4"/>
        <v>0.10000000000000142</v>
      </c>
      <c r="L24" s="143"/>
      <c r="M24" s="150">
        <v>6</v>
      </c>
      <c r="N24" s="159">
        <v>5.8</v>
      </c>
      <c r="O24" s="150" t="s">
        <v>223</v>
      </c>
      <c r="P24" s="150" t="s">
        <v>224</v>
      </c>
      <c r="Q24" s="164" t="s">
        <v>256</v>
      </c>
      <c r="R24" s="161" t="s">
        <v>250</v>
      </c>
    </row>
    <row r="25" spans="1:24" x14ac:dyDescent="0.3">
      <c r="A25" s="145" t="s">
        <v>235</v>
      </c>
      <c r="B25" s="141" t="s">
        <v>224</v>
      </c>
      <c r="C25" s="158" t="s">
        <v>248</v>
      </c>
      <c r="D25" s="151">
        <f>I20</f>
        <v>5.1999999999999984</v>
      </c>
      <c r="E25" s="151">
        <f>I21</f>
        <v>0.10000000000000142</v>
      </c>
      <c r="F25" s="151">
        <f>I22</f>
        <v>2.7000000000000011</v>
      </c>
      <c r="G25" s="151">
        <f>I23</f>
        <v>1.9000000000000004</v>
      </c>
      <c r="H25" s="167">
        <f>I24</f>
        <v>5.8</v>
      </c>
      <c r="I25" s="158" t="s">
        <v>248</v>
      </c>
      <c r="J25" s="162">
        <f>$I$6+J6-J12</f>
        <v>0.59999999999999964</v>
      </c>
      <c r="K25" s="162">
        <f>$I$6+K6-K12</f>
        <v>1.2000000000000002</v>
      </c>
      <c r="L25" s="143"/>
      <c r="M25" s="150">
        <v>7</v>
      </c>
      <c r="N25" s="159">
        <v>5.6</v>
      </c>
      <c r="O25" s="150" t="s">
        <v>221</v>
      </c>
      <c r="P25" s="150" t="s">
        <v>225</v>
      </c>
      <c r="R25" s="161" t="s">
        <v>255</v>
      </c>
    </row>
    <row r="26" spans="1:24" ht="42" x14ac:dyDescent="0.3">
      <c r="A26" s="145" t="s">
        <v>236</v>
      </c>
      <c r="B26" s="141" t="s">
        <v>225</v>
      </c>
      <c r="C26" s="158" t="s">
        <v>248</v>
      </c>
      <c r="D26" s="162">
        <f>J20</f>
        <v>2.5999999999999996</v>
      </c>
      <c r="E26" s="151">
        <f>J21</f>
        <v>3.8</v>
      </c>
      <c r="F26" s="151">
        <f>J22</f>
        <v>5.6</v>
      </c>
      <c r="G26" s="151">
        <f>J23</f>
        <v>4.9999999999999991</v>
      </c>
      <c r="H26" s="151">
        <f>J24</f>
        <v>0.60000000000000053</v>
      </c>
      <c r="I26" s="168">
        <f>J25</f>
        <v>0.59999999999999964</v>
      </c>
      <c r="J26" s="158" t="s">
        <v>248</v>
      </c>
      <c r="K26" s="162">
        <f>J6+K6-K13</f>
        <v>6.7</v>
      </c>
      <c r="L26" s="143"/>
      <c r="M26" s="150">
        <v>8</v>
      </c>
      <c r="N26" s="159">
        <v>5.2</v>
      </c>
      <c r="O26" s="150" t="s">
        <v>219</v>
      </c>
      <c r="P26" s="150" t="s">
        <v>224</v>
      </c>
      <c r="Q26" s="164" t="s">
        <v>257</v>
      </c>
      <c r="R26" s="161" t="s">
        <v>258</v>
      </c>
    </row>
    <row r="27" spans="1:24" ht="28" x14ac:dyDescent="0.3">
      <c r="A27" s="145" t="s">
        <v>237</v>
      </c>
      <c r="B27" s="141" t="s">
        <v>226</v>
      </c>
      <c r="C27" s="158" t="s">
        <v>248</v>
      </c>
      <c r="D27" s="151">
        <f>K20</f>
        <v>2.7999999999999989</v>
      </c>
      <c r="E27" s="151">
        <f>K21</f>
        <v>4.4000000000000004</v>
      </c>
      <c r="F27" s="151">
        <f>K22</f>
        <v>5.8</v>
      </c>
      <c r="G27" s="151">
        <f>K23</f>
        <v>4.6999999999999993</v>
      </c>
      <c r="H27" s="151">
        <f>K24</f>
        <v>0.10000000000000142</v>
      </c>
      <c r="I27" s="169">
        <f>K25</f>
        <v>1.2000000000000002</v>
      </c>
      <c r="J27" s="170">
        <f>K26</f>
        <v>6.7</v>
      </c>
      <c r="K27" s="158" t="s">
        <v>248</v>
      </c>
      <c r="L27" s="143"/>
      <c r="M27" s="150">
        <v>9</v>
      </c>
      <c r="N27" s="159">
        <v>5</v>
      </c>
      <c r="O27" s="150" t="s">
        <v>222</v>
      </c>
      <c r="P27" s="150" t="s">
        <v>225</v>
      </c>
      <c r="Q27" s="164" t="s">
        <v>259</v>
      </c>
      <c r="R27" s="171" t="s">
        <v>260</v>
      </c>
      <c r="S27" s="172"/>
      <c r="T27" s="156"/>
      <c r="U27" s="156"/>
      <c r="V27" s="156"/>
      <c r="W27" s="156"/>
      <c r="X27" s="143"/>
    </row>
    <row r="28" spans="1:24" s="143" customFormat="1" x14ac:dyDescent="0.3">
      <c r="M28" s="150">
        <v>10</v>
      </c>
      <c r="N28" s="159">
        <v>4.7</v>
      </c>
      <c r="O28" s="150" t="s">
        <v>222</v>
      </c>
      <c r="P28" s="150" t="s">
        <v>226</v>
      </c>
      <c r="Q28" s="161"/>
      <c r="R28" s="161" t="s">
        <v>261</v>
      </c>
      <c r="S28" s="155"/>
    </row>
    <row r="29" spans="1:24" s="143" customFormat="1" x14ac:dyDescent="0.3">
      <c r="M29" s="150">
        <v>11</v>
      </c>
      <c r="N29" s="159">
        <v>4.4000000000000004</v>
      </c>
      <c r="O29" s="150" t="s">
        <v>220</v>
      </c>
      <c r="P29" s="150" t="s">
        <v>226</v>
      </c>
      <c r="Q29" s="150"/>
      <c r="R29" s="161" t="s">
        <v>262</v>
      </c>
      <c r="S29" s="155"/>
    </row>
    <row r="30" spans="1:24" s="143" customFormat="1" x14ac:dyDescent="0.3">
      <c r="M30" s="150">
        <v>12</v>
      </c>
      <c r="N30" s="159">
        <v>3.8</v>
      </c>
      <c r="O30" s="150" t="s">
        <v>220</v>
      </c>
      <c r="P30" s="150" t="s">
        <v>225</v>
      </c>
      <c r="Q30" s="150"/>
      <c r="R30" s="161" t="s">
        <v>263</v>
      </c>
      <c r="S30" s="155"/>
    </row>
    <row r="31" spans="1:24" s="143" customFormat="1" x14ac:dyDescent="0.3">
      <c r="M31" s="150">
        <v>13</v>
      </c>
      <c r="N31" s="159">
        <v>3.5</v>
      </c>
      <c r="O31" s="150" t="s">
        <v>221</v>
      </c>
      <c r="P31" s="150" t="s">
        <v>223</v>
      </c>
      <c r="Q31" s="150"/>
      <c r="R31" s="161" t="s">
        <v>255</v>
      </c>
      <c r="S31" s="155"/>
    </row>
    <row r="32" spans="1:24" s="143" customFormat="1" x14ac:dyDescent="0.3">
      <c r="M32" s="150">
        <v>14</v>
      </c>
      <c r="N32" s="159">
        <v>3.3</v>
      </c>
      <c r="O32" s="150" t="s">
        <v>219</v>
      </c>
      <c r="P32" s="150" t="s">
        <v>223</v>
      </c>
      <c r="Q32" s="150"/>
      <c r="R32" s="161" t="s">
        <v>264</v>
      </c>
      <c r="S32" s="155"/>
    </row>
    <row r="33" spans="13:19" s="143" customFormat="1" x14ac:dyDescent="0.3">
      <c r="M33" s="150">
        <v>15</v>
      </c>
      <c r="N33" s="159">
        <v>3</v>
      </c>
      <c r="O33" s="150" t="s">
        <v>222</v>
      </c>
      <c r="P33" s="150" t="s">
        <v>223</v>
      </c>
      <c r="Q33" s="150"/>
      <c r="R33" s="161" t="s">
        <v>265</v>
      </c>
      <c r="S33" s="155"/>
    </row>
    <row r="34" spans="13:19" s="143" customFormat="1" x14ac:dyDescent="0.3">
      <c r="M34" s="150">
        <v>16</v>
      </c>
      <c r="N34" s="159">
        <v>2.8</v>
      </c>
      <c r="O34" s="150" t="s">
        <v>219</v>
      </c>
      <c r="P34" s="150" t="s">
        <v>226</v>
      </c>
      <c r="Q34" s="173" t="s">
        <v>266</v>
      </c>
      <c r="R34" s="171" t="s">
        <v>267</v>
      </c>
      <c r="S34" s="155"/>
    </row>
    <row r="35" spans="13:19" s="143" customFormat="1" x14ac:dyDescent="0.3">
      <c r="M35" s="150">
        <v>17</v>
      </c>
      <c r="N35" s="159">
        <v>2.7</v>
      </c>
      <c r="O35" s="150" t="s">
        <v>221</v>
      </c>
      <c r="P35" s="150" t="s">
        <v>224</v>
      </c>
      <c r="Q35" s="150"/>
      <c r="R35" s="161"/>
      <c r="S35" s="155"/>
    </row>
    <row r="36" spans="13:19" s="143" customFormat="1" x14ac:dyDescent="0.3">
      <c r="M36" s="150">
        <v>18</v>
      </c>
      <c r="N36" s="159">
        <v>2.6</v>
      </c>
      <c r="O36" s="150" t="s">
        <v>219</v>
      </c>
      <c r="P36" s="150" t="s">
        <v>225</v>
      </c>
      <c r="Q36" s="150"/>
      <c r="R36" s="161"/>
      <c r="S36" s="155"/>
    </row>
    <row r="37" spans="13:19" s="143" customFormat="1" x14ac:dyDescent="0.3">
      <c r="M37" s="150">
        <v>19</v>
      </c>
      <c r="N37" s="159">
        <v>1.9</v>
      </c>
      <c r="O37" s="150" t="s">
        <v>222</v>
      </c>
      <c r="P37" s="150" t="s">
        <v>224</v>
      </c>
      <c r="Q37" s="150"/>
      <c r="R37" s="161"/>
      <c r="S37" s="155"/>
    </row>
    <row r="38" spans="13:19" s="143" customFormat="1" x14ac:dyDescent="0.3">
      <c r="M38" s="150">
        <v>20</v>
      </c>
      <c r="N38" s="159">
        <v>1.2</v>
      </c>
      <c r="O38" s="150" t="s">
        <v>220</v>
      </c>
      <c r="P38" s="150" t="s">
        <v>223</v>
      </c>
      <c r="Q38" s="150"/>
      <c r="R38" s="161"/>
      <c r="S38" s="155"/>
    </row>
    <row r="39" spans="13:19" s="143" customFormat="1" x14ac:dyDescent="0.3">
      <c r="M39" s="150">
        <v>21</v>
      </c>
      <c r="N39" s="159">
        <v>1.2</v>
      </c>
      <c r="O39" s="150" t="s">
        <v>224</v>
      </c>
      <c r="P39" s="150" t="s">
        <v>226</v>
      </c>
      <c r="Q39" s="150"/>
      <c r="R39" s="161"/>
      <c r="S39" s="155"/>
    </row>
    <row r="40" spans="13:19" s="143" customFormat="1" x14ac:dyDescent="0.3">
      <c r="M40" s="150">
        <v>22</v>
      </c>
      <c r="N40" s="159">
        <v>0.6</v>
      </c>
      <c r="O40" s="150" t="s">
        <v>219</v>
      </c>
      <c r="P40" s="150" t="s">
        <v>220</v>
      </c>
      <c r="Q40" s="150"/>
      <c r="R40" s="161"/>
      <c r="S40" s="155"/>
    </row>
    <row r="41" spans="13:19" s="143" customFormat="1" x14ac:dyDescent="0.3">
      <c r="M41" s="150">
        <v>23</v>
      </c>
      <c r="N41" s="159">
        <v>0.6</v>
      </c>
      <c r="O41" s="150" t="s">
        <v>223</v>
      </c>
      <c r="P41" s="150" t="s">
        <v>225</v>
      </c>
      <c r="Q41" s="150"/>
      <c r="R41" s="161"/>
      <c r="S41" s="155"/>
    </row>
    <row r="42" spans="13:19" s="143" customFormat="1" x14ac:dyDescent="0.3">
      <c r="M42" s="150">
        <v>24</v>
      </c>
      <c r="N42" s="159">
        <v>0.6</v>
      </c>
      <c r="O42" s="150" t="s">
        <v>224</v>
      </c>
      <c r="P42" s="150" t="s">
        <v>225</v>
      </c>
      <c r="Q42" s="150"/>
      <c r="R42" s="161"/>
      <c r="S42" s="155"/>
    </row>
    <row r="43" spans="13:19" s="143" customFormat="1" x14ac:dyDescent="0.3">
      <c r="M43" s="150">
        <v>25</v>
      </c>
      <c r="N43" s="159">
        <v>0.1</v>
      </c>
      <c r="O43" s="150" t="s">
        <v>220</v>
      </c>
      <c r="P43" s="150" t="s">
        <v>224</v>
      </c>
      <c r="Q43" s="150"/>
      <c r="R43" s="161"/>
      <c r="S43" s="155"/>
    </row>
    <row r="44" spans="13:19" s="143" customFormat="1" x14ac:dyDescent="0.3">
      <c r="M44" s="150">
        <v>26</v>
      </c>
      <c r="N44" s="159">
        <v>0.1</v>
      </c>
      <c r="O44" s="150" t="s">
        <v>223</v>
      </c>
      <c r="P44" s="150" t="s">
        <v>226</v>
      </c>
      <c r="Q44" s="150"/>
      <c r="R44" s="161"/>
      <c r="S44" s="155"/>
    </row>
    <row r="45" spans="13:19" s="143" customFormat="1" x14ac:dyDescent="0.3">
      <c r="M45" s="150">
        <v>27</v>
      </c>
      <c r="N45" s="159">
        <v>-0.3</v>
      </c>
      <c r="O45" s="150" t="s">
        <v>219</v>
      </c>
      <c r="P45" s="150" t="s">
        <v>221</v>
      </c>
      <c r="Q45" s="150"/>
      <c r="R45" s="161"/>
      <c r="S45" s="155"/>
    </row>
    <row r="46" spans="13:19" s="143" customFormat="1" x14ac:dyDescent="0.3">
      <c r="M46" s="150">
        <v>28</v>
      </c>
      <c r="N46" s="159">
        <v>-1</v>
      </c>
      <c r="O46" s="150" t="s">
        <v>219</v>
      </c>
      <c r="P46" s="150" t="s">
        <v>222</v>
      </c>
      <c r="Q46" s="150"/>
      <c r="R46" s="161"/>
      <c r="S46" s="155"/>
    </row>
    <row r="47" spans="13:19" s="143" customFormat="1" x14ac:dyDescent="0.3">
      <c r="Q47" s="139"/>
      <c r="R47" s="155"/>
      <c r="S47" s="155"/>
    </row>
    <row r="48" spans="13:19" s="143" customFormat="1" x14ac:dyDescent="0.3">
      <c r="M48" s="142" t="s">
        <v>268</v>
      </c>
      <c r="N48" s="155" t="s">
        <v>269</v>
      </c>
      <c r="Q48" s="139"/>
      <c r="R48" s="155"/>
      <c r="S48" s="155"/>
    </row>
    <row r="49" spans="12:30" s="143" customFormat="1" x14ac:dyDescent="0.3">
      <c r="Q49" s="139"/>
      <c r="R49" s="155"/>
      <c r="S49" s="155"/>
    </row>
    <row r="50" spans="12:30" s="143" customFormat="1" x14ac:dyDescent="0.3">
      <c r="M50" s="141" t="s">
        <v>215</v>
      </c>
      <c r="N50" s="141" t="s">
        <v>228</v>
      </c>
      <c r="O50" s="141" t="s">
        <v>229</v>
      </c>
      <c r="P50" s="149"/>
      <c r="Q50" s="139"/>
      <c r="R50" s="139"/>
      <c r="S50" s="155"/>
    </row>
    <row r="51" spans="12:30" s="143" customFormat="1" x14ac:dyDescent="0.3">
      <c r="L51" s="139"/>
      <c r="M51" s="150" t="s">
        <v>218</v>
      </c>
      <c r="N51" s="151" t="s">
        <v>220</v>
      </c>
      <c r="O51" s="151">
        <f>E6</f>
        <v>6</v>
      </c>
      <c r="P51" s="139"/>
      <c r="Q51" s="139"/>
      <c r="R51" s="139"/>
      <c r="S51" s="155"/>
    </row>
    <row r="52" spans="12:30" s="143" customFormat="1" x14ac:dyDescent="0.3">
      <c r="L52" s="139"/>
      <c r="M52" s="150" t="s">
        <v>220</v>
      </c>
      <c r="N52" s="151" t="s">
        <v>221</v>
      </c>
      <c r="O52" s="151">
        <f>F8</f>
        <v>3.7</v>
      </c>
      <c r="P52" s="139"/>
      <c r="Q52" s="139"/>
      <c r="R52" s="139"/>
      <c r="S52" s="155"/>
    </row>
    <row r="53" spans="12:30" s="143" customFormat="1" x14ac:dyDescent="0.3">
      <c r="L53" s="139"/>
      <c r="M53" s="150" t="s">
        <v>221</v>
      </c>
      <c r="N53" s="151" t="s">
        <v>222</v>
      </c>
      <c r="O53" s="151">
        <f>G9</f>
        <v>1.7</v>
      </c>
      <c r="P53" s="139"/>
      <c r="Q53" s="139"/>
      <c r="R53" s="139"/>
      <c r="S53" s="155"/>
    </row>
    <row r="54" spans="12:30" s="143" customFormat="1" x14ac:dyDescent="0.3">
      <c r="L54" s="139"/>
      <c r="M54" s="150" t="s">
        <v>222</v>
      </c>
      <c r="N54" s="151" t="s">
        <v>225</v>
      </c>
      <c r="O54" s="151">
        <f>J10</f>
        <v>4.2</v>
      </c>
      <c r="P54" s="139"/>
      <c r="Q54" s="139"/>
      <c r="R54" s="139"/>
      <c r="S54" s="155"/>
    </row>
    <row r="55" spans="12:30" s="143" customFormat="1" x14ac:dyDescent="0.3">
      <c r="L55" s="139"/>
      <c r="M55" s="150" t="s">
        <v>225</v>
      </c>
      <c r="N55" s="151" t="s">
        <v>226</v>
      </c>
      <c r="O55" s="151">
        <f>K13</f>
        <v>1.3</v>
      </c>
      <c r="P55" s="139"/>
      <c r="Q55" s="139"/>
      <c r="R55" s="139"/>
      <c r="S55" s="155"/>
    </row>
    <row r="56" spans="12:30" s="143" customFormat="1" x14ac:dyDescent="0.3">
      <c r="L56" s="139"/>
      <c r="M56" s="150" t="s">
        <v>226</v>
      </c>
      <c r="N56" s="151" t="s">
        <v>219</v>
      </c>
      <c r="O56" s="151">
        <f>D14</f>
        <v>9.3000000000000007</v>
      </c>
      <c r="P56" s="139"/>
      <c r="Q56" s="139"/>
      <c r="R56" s="139"/>
      <c r="S56" s="155"/>
      <c r="T56" s="139"/>
      <c r="U56" s="139"/>
      <c r="V56" s="139"/>
      <c r="W56" s="139"/>
    </row>
    <row r="57" spans="12:30" s="143" customFormat="1" x14ac:dyDescent="0.3">
      <c r="L57" s="139"/>
      <c r="M57" s="150" t="s">
        <v>219</v>
      </c>
      <c r="N57" s="151" t="s">
        <v>224</v>
      </c>
      <c r="O57" s="151">
        <f>I7</f>
        <v>6.7</v>
      </c>
      <c r="P57" s="139"/>
      <c r="Q57" s="139"/>
      <c r="R57" s="139"/>
      <c r="S57" s="155"/>
      <c r="T57" s="139"/>
      <c r="U57" s="139"/>
      <c r="V57" s="139"/>
      <c r="W57" s="139"/>
    </row>
    <row r="58" spans="12:30" s="143" customFormat="1" x14ac:dyDescent="0.3">
      <c r="L58" s="139"/>
      <c r="M58" s="150" t="s">
        <v>224</v>
      </c>
      <c r="N58" s="151" t="s">
        <v>223</v>
      </c>
      <c r="O58" s="151">
        <f>H12</f>
        <v>2.2999999999999998</v>
      </c>
      <c r="P58" s="139"/>
      <c r="Q58" s="139"/>
      <c r="R58" s="139"/>
      <c r="S58" s="155"/>
      <c r="T58" s="139"/>
      <c r="U58" s="139"/>
      <c r="V58" s="139"/>
      <c r="W58" s="139"/>
    </row>
    <row r="59" spans="12:30" x14ac:dyDescent="0.3">
      <c r="M59" s="150" t="s">
        <v>223</v>
      </c>
      <c r="N59" s="151" t="s">
        <v>218</v>
      </c>
      <c r="O59" s="151">
        <f>C11</f>
        <v>4.3</v>
      </c>
      <c r="S59" s="155"/>
      <c r="X59" s="143"/>
      <c r="Y59" s="143"/>
      <c r="Z59" s="143"/>
      <c r="AA59" s="143"/>
      <c r="AB59" s="143"/>
      <c r="AC59" s="143"/>
      <c r="AD59" s="143"/>
    </row>
    <row r="60" spans="12:30" x14ac:dyDescent="0.3">
      <c r="M60" s="143"/>
      <c r="N60" s="152" t="s">
        <v>238</v>
      </c>
      <c r="O60" s="153">
        <f>SUM(O51:O59)</f>
        <v>39.499999999999993</v>
      </c>
      <c r="P60" s="154" t="s">
        <v>239</v>
      </c>
      <c r="S60" s="155"/>
      <c r="X60" s="143"/>
      <c r="Y60" s="143"/>
      <c r="Z60" s="143"/>
      <c r="AA60" s="143"/>
      <c r="AB60" s="143"/>
      <c r="AC60" s="143"/>
      <c r="AD60" s="143"/>
    </row>
    <row r="61" spans="12:30" x14ac:dyDescent="0.3">
      <c r="M61" s="143"/>
      <c r="N61" s="143"/>
      <c r="O61" s="143"/>
      <c r="P61" s="143"/>
      <c r="Q61" s="143"/>
      <c r="R61" s="143"/>
      <c r="S61" s="155"/>
      <c r="X61" s="143"/>
      <c r="Y61" s="143"/>
      <c r="Z61" s="143"/>
      <c r="AA61" s="143"/>
      <c r="AB61" s="143"/>
      <c r="AC61" s="143"/>
      <c r="AD61" s="143"/>
    </row>
    <row r="62" spans="12:30" x14ac:dyDescent="0.3">
      <c r="S62" s="155"/>
      <c r="X62" s="143"/>
      <c r="Y62" s="143"/>
      <c r="Z62" s="143"/>
      <c r="AA62" s="143"/>
      <c r="AB62" s="143"/>
      <c r="AC62" s="143"/>
      <c r="AD62" s="143"/>
    </row>
    <row r="63" spans="12:30" x14ac:dyDescent="0.3">
      <c r="S63" s="155"/>
      <c r="X63" s="143"/>
      <c r="Y63" s="143"/>
      <c r="Z63" s="143"/>
      <c r="AA63" s="143"/>
      <c r="AB63" s="143"/>
      <c r="AC63" s="143"/>
      <c r="AD63" s="143"/>
    </row>
    <row r="64" spans="12:30" x14ac:dyDescent="0.3">
      <c r="S64" s="155"/>
      <c r="X64" s="143"/>
      <c r="Y64" s="143"/>
      <c r="Z64" s="143"/>
      <c r="AA64" s="143"/>
      <c r="AB64" s="143"/>
      <c r="AC64" s="143"/>
      <c r="AD64" s="143"/>
    </row>
    <row r="65" spans="19:30" x14ac:dyDescent="0.3">
      <c r="S65" s="155"/>
      <c r="X65" s="143"/>
      <c r="Y65" s="143"/>
      <c r="Z65" s="143"/>
      <c r="AA65" s="143"/>
      <c r="AB65" s="143"/>
      <c r="AC65" s="143"/>
      <c r="AD65" s="143"/>
    </row>
    <row r="66" spans="19:30" x14ac:dyDescent="0.3">
      <c r="S66" s="155"/>
      <c r="X66" s="143"/>
      <c r="Y66" s="143"/>
      <c r="Z66" s="143"/>
      <c r="AA66" s="143"/>
      <c r="AB66" s="143"/>
      <c r="AC66" s="143"/>
      <c r="AD66" s="143"/>
    </row>
    <row r="67" spans="19:30" x14ac:dyDescent="0.3">
      <c r="S67" s="155"/>
      <c r="X67" s="143"/>
      <c r="Y67" s="143"/>
      <c r="Z67" s="143"/>
      <c r="AA67" s="143"/>
      <c r="AB67" s="143"/>
      <c r="AC67" s="143"/>
      <c r="AD67" s="143"/>
    </row>
    <row r="68" spans="19:30" x14ac:dyDescent="0.3">
      <c r="S68" s="155"/>
      <c r="X68" s="143"/>
      <c r="Y68" s="143"/>
      <c r="Z68" s="143"/>
      <c r="AA68" s="143"/>
      <c r="AB68" s="143"/>
      <c r="AC68" s="143"/>
      <c r="AD68" s="143"/>
    </row>
    <row r="69" spans="19:30" x14ac:dyDescent="0.3">
      <c r="S69" s="155"/>
      <c r="X69" s="143"/>
      <c r="Y69" s="143"/>
      <c r="Z69" s="143"/>
      <c r="AA69" s="143"/>
      <c r="AB69" s="143"/>
      <c r="AC69" s="143"/>
      <c r="AD69" s="143"/>
    </row>
    <row r="70" spans="19:30" x14ac:dyDescent="0.3"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</row>
  </sheetData>
  <mergeCells count="5">
    <mergeCell ref="A1:K1"/>
    <mergeCell ref="A4:B5"/>
    <mergeCell ref="C4:K4"/>
    <mergeCell ref="A17:B18"/>
    <mergeCell ref="C17:K17"/>
  </mergeCells>
  <conditionalFormatting sqref="D20:K2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9A66-4936-4902-AAAD-FD769719BAA1}">
  <sheetPr>
    <tabColor rgb="FF92D050"/>
  </sheetPr>
  <dimension ref="A1:AE72"/>
  <sheetViews>
    <sheetView showGridLines="0" tabSelected="1" topLeftCell="C14" zoomScale="69" zoomScaleNormal="69" workbookViewId="0">
      <selection activeCell="M70" sqref="M70:O72"/>
    </sheetView>
  </sheetViews>
  <sheetFormatPr defaultColWidth="10.26953125" defaultRowHeight="14" customHeight="1" x14ac:dyDescent="0.3"/>
  <cols>
    <col min="1" max="1" width="26.54296875" style="139" customWidth="1"/>
    <col min="2" max="2" width="8.26953125" style="156" customWidth="1"/>
    <col min="3" max="11" width="6.453125" style="156" customWidth="1"/>
    <col min="12" max="12" width="4.453125" style="139" customWidth="1"/>
    <col min="13" max="13" width="16.453125" style="139" customWidth="1"/>
    <col min="14" max="14" width="13.453125" style="139" customWidth="1"/>
    <col min="15" max="15" width="11.81640625" style="139" customWidth="1"/>
    <col min="16" max="16" width="8.54296875" style="139" customWidth="1"/>
    <col min="17" max="17" width="38.453125" style="139" customWidth="1"/>
    <col min="18" max="18" width="30.453125" style="139" customWidth="1"/>
    <col min="19" max="19" width="37.26953125" style="139" customWidth="1"/>
    <col min="20" max="20" width="10.26953125" style="139" customWidth="1"/>
    <col min="21" max="16384" width="10.26953125" style="139"/>
  </cols>
  <sheetData>
    <row r="1" spans="1:18" ht="35.5" customHeight="1" x14ac:dyDescent="0.3">
      <c r="A1" s="404" t="s">
        <v>270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</row>
    <row r="2" spans="1:18" ht="14.5" customHeight="1" x14ac:dyDescent="0.3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8" ht="17.5" x14ac:dyDescent="0.35">
      <c r="D3" s="140" t="s">
        <v>214</v>
      </c>
      <c r="N3" s="174" t="s">
        <v>271</v>
      </c>
    </row>
    <row r="4" spans="1:18" ht="14.5" thickBot="1" x14ac:dyDescent="0.35">
      <c r="A4" s="405" t="s">
        <v>215</v>
      </c>
      <c r="B4" s="405"/>
      <c r="C4" s="406" t="s">
        <v>216</v>
      </c>
      <c r="D4" s="406"/>
      <c r="E4" s="406"/>
      <c r="F4" s="406"/>
      <c r="G4" s="406"/>
      <c r="H4" s="406"/>
      <c r="I4" s="406"/>
      <c r="J4" s="406"/>
      <c r="K4" s="406"/>
    </row>
    <row r="5" spans="1:18" ht="28.5" thickBot="1" x14ac:dyDescent="0.35">
      <c r="A5" s="405"/>
      <c r="B5" s="405"/>
      <c r="C5" s="144" t="s">
        <v>218</v>
      </c>
      <c r="D5" s="144" t="s">
        <v>219</v>
      </c>
      <c r="E5" s="144" t="s">
        <v>220</v>
      </c>
      <c r="F5" s="144" t="s">
        <v>221</v>
      </c>
      <c r="G5" s="144" t="s">
        <v>222</v>
      </c>
      <c r="H5" s="144" t="s">
        <v>223</v>
      </c>
      <c r="I5" s="144" t="s">
        <v>224</v>
      </c>
      <c r="J5" s="144" t="s">
        <v>225</v>
      </c>
      <c r="K5" s="144" t="s">
        <v>226</v>
      </c>
      <c r="N5" s="175" t="s">
        <v>272</v>
      </c>
      <c r="O5" s="176" t="s">
        <v>273</v>
      </c>
    </row>
    <row r="6" spans="1:18" ht="14.5" thickBot="1" x14ac:dyDescent="0.35">
      <c r="A6" s="145" t="s">
        <v>227</v>
      </c>
      <c r="B6" s="144" t="s">
        <v>218</v>
      </c>
      <c r="C6" s="151">
        <v>0</v>
      </c>
      <c r="D6" s="151">
        <v>8.1</v>
      </c>
      <c r="E6" s="151">
        <v>6</v>
      </c>
      <c r="F6" s="151">
        <v>6</v>
      </c>
      <c r="G6" s="151">
        <v>5.2</v>
      </c>
      <c r="H6" s="151">
        <v>4.3</v>
      </c>
      <c r="I6" s="151">
        <v>3.8</v>
      </c>
      <c r="J6" s="151">
        <v>4</v>
      </c>
      <c r="K6" s="151">
        <v>4</v>
      </c>
      <c r="N6" s="177" t="s">
        <v>219</v>
      </c>
      <c r="O6" s="147">
        <v>150</v>
      </c>
    </row>
    <row r="7" spans="1:18" ht="14.5" thickBot="1" x14ac:dyDescent="0.35">
      <c r="A7" s="145" t="s">
        <v>230</v>
      </c>
      <c r="B7" s="144" t="s">
        <v>219</v>
      </c>
      <c r="C7" s="151">
        <v>8.1</v>
      </c>
      <c r="D7" s="151">
        <v>0</v>
      </c>
      <c r="E7" s="151">
        <v>13.5</v>
      </c>
      <c r="F7" s="151">
        <v>14.4</v>
      </c>
      <c r="G7" s="151">
        <v>14.3</v>
      </c>
      <c r="H7" s="151">
        <v>9.1</v>
      </c>
      <c r="I7" s="151">
        <v>6.7</v>
      </c>
      <c r="J7" s="151">
        <v>9.5</v>
      </c>
      <c r="K7" s="151">
        <v>9.3000000000000007</v>
      </c>
      <c r="N7" s="177" t="s">
        <v>220</v>
      </c>
      <c r="O7" s="147">
        <v>100</v>
      </c>
    </row>
    <row r="8" spans="1:18" ht="14.5" thickBot="1" x14ac:dyDescent="0.35">
      <c r="A8" s="145" t="s">
        <v>231</v>
      </c>
      <c r="B8" s="144" t="s">
        <v>220</v>
      </c>
      <c r="C8" s="151">
        <v>6</v>
      </c>
      <c r="D8" s="151">
        <v>13.5</v>
      </c>
      <c r="E8" s="151">
        <v>0</v>
      </c>
      <c r="F8" s="151">
        <v>3.7</v>
      </c>
      <c r="G8" s="151">
        <v>3.6</v>
      </c>
      <c r="H8" s="151">
        <v>9.1</v>
      </c>
      <c r="I8" s="151">
        <v>9.6999999999999993</v>
      </c>
      <c r="J8" s="151">
        <v>6.2</v>
      </c>
      <c r="K8" s="151">
        <v>5.6</v>
      </c>
      <c r="N8" s="177" t="s">
        <v>221</v>
      </c>
      <c r="O8" s="147">
        <v>150</v>
      </c>
    </row>
    <row r="9" spans="1:18" ht="14.5" thickBot="1" x14ac:dyDescent="0.35">
      <c r="A9" s="145" t="s">
        <v>232</v>
      </c>
      <c r="B9" s="144" t="s">
        <v>221</v>
      </c>
      <c r="C9" s="151">
        <v>6</v>
      </c>
      <c r="D9" s="151">
        <v>14.4</v>
      </c>
      <c r="E9" s="151">
        <v>3.7</v>
      </c>
      <c r="F9" s="151">
        <v>0</v>
      </c>
      <c r="G9" s="151">
        <v>1.7</v>
      </c>
      <c r="H9" s="151">
        <v>6.8</v>
      </c>
      <c r="I9" s="151">
        <v>7.1</v>
      </c>
      <c r="J9" s="151">
        <v>4.4000000000000004</v>
      </c>
      <c r="K9" s="151">
        <v>4.2</v>
      </c>
      <c r="N9" s="177" t="s">
        <v>222</v>
      </c>
      <c r="O9" s="147">
        <v>200</v>
      </c>
    </row>
    <row r="10" spans="1:18" ht="14.5" thickBot="1" x14ac:dyDescent="0.35">
      <c r="A10" s="145" t="s">
        <v>233</v>
      </c>
      <c r="B10" s="144" t="s">
        <v>222</v>
      </c>
      <c r="C10" s="151">
        <v>5.2</v>
      </c>
      <c r="D10" s="151">
        <v>14.3</v>
      </c>
      <c r="E10" s="151">
        <v>3.6</v>
      </c>
      <c r="F10" s="151">
        <v>1.7</v>
      </c>
      <c r="G10" s="151">
        <v>0</v>
      </c>
      <c r="H10" s="151">
        <v>6.5</v>
      </c>
      <c r="I10" s="151">
        <v>7.1</v>
      </c>
      <c r="J10" s="151">
        <v>4.2</v>
      </c>
      <c r="K10" s="151">
        <v>4.5</v>
      </c>
      <c r="N10" s="177" t="s">
        <v>223</v>
      </c>
      <c r="O10" s="147">
        <v>80</v>
      </c>
    </row>
    <row r="11" spans="1:18" ht="14.5" thickBot="1" x14ac:dyDescent="0.35">
      <c r="A11" s="145" t="s">
        <v>234</v>
      </c>
      <c r="B11" s="144" t="s">
        <v>223</v>
      </c>
      <c r="C11" s="151">
        <v>4.3</v>
      </c>
      <c r="D11" s="151">
        <v>9.1</v>
      </c>
      <c r="E11" s="151">
        <v>9.1</v>
      </c>
      <c r="F11" s="151">
        <v>6.8</v>
      </c>
      <c r="G11" s="151">
        <v>6.5</v>
      </c>
      <c r="H11" s="151">
        <v>0</v>
      </c>
      <c r="I11" s="151">
        <v>2.2999999999999998</v>
      </c>
      <c r="J11" s="151">
        <v>7.7</v>
      </c>
      <c r="K11" s="151">
        <v>8.1999999999999993</v>
      </c>
      <c r="N11" s="177" t="s">
        <v>224</v>
      </c>
      <c r="O11" s="147">
        <v>100</v>
      </c>
    </row>
    <row r="12" spans="1:18" ht="14.5" thickBot="1" x14ac:dyDescent="0.35">
      <c r="A12" s="145" t="s">
        <v>235</v>
      </c>
      <c r="B12" s="144" t="s">
        <v>224</v>
      </c>
      <c r="C12" s="151">
        <v>3.8</v>
      </c>
      <c r="D12" s="151">
        <v>6.7</v>
      </c>
      <c r="E12" s="151">
        <v>9.6999999999999993</v>
      </c>
      <c r="F12" s="151">
        <v>7.1</v>
      </c>
      <c r="G12" s="151">
        <v>7.1</v>
      </c>
      <c r="H12" s="151">
        <v>2.2999999999999998</v>
      </c>
      <c r="I12" s="151">
        <v>0</v>
      </c>
      <c r="J12" s="151">
        <v>7.2</v>
      </c>
      <c r="K12" s="151">
        <v>6.6</v>
      </c>
      <c r="N12" s="177" t="s">
        <v>225</v>
      </c>
      <c r="O12" s="147">
        <v>180</v>
      </c>
    </row>
    <row r="13" spans="1:18" ht="14.5" thickBot="1" x14ac:dyDescent="0.35">
      <c r="A13" s="145" t="s">
        <v>236</v>
      </c>
      <c r="B13" s="144" t="s">
        <v>225</v>
      </c>
      <c r="C13" s="151">
        <v>4</v>
      </c>
      <c r="D13" s="151">
        <v>9.5</v>
      </c>
      <c r="E13" s="151">
        <v>6.2</v>
      </c>
      <c r="F13" s="151">
        <v>4.4000000000000004</v>
      </c>
      <c r="G13" s="151">
        <v>4.2</v>
      </c>
      <c r="H13" s="151">
        <v>7.7</v>
      </c>
      <c r="I13" s="151">
        <v>7.2</v>
      </c>
      <c r="J13" s="151">
        <v>0</v>
      </c>
      <c r="K13" s="151">
        <v>1.3</v>
      </c>
      <c r="N13" s="177" t="s">
        <v>226</v>
      </c>
      <c r="O13" s="147">
        <v>90</v>
      </c>
    </row>
    <row r="14" spans="1:18" x14ac:dyDescent="0.3">
      <c r="A14" s="145" t="s">
        <v>237</v>
      </c>
      <c r="B14" s="144" t="s">
        <v>226</v>
      </c>
      <c r="C14" s="151">
        <v>4</v>
      </c>
      <c r="D14" s="151">
        <v>9.3000000000000007</v>
      </c>
      <c r="E14" s="151">
        <v>5.6</v>
      </c>
      <c r="F14" s="151">
        <v>4.2</v>
      </c>
      <c r="G14" s="151">
        <v>4.5</v>
      </c>
      <c r="H14" s="151">
        <v>8.1999999999999993</v>
      </c>
      <c r="I14" s="151">
        <v>6.6</v>
      </c>
      <c r="J14" s="151">
        <v>1.3</v>
      </c>
      <c r="K14" s="151">
        <v>0</v>
      </c>
    </row>
    <row r="16" spans="1:18" ht="17.5" x14ac:dyDescent="0.3">
      <c r="D16" s="140" t="s">
        <v>241</v>
      </c>
      <c r="Q16" s="140" t="s">
        <v>242</v>
      </c>
      <c r="R16" s="140"/>
    </row>
    <row r="17" spans="1:25" x14ac:dyDescent="0.3">
      <c r="A17" s="405" t="s">
        <v>215</v>
      </c>
      <c r="B17" s="405"/>
      <c r="C17" s="406" t="s">
        <v>243</v>
      </c>
      <c r="D17" s="406"/>
      <c r="E17" s="406"/>
      <c r="F17" s="406"/>
      <c r="G17" s="406"/>
      <c r="H17" s="406"/>
      <c r="I17" s="406"/>
      <c r="J17" s="406"/>
      <c r="K17" s="406"/>
    </row>
    <row r="18" spans="1:25" x14ac:dyDescent="0.3">
      <c r="A18" s="405"/>
      <c r="B18" s="405"/>
      <c r="C18" s="141" t="s">
        <v>218</v>
      </c>
      <c r="D18" s="141" t="s">
        <v>219</v>
      </c>
      <c r="E18" s="141" t="s">
        <v>220</v>
      </c>
      <c r="F18" s="141" t="s">
        <v>221</v>
      </c>
      <c r="G18" s="141" t="s">
        <v>222</v>
      </c>
      <c r="H18" s="141" t="s">
        <v>223</v>
      </c>
      <c r="I18" s="141" t="s">
        <v>224</v>
      </c>
      <c r="J18" s="141" t="s">
        <v>225</v>
      </c>
      <c r="K18" s="141" t="s">
        <v>226</v>
      </c>
      <c r="M18" s="157" t="s">
        <v>244</v>
      </c>
      <c r="N18" s="157" t="s">
        <v>245</v>
      </c>
      <c r="O18" s="157" t="s">
        <v>215</v>
      </c>
      <c r="P18" s="157" t="s">
        <v>228</v>
      </c>
      <c r="Q18" s="157" t="s">
        <v>246</v>
      </c>
      <c r="R18" s="157" t="s">
        <v>274</v>
      </c>
      <c r="S18" s="157" t="s">
        <v>247</v>
      </c>
    </row>
    <row r="19" spans="1:25" x14ac:dyDescent="0.3">
      <c r="A19" s="145" t="s">
        <v>227</v>
      </c>
      <c r="B19" s="141" t="s">
        <v>218</v>
      </c>
      <c r="C19" s="158" t="s">
        <v>248</v>
      </c>
      <c r="D19" s="158" t="s">
        <v>248</v>
      </c>
      <c r="E19" s="158" t="s">
        <v>248</v>
      </c>
      <c r="F19" s="158" t="s">
        <v>248</v>
      </c>
      <c r="G19" s="158" t="s">
        <v>248</v>
      </c>
      <c r="H19" s="158" t="s">
        <v>248</v>
      </c>
      <c r="I19" s="158" t="s">
        <v>248</v>
      </c>
      <c r="J19" s="158" t="s">
        <v>248</v>
      </c>
      <c r="K19" s="158" t="s">
        <v>248</v>
      </c>
      <c r="M19" s="150">
        <v>1</v>
      </c>
      <c r="N19" s="159">
        <v>9.5</v>
      </c>
      <c r="O19" s="150" t="s">
        <v>221</v>
      </c>
      <c r="P19" s="150" t="s">
        <v>222</v>
      </c>
      <c r="Q19" s="160" t="s">
        <v>249</v>
      </c>
      <c r="R19" s="160" t="s">
        <v>275</v>
      </c>
      <c r="S19" s="161" t="s">
        <v>276</v>
      </c>
    </row>
    <row r="20" spans="1:25" x14ac:dyDescent="0.3">
      <c r="A20" s="145" t="s">
        <v>230</v>
      </c>
      <c r="B20" s="141" t="s">
        <v>219</v>
      </c>
      <c r="C20" s="158" t="s">
        <v>248</v>
      </c>
      <c r="D20" s="158" t="s">
        <v>248</v>
      </c>
      <c r="E20" s="162">
        <v>0.59999999999999964</v>
      </c>
      <c r="F20" s="162">
        <v>-0.30000000000000071</v>
      </c>
      <c r="G20" s="162">
        <v>-1</v>
      </c>
      <c r="H20" s="162">
        <v>3.2999999999999989</v>
      </c>
      <c r="I20" s="162">
        <v>5.1999999999999984</v>
      </c>
      <c r="J20" s="162">
        <v>2.5999999999999996</v>
      </c>
      <c r="K20" s="162">
        <v>2.7999999999999989</v>
      </c>
      <c r="L20" s="143"/>
      <c r="M20" s="150">
        <v>2</v>
      </c>
      <c r="N20" s="159">
        <v>8.3000000000000007</v>
      </c>
      <c r="O20" s="150" t="s">
        <v>220</v>
      </c>
      <c r="P20" s="150" t="s">
        <v>221</v>
      </c>
      <c r="Q20" s="160" t="s">
        <v>251</v>
      </c>
      <c r="R20" s="160" t="s">
        <v>277</v>
      </c>
      <c r="S20" s="161" t="s">
        <v>278</v>
      </c>
    </row>
    <row r="21" spans="1:25" ht="28" x14ac:dyDescent="0.3">
      <c r="A21" s="145" t="s">
        <v>231</v>
      </c>
      <c r="B21" s="141" t="s">
        <v>220</v>
      </c>
      <c r="C21" s="158" t="s">
        <v>248</v>
      </c>
      <c r="D21" s="151">
        <v>0.59999999999999964</v>
      </c>
      <c r="E21" s="158" t="s">
        <v>248</v>
      </c>
      <c r="F21" s="162">
        <v>8.3000000000000007</v>
      </c>
      <c r="G21" s="162">
        <v>7.6</v>
      </c>
      <c r="H21" s="162">
        <v>1.2000000000000011</v>
      </c>
      <c r="I21" s="162">
        <v>0.10000000000000142</v>
      </c>
      <c r="J21" s="162">
        <v>3.8</v>
      </c>
      <c r="K21" s="162">
        <v>4.4000000000000004</v>
      </c>
      <c r="L21" s="143"/>
      <c r="M21" s="150">
        <v>3</v>
      </c>
      <c r="N21" s="159">
        <v>7.6</v>
      </c>
      <c r="O21" s="150" t="s">
        <v>220</v>
      </c>
      <c r="P21" s="150" t="s">
        <v>222</v>
      </c>
      <c r="Q21" s="161"/>
      <c r="R21" s="161"/>
      <c r="S21" s="171" t="s">
        <v>279</v>
      </c>
    </row>
    <row r="22" spans="1:25" ht="28" x14ac:dyDescent="0.3">
      <c r="A22" s="145" t="s">
        <v>232</v>
      </c>
      <c r="B22" s="141" t="s">
        <v>221</v>
      </c>
      <c r="C22" s="158" t="s">
        <v>248</v>
      </c>
      <c r="D22" s="151">
        <v>-0.30000000000000071</v>
      </c>
      <c r="E22" s="163">
        <v>8.3000000000000007</v>
      </c>
      <c r="F22" s="158" t="s">
        <v>248</v>
      </c>
      <c r="G22" s="162">
        <v>9.5</v>
      </c>
      <c r="H22" s="162">
        <v>3.5000000000000009</v>
      </c>
      <c r="I22" s="162">
        <v>2.7000000000000011</v>
      </c>
      <c r="J22" s="162">
        <v>5.6</v>
      </c>
      <c r="K22" s="162">
        <v>5.8</v>
      </c>
      <c r="L22" s="143"/>
      <c r="M22" s="150">
        <v>4</v>
      </c>
      <c r="N22" s="159">
        <v>6.7</v>
      </c>
      <c r="O22" s="150" t="s">
        <v>225</v>
      </c>
      <c r="P22" s="150" t="s">
        <v>226</v>
      </c>
      <c r="Q22" s="164" t="s">
        <v>254</v>
      </c>
      <c r="R22" s="164" t="s">
        <v>280</v>
      </c>
      <c r="S22" s="161" t="s">
        <v>281</v>
      </c>
    </row>
    <row r="23" spans="1:25" x14ac:dyDescent="0.3">
      <c r="A23" s="145" t="s">
        <v>233</v>
      </c>
      <c r="B23" s="141" t="s">
        <v>222</v>
      </c>
      <c r="C23" s="158" t="s">
        <v>248</v>
      </c>
      <c r="D23" s="151">
        <v>-1</v>
      </c>
      <c r="E23" s="151">
        <v>7.6</v>
      </c>
      <c r="F23" s="165">
        <v>9.5</v>
      </c>
      <c r="G23" s="158" t="s">
        <v>248</v>
      </c>
      <c r="H23" s="162">
        <v>3</v>
      </c>
      <c r="I23" s="162">
        <v>1.9000000000000004</v>
      </c>
      <c r="J23" s="162">
        <v>4.9999999999999991</v>
      </c>
      <c r="K23" s="162">
        <v>4.6999999999999993</v>
      </c>
      <c r="L23" s="143"/>
      <c r="M23" s="150">
        <v>5</v>
      </c>
      <c r="N23" s="159">
        <v>5.8</v>
      </c>
      <c r="O23" s="150" t="s">
        <v>221</v>
      </c>
      <c r="P23" s="150" t="s">
        <v>226</v>
      </c>
      <c r="Q23" s="161"/>
      <c r="R23" s="161"/>
      <c r="S23" s="161" t="s">
        <v>255</v>
      </c>
    </row>
    <row r="24" spans="1:25" ht="42" x14ac:dyDescent="0.3">
      <c r="A24" s="145" t="s">
        <v>234</v>
      </c>
      <c r="B24" s="141" t="s">
        <v>223</v>
      </c>
      <c r="C24" s="158" t="s">
        <v>248</v>
      </c>
      <c r="D24" s="151">
        <v>3.2999999999999989</v>
      </c>
      <c r="E24" s="151">
        <v>1.2000000000000011</v>
      </c>
      <c r="F24" s="151">
        <v>3.5000000000000009</v>
      </c>
      <c r="G24" s="166">
        <v>3</v>
      </c>
      <c r="H24" s="158" t="s">
        <v>248</v>
      </c>
      <c r="I24" s="162">
        <v>5.8</v>
      </c>
      <c r="J24" s="162">
        <v>0.60000000000000053</v>
      </c>
      <c r="K24" s="162">
        <v>0.10000000000000142</v>
      </c>
      <c r="L24" s="143"/>
      <c r="M24" s="150">
        <v>6</v>
      </c>
      <c r="N24" s="159">
        <v>5.8</v>
      </c>
      <c r="O24" s="150" t="s">
        <v>223</v>
      </c>
      <c r="P24" s="150" t="s">
        <v>224</v>
      </c>
      <c r="Q24" s="164" t="s">
        <v>256</v>
      </c>
      <c r="R24" s="164" t="s">
        <v>282</v>
      </c>
      <c r="S24" s="161" t="s">
        <v>283</v>
      </c>
    </row>
    <row r="25" spans="1:25" x14ac:dyDescent="0.3">
      <c r="A25" s="145" t="s">
        <v>235</v>
      </c>
      <c r="B25" s="141" t="s">
        <v>224</v>
      </c>
      <c r="C25" s="158" t="s">
        <v>248</v>
      </c>
      <c r="D25" s="151">
        <v>5.1999999999999984</v>
      </c>
      <c r="E25" s="151">
        <v>0.10000000000000142</v>
      </c>
      <c r="F25" s="151">
        <v>2.7000000000000011</v>
      </c>
      <c r="G25" s="151">
        <v>1.9000000000000004</v>
      </c>
      <c r="H25" s="167">
        <v>5.8</v>
      </c>
      <c r="I25" s="158" t="s">
        <v>248</v>
      </c>
      <c r="J25" s="162">
        <v>0.59999999999999964</v>
      </c>
      <c r="K25" s="162">
        <v>1.2000000000000002</v>
      </c>
      <c r="L25" s="143"/>
      <c r="M25" s="150">
        <v>7</v>
      </c>
      <c r="N25" s="159">
        <v>5.6</v>
      </c>
      <c r="O25" s="150" t="s">
        <v>221</v>
      </c>
      <c r="P25" s="150" t="s">
        <v>225</v>
      </c>
      <c r="Q25" s="178"/>
      <c r="R25" s="178"/>
      <c r="S25" s="161" t="s">
        <v>255</v>
      </c>
    </row>
    <row r="26" spans="1:25" ht="42" x14ac:dyDescent="0.3">
      <c r="A26" s="145" t="s">
        <v>236</v>
      </c>
      <c r="B26" s="141" t="s">
        <v>225</v>
      </c>
      <c r="C26" s="158" t="s">
        <v>248</v>
      </c>
      <c r="D26" s="162">
        <v>2.5999999999999996</v>
      </c>
      <c r="E26" s="151">
        <v>3.8</v>
      </c>
      <c r="F26" s="151">
        <v>5.6</v>
      </c>
      <c r="G26" s="151">
        <v>4.9999999999999991</v>
      </c>
      <c r="H26" s="151">
        <v>0.60000000000000053</v>
      </c>
      <c r="I26" s="168">
        <v>0.59999999999999964</v>
      </c>
      <c r="J26" s="158" t="s">
        <v>248</v>
      </c>
      <c r="K26" s="162">
        <v>6.7</v>
      </c>
      <c r="L26" s="143"/>
      <c r="M26" s="150">
        <v>8</v>
      </c>
      <c r="N26" s="159">
        <v>5.2</v>
      </c>
      <c r="O26" s="150" t="s">
        <v>219</v>
      </c>
      <c r="P26" s="150" t="s">
        <v>224</v>
      </c>
      <c r="Q26" s="164" t="s">
        <v>257</v>
      </c>
      <c r="R26" s="164" t="s">
        <v>284</v>
      </c>
      <c r="S26" s="161" t="s">
        <v>285</v>
      </c>
    </row>
    <row r="27" spans="1:25" ht="42" x14ac:dyDescent="0.3">
      <c r="A27" s="145" t="s">
        <v>237</v>
      </c>
      <c r="B27" s="141" t="s">
        <v>226</v>
      </c>
      <c r="C27" s="158" t="s">
        <v>248</v>
      </c>
      <c r="D27" s="151">
        <v>2.7999999999999989</v>
      </c>
      <c r="E27" s="151">
        <v>4.4000000000000004</v>
      </c>
      <c r="F27" s="151">
        <v>5.8</v>
      </c>
      <c r="G27" s="151">
        <v>4.6999999999999993</v>
      </c>
      <c r="H27" s="151">
        <v>0.10000000000000142</v>
      </c>
      <c r="I27" s="169">
        <v>1.2000000000000002</v>
      </c>
      <c r="J27" s="170">
        <v>6.7</v>
      </c>
      <c r="K27" s="158" t="s">
        <v>248</v>
      </c>
      <c r="L27" s="143"/>
      <c r="M27" s="150">
        <v>9</v>
      </c>
      <c r="N27" s="159">
        <v>5</v>
      </c>
      <c r="O27" s="150" t="s">
        <v>222</v>
      </c>
      <c r="P27" s="150" t="s">
        <v>225</v>
      </c>
      <c r="Q27" s="164" t="s">
        <v>286</v>
      </c>
      <c r="R27" s="164" t="s">
        <v>287</v>
      </c>
      <c r="S27" s="171" t="s">
        <v>288</v>
      </c>
      <c r="T27" s="172"/>
      <c r="U27" s="156"/>
      <c r="V27" s="156"/>
      <c r="W27" s="156"/>
      <c r="X27" s="156"/>
      <c r="Y27" s="143"/>
    </row>
    <row r="28" spans="1:25" s="143" customFormat="1" x14ac:dyDescent="0.3">
      <c r="M28" s="150">
        <v>10</v>
      </c>
      <c r="N28" s="159">
        <v>4.7</v>
      </c>
      <c r="O28" s="150" t="s">
        <v>222</v>
      </c>
      <c r="P28" s="150" t="s">
        <v>226</v>
      </c>
      <c r="Q28" s="161"/>
      <c r="R28" s="161"/>
      <c r="S28" s="161" t="s">
        <v>289</v>
      </c>
      <c r="T28" s="155"/>
    </row>
    <row r="29" spans="1:25" s="143" customFormat="1" x14ac:dyDescent="0.3">
      <c r="M29" s="150">
        <v>11</v>
      </c>
      <c r="N29" s="159">
        <v>4.4000000000000004</v>
      </c>
      <c r="O29" s="150" t="s">
        <v>220</v>
      </c>
      <c r="P29" s="150" t="s">
        <v>226</v>
      </c>
      <c r="Q29" s="150"/>
      <c r="R29" s="150"/>
      <c r="S29" s="161" t="s">
        <v>290</v>
      </c>
      <c r="T29" s="155"/>
    </row>
    <row r="30" spans="1:25" s="143" customFormat="1" ht="28" x14ac:dyDescent="0.3">
      <c r="M30" s="150">
        <v>12</v>
      </c>
      <c r="N30" s="159">
        <v>3.8</v>
      </c>
      <c r="O30" s="150" t="s">
        <v>220</v>
      </c>
      <c r="P30" s="150" t="s">
        <v>225</v>
      </c>
      <c r="Q30" s="150"/>
      <c r="R30" s="150"/>
      <c r="S30" s="171" t="s">
        <v>291</v>
      </c>
      <c r="T30" s="155"/>
    </row>
    <row r="31" spans="1:25" s="143" customFormat="1" x14ac:dyDescent="0.3">
      <c r="M31" s="150">
        <v>13</v>
      </c>
      <c r="N31" s="159">
        <v>3.5</v>
      </c>
      <c r="O31" s="150" t="s">
        <v>221</v>
      </c>
      <c r="P31" s="150" t="s">
        <v>223</v>
      </c>
      <c r="Q31" s="150"/>
      <c r="R31" s="150"/>
      <c r="S31" s="161" t="s">
        <v>255</v>
      </c>
      <c r="T31" s="155"/>
    </row>
    <row r="32" spans="1:25" s="143" customFormat="1" x14ac:dyDescent="0.3">
      <c r="M32" s="150">
        <v>14</v>
      </c>
      <c r="N32" s="159">
        <v>3.3</v>
      </c>
      <c r="O32" s="150" t="s">
        <v>219</v>
      </c>
      <c r="P32" s="150" t="s">
        <v>223</v>
      </c>
      <c r="Q32" s="150"/>
      <c r="R32" s="150"/>
      <c r="S32" s="161" t="s">
        <v>292</v>
      </c>
      <c r="T32" s="155"/>
    </row>
    <row r="33" spans="13:20" s="143" customFormat="1" x14ac:dyDescent="0.3">
      <c r="M33" s="150">
        <v>15</v>
      </c>
      <c r="N33" s="159">
        <v>3</v>
      </c>
      <c r="O33" s="150" t="s">
        <v>222</v>
      </c>
      <c r="P33" s="150" t="s">
        <v>223</v>
      </c>
      <c r="Q33" s="150"/>
      <c r="R33" s="150"/>
      <c r="S33" s="161" t="s">
        <v>265</v>
      </c>
      <c r="T33" s="155"/>
    </row>
    <row r="34" spans="13:20" s="143" customFormat="1" ht="98" customHeight="1" x14ac:dyDescent="0.3">
      <c r="M34" s="150">
        <v>16</v>
      </c>
      <c r="N34" s="159">
        <v>2.8</v>
      </c>
      <c r="O34" s="150" t="s">
        <v>219</v>
      </c>
      <c r="P34" s="150" t="s">
        <v>226</v>
      </c>
      <c r="Q34" s="179" t="s">
        <v>293</v>
      </c>
      <c r="R34" s="180" t="s">
        <v>294</v>
      </c>
      <c r="S34" s="171" t="s">
        <v>295</v>
      </c>
      <c r="T34" s="155"/>
    </row>
    <row r="35" spans="13:20" s="143" customFormat="1" x14ac:dyDescent="0.3">
      <c r="M35" s="150">
        <v>17</v>
      </c>
      <c r="N35" s="159">
        <v>2.7</v>
      </c>
      <c r="O35" s="150" t="s">
        <v>221</v>
      </c>
      <c r="P35" s="150" t="s">
        <v>224</v>
      </c>
      <c r="Q35" s="173"/>
      <c r="R35" s="150"/>
      <c r="S35" s="161"/>
      <c r="T35" s="155"/>
    </row>
    <row r="36" spans="13:20" s="143" customFormat="1" x14ac:dyDescent="0.3">
      <c r="M36" s="150">
        <v>18</v>
      </c>
      <c r="N36" s="159">
        <v>2.6</v>
      </c>
      <c r="O36" s="150" t="s">
        <v>219</v>
      </c>
      <c r="P36" s="150" t="s">
        <v>225</v>
      </c>
      <c r="Q36" s="150"/>
      <c r="R36" s="150"/>
      <c r="S36" s="161"/>
      <c r="T36" s="155"/>
    </row>
    <row r="37" spans="13:20" s="143" customFormat="1" x14ac:dyDescent="0.3">
      <c r="M37" s="150">
        <v>19</v>
      </c>
      <c r="N37" s="159">
        <v>1.9</v>
      </c>
      <c r="O37" s="150" t="s">
        <v>222</v>
      </c>
      <c r="P37" s="150" t="s">
        <v>224</v>
      </c>
      <c r="Q37" s="150"/>
      <c r="R37" s="150"/>
      <c r="S37" s="161"/>
      <c r="T37" s="155"/>
    </row>
    <row r="38" spans="13:20" s="143" customFormat="1" x14ac:dyDescent="0.3">
      <c r="M38" s="150">
        <v>20</v>
      </c>
      <c r="N38" s="159">
        <v>1.2</v>
      </c>
      <c r="O38" s="150" t="s">
        <v>220</v>
      </c>
      <c r="P38" s="150" t="s">
        <v>223</v>
      </c>
      <c r="Q38" s="150"/>
      <c r="R38" s="150"/>
      <c r="S38" s="161"/>
      <c r="T38" s="155"/>
    </row>
    <row r="39" spans="13:20" s="143" customFormat="1" x14ac:dyDescent="0.3">
      <c r="M39" s="150">
        <v>21</v>
      </c>
      <c r="N39" s="159">
        <v>1.2</v>
      </c>
      <c r="O39" s="150" t="s">
        <v>224</v>
      </c>
      <c r="P39" s="150" t="s">
        <v>226</v>
      </c>
      <c r="Q39" s="150"/>
      <c r="R39" s="150"/>
      <c r="S39" s="161"/>
      <c r="T39" s="155"/>
    </row>
    <row r="40" spans="13:20" s="143" customFormat="1" x14ac:dyDescent="0.3">
      <c r="M40" s="150">
        <v>22</v>
      </c>
      <c r="N40" s="159">
        <v>0.6</v>
      </c>
      <c r="O40" s="150" t="s">
        <v>219</v>
      </c>
      <c r="P40" s="150" t="s">
        <v>220</v>
      </c>
      <c r="Q40" s="150"/>
      <c r="R40" s="150"/>
      <c r="S40" s="161"/>
      <c r="T40" s="155"/>
    </row>
    <row r="41" spans="13:20" s="143" customFormat="1" x14ac:dyDescent="0.3">
      <c r="M41" s="150">
        <v>23</v>
      </c>
      <c r="N41" s="159">
        <v>0.6</v>
      </c>
      <c r="O41" s="150" t="s">
        <v>223</v>
      </c>
      <c r="P41" s="150" t="s">
        <v>225</v>
      </c>
      <c r="Q41" s="150"/>
      <c r="R41" s="150"/>
      <c r="S41" s="161"/>
      <c r="T41" s="155"/>
    </row>
    <row r="42" spans="13:20" s="143" customFormat="1" x14ac:dyDescent="0.3">
      <c r="M42" s="150">
        <v>24</v>
      </c>
      <c r="N42" s="159">
        <v>0.6</v>
      </c>
      <c r="O42" s="150" t="s">
        <v>224</v>
      </c>
      <c r="P42" s="150" t="s">
        <v>225</v>
      </c>
      <c r="Q42" s="150"/>
      <c r="R42" s="150"/>
      <c r="S42" s="161"/>
      <c r="T42" s="155"/>
    </row>
    <row r="43" spans="13:20" s="143" customFormat="1" x14ac:dyDescent="0.3">
      <c r="M43" s="150">
        <v>25</v>
      </c>
      <c r="N43" s="159">
        <v>0.1</v>
      </c>
      <c r="O43" s="150" t="s">
        <v>220</v>
      </c>
      <c r="P43" s="150" t="s">
        <v>224</v>
      </c>
      <c r="Q43" s="150"/>
      <c r="R43" s="150"/>
      <c r="S43" s="161"/>
      <c r="T43" s="155"/>
    </row>
    <row r="44" spans="13:20" s="143" customFormat="1" x14ac:dyDescent="0.3">
      <c r="M44" s="150">
        <v>26</v>
      </c>
      <c r="N44" s="159">
        <v>0.1</v>
      </c>
      <c r="O44" s="150" t="s">
        <v>223</v>
      </c>
      <c r="P44" s="150" t="s">
        <v>226</v>
      </c>
      <c r="Q44" s="150"/>
      <c r="R44" s="150"/>
      <c r="S44" s="161"/>
      <c r="T44" s="155"/>
    </row>
    <row r="45" spans="13:20" s="143" customFormat="1" x14ac:dyDescent="0.3">
      <c r="M45" s="150">
        <v>27</v>
      </c>
      <c r="N45" s="159">
        <v>-0.3</v>
      </c>
      <c r="O45" s="150" t="s">
        <v>219</v>
      </c>
      <c r="P45" s="150" t="s">
        <v>221</v>
      </c>
      <c r="Q45" s="150"/>
      <c r="R45" s="150"/>
      <c r="S45" s="161"/>
      <c r="T45" s="155"/>
    </row>
    <row r="46" spans="13:20" s="143" customFormat="1" x14ac:dyDescent="0.3">
      <c r="M46" s="150">
        <v>28</v>
      </c>
      <c r="N46" s="159">
        <v>-1</v>
      </c>
      <c r="O46" s="150" t="s">
        <v>219</v>
      </c>
      <c r="P46" s="150" t="s">
        <v>222</v>
      </c>
      <c r="Q46" s="150"/>
      <c r="R46" s="150"/>
      <c r="S46" s="161"/>
      <c r="T46" s="155"/>
    </row>
    <row r="47" spans="13:20" s="143" customFormat="1" ht="26.5" customHeight="1" x14ac:dyDescent="0.3">
      <c r="M47" s="407" t="s">
        <v>296</v>
      </c>
      <c r="N47" s="408"/>
      <c r="O47" s="408"/>
      <c r="P47" s="408"/>
      <c r="Q47" s="408"/>
      <c r="R47" s="408"/>
      <c r="S47" s="408"/>
      <c r="T47" s="155"/>
    </row>
    <row r="48" spans="13:20" s="143" customFormat="1" ht="26.5" customHeight="1" x14ac:dyDescent="0.3">
      <c r="Q48" s="139"/>
      <c r="R48" s="139"/>
      <c r="S48" s="155"/>
      <c r="T48" s="155"/>
    </row>
    <row r="49" spans="12:31" s="143" customFormat="1" x14ac:dyDescent="0.3">
      <c r="M49" s="142" t="s">
        <v>268</v>
      </c>
      <c r="Q49" s="139"/>
      <c r="R49" s="139"/>
      <c r="S49" s="155"/>
      <c r="T49" s="155"/>
    </row>
    <row r="50" spans="12:31" s="143" customFormat="1" x14ac:dyDescent="0.3">
      <c r="M50" s="142" t="s">
        <v>297</v>
      </c>
      <c r="Q50" s="139"/>
      <c r="R50" s="139"/>
      <c r="S50" s="155"/>
      <c r="T50" s="155"/>
    </row>
    <row r="51" spans="12:31" s="143" customFormat="1" x14ac:dyDescent="0.3">
      <c r="Q51" s="139"/>
      <c r="R51" s="139"/>
      <c r="S51" s="155"/>
      <c r="T51" s="155"/>
    </row>
    <row r="52" spans="12:31" s="143" customFormat="1" x14ac:dyDescent="0.3">
      <c r="M52" s="181" t="s">
        <v>298</v>
      </c>
      <c r="Q52" s="139"/>
      <c r="R52" s="139"/>
      <c r="S52" s="155"/>
      <c r="T52" s="155"/>
    </row>
    <row r="53" spans="12:31" s="143" customFormat="1" x14ac:dyDescent="0.3">
      <c r="M53" s="141" t="s">
        <v>215</v>
      </c>
      <c r="N53" s="141" t="s">
        <v>228</v>
      </c>
      <c r="O53" s="141" t="s">
        <v>229</v>
      </c>
      <c r="P53" s="149"/>
      <c r="Q53" s="182"/>
      <c r="R53" s="182"/>
      <c r="S53" s="182"/>
      <c r="T53" s="155"/>
    </row>
    <row r="54" spans="12:31" s="143" customFormat="1" x14ac:dyDescent="0.3">
      <c r="L54" s="139"/>
      <c r="M54" s="150" t="s">
        <v>218</v>
      </c>
      <c r="N54" s="151" t="s">
        <v>220</v>
      </c>
      <c r="O54" s="151">
        <v>6</v>
      </c>
      <c r="P54" s="139"/>
      <c r="Q54" s="139"/>
      <c r="R54" s="155"/>
      <c r="S54" s="155"/>
      <c r="T54" s="155"/>
    </row>
    <row r="55" spans="12:31" s="143" customFormat="1" x14ac:dyDescent="0.3">
      <c r="L55" s="139"/>
      <c r="M55" s="150" t="s">
        <v>220</v>
      </c>
      <c r="N55" s="151" t="s">
        <v>221</v>
      </c>
      <c r="O55" s="151">
        <v>3.7</v>
      </c>
      <c r="P55" s="139"/>
      <c r="Q55" s="139"/>
      <c r="R55" s="155"/>
      <c r="S55" s="155"/>
      <c r="T55" s="155"/>
    </row>
    <row r="56" spans="12:31" s="143" customFormat="1" x14ac:dyDescent="0.3">
      <c r="L56" s="139"/>
      <c r="M56" s="150" t="s">
        <v>221</v>
      </c>
      <c r="N56" s="151" t="s">
        <v>222</v>
      </c>
      <c r="O56" s="151">
        <v>1.7</v>
      </c>
      <c r="P56" s="139"/>
      <c r="Q56" s="139"/>
      <c r="R56" s="139"/>
      <c r="S56" s="139"/>
      <c r="T56" s="155"/>
    </row>
    <row r="57" spans="12:31" s="143" customFormat="1" x14ac:dyDescent="0.3">
      <c r="L57" s="139"/>
      <c r="M57" s="150" t="s">
        <v>222</v>
      </c>
      <c r="N57" s="151" t="s">
        <v>218</v>
      </c>
      <c r="O57" s="151">
        <v>5.2</v>
      </c>
      <c r="P57" s="139"/>
      <c r="Q57" s="139"/>
      <c r="R57" s="139"/>
      <c r="S57" s="139"/>
      <c r="T57" s="155"/>
    </row>
    <row r="58" spans="12:31" x14ac:dyDescent="0.3">
      <c r="M58" s="143"/>
      <c r="N58" s="152" t="s">
        <v>238</v>
      </c>
      <c r="O58" s="153">
        <f>SUM(O54:O57)</f>
        <v>16.599999999999998</v>
      </c>
      <c r="P58" s="154" t="s">
        <v>239</v>
      </c>
      <c r="T58" s="155"/>
      <c r="Y58" s="143"/>
      <c r="Z58" s="143"/>
      <c r="AA58" s="143"/>
      <c r="AB58" s="143"/>
      <c r="AC58" s="143"/>
      <c r="AD58" s="143"/>
      <c r="AE58" s="143"/>
    </row>
    <row r="59" spans="12:31" x14ac:dyDescent="0.3">
      <c r="M59" s="143"/>
      <c r="N59" s="143"/>
      <c r="O59" s="143"/>
      <c r="P59" s="143"/>
      <c r="Q59" s="143"/>
      <c r="R59" s="143"/>
      <c r="S59" s="143"/>
      <c r="T59" s="155"/>
      <c r="Y59" s="143"/>
      <c r="Z59" s="143"/>
      <c r="AA59" s="143"/>
      <c r="AB59" s="143"/>
      <c r="AC59" s="143"/>
      <c r="AD59" s="143"/>
      <c r="AE59" s="143"/>
    </row>
    <row r="60" spans="12:31" x14ac:dyDescent="0.3">
      <c r="M60" s="181" t="s">
        <v>299</v>
      </c>
      <c r="N60" s="143"/>
      <c r="O60" s="143"/>
      <c r="P60" s="143"/>
      <c r="T60" s="155"/>
      <c r="Y60" s="143"/>
      <c r="Z60" s="143"/>
      <c r="AA60" s="143"/>
      <c r="AB60" s="143"/>
      <c r="AC60" s="143"/>
      <c r="AD60" s="143"/>
      <c r="AE60" s="143"/>
    </row>
    <row r="61" spans="12:31" x14ac:dyDescent="0.3">
      <c r="M61" s="141" t="s">
        <v>215</v>
      </c>
      <c r="N61" s="141" t="s">
        <v>228</v>
      </c>
      <c r="O61" s="141" t="s">
        <v>229</v>
      </c>
      <c r="P61" s="149"/>
      <c r="T61" s="155"/>
      <c r="Y61" s="143"/>
      <c r="Z61" s="143"/>
      <c r="AA61" s="143"/>
      <c r="AB61" s="143"/>
      <c r="AC61" s="143"/>
      <c r="AD61" s="143"/>
      <c r="AE61" s="143"/>
    </row>
    <row r="62" spans="12:31" x14ac:dyDescent="0.3">
      <c r="M62" s="150" t="s">
        <v>218</v>
      </c>
      <c r="N62" s="151" t="s">
        <v>225</v>
      </c>
      <c r="O62" s="151">
        <v>4</v>
      </c>
      <c r="T62" s="155"/>
      <c r="Y62" s="143"/>
      <c r="Z62" s="143"/>
      <c r="AA62" s="143"/>
      <c r="AB62" s="143"/>
      <c r="AC62" s="143"/>
      <c r="AD62" s="143"/>
      <c r="AE62" s="143"/>
    </row>
    <row r="63" spans="12:31" x14ac:dyDescent="0.3">
      <c r="M63" s="150" t="s">
        <v>225</v>
      </c>
      <c r="N63" s="151" t="s">
        <v>226</v>
      </c>
      <c r="O63" s="151">
        <v>1.3</v>
      </c>
      <c r="T63" s="155"/>
      <c r="Y63" s="143"/>
      <c r="Z63" s="143"/>
      <c r="AA63" s="143"/>
      <c r="AB63" s="143"/>
      <c r="AC63" s="143"/>
      <c r="AD63" s="143"/>
      <c r="AE63" s="143"/>
    </row>
    <row r="64" spans="12:31" x14ac:dyDescent="0.3">
      <c r="M64" s="150" t="s">
        <v>226</v>
      </c>
      <c r="N64" s="151" t="s">
        <v>219</v>
      </c>
      <c r="O64" s="151">
        <v>9.3000000000000007</v>
      </c>
      <c r="T64" s="155"/>
      <c r="Y64" s="143"/>
      <c r="Z64" s="143"/>
      <c r="AA64" s="143"/>
      <c r="AB64" s="143"/>
      <c r="AC64" s="143"/>
      <c r="AD64" s="143"/>
      <c r="AE64" s="143"/>
    </row>
    <row r="65" spans="13:31" x14ac:dyDescent="0.3">
      <c r="M65" s="150" t="s">
        <v>219</v>
      </c>
      <c r="N65" s="151" t="s">
        <v>224</v>
      </c>
      <c r="O65" s="151">
        <v>6.7</v>
      </c>
      <c r="T65" s="155"/>
      <c r="Y65" s="143"/>
      <c r="Z65" s="143"/>
      <c r="AA65" s="143"/>
      <c r="AB65" s="143"/>
      <c r="AC65" s="143"/>
      <c r="AD65" s="143"/>
      <c r="AE65" s="143"/>
    </row>
    <row r="66" spans="13:31" x14ac:dyDescent="0.3">
      <c r="M66" s="150" t="s">
        <v>224</v>
      </c>
      <c r="N66" s="151" t="s">
        <v>223</v>
      </c>
      <c r="O66" s="151">
        <v>2.2999999999999998</v>
      </c>
      <c r="T66" s="155"/>
      <c r="Y66" s="143"/>
      <c r="Z66" s="143"/>
      <c r="AA66" s="143"/>
      <c r="AB66" s="143"/>
      <c r="AC66" s="143"/>
      <c r="AD66" s="143"/>
      <c r="AE66" s="143"/>
    </row>
    <row r="67" spans="13:31" x14ac:dyDescent="0.3">
      <c r="M67" s="150" t="s">
        <v>223</v>
      </c>
      <c r="N67" s="151" t="s">
        <v>218</v>
      </c>
      <c r="O67" s="151">
        <v>4.3</v>
      </c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</row>
    <row r="68" spans="13:31" x14ac:dyDescent="0.3">
      <c r="M68" s="143"/>
      <c r="N68" s="152" t="s">
        <v>238</v>
      </c>
      <c r="O68" s="153">
        <f>SUM(O62:O67)</f>
        <v>27.9</v>
      </c>
      <c r="P68" s="154" t="s">
        <v>239</v>
      </c>
    </row>
    <row r="70" spans="13:31" ht="42" x14ac:dyDescent="0.3">
      <c r="M70" s="141" t="s">
        <v>67</v>
      </c>
      <c r="N70" s="183" t="s">
        <v>300</v>
      </c>
      <c r="O70" s="141" t="s">
        <v>229</v>
      </c>
    </row>
    <row r="71" spans="13:31" x14ac:dyDescent="0.3">
      <c r="M71" s="150" t="s">
        <v>301</v>
      </c>
      <c r="N71" s="150">
        <v>450</v>
      </c>
      <c r="O71" s="150">
        <v>16.600000000000001</v>
      </c>
    </row>
    <row r="72" spans="13:31" x14ac:dyDescent="0.3">
      <c r="M72" s="150" t="s">
        <v>302</v>
      </c>
      <c r="N72" s="150">
        <v>600</v>
      </c>
      <c r="O72" s="150">
        <v>27.9</v>
      </c>
    </row>
  </sheetData>
  <mergeCells count="6">
    <mergeCell ref="M47:S47"/>
    <mergeCell ref="A1:K1"/>
    <mergeCell ref="A4:B5"/>
    <mergeCell ref="C4:K4"/>
    <mergeCell ref="A17:B18"/>
    <mergeCell ref="C17:K17"/>
  </mergeCells>
  <conditionalFormatting sqref="D20:K2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headerFooter>
    <oddHeader>&amp;C&amp;"Calibri"&amp;10&amp;K000000 OFFICIAL (CLOSED) \ NON-SENSITIVE&amp;1#_x000D_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72D9-51BB-4D71-92F2-DD299BDBBAA1}">
  <dimension ref="A1:E35"/>
  <sheetViews>
    <sheetView showGridLines="0" zoomScale="46" zoomScaleNormal="46" workbookViewId="0">
      <selection activeCell="I1" sqref="I1"/>
    </sheetView>
  </sheetViews>
  <sheetFormatPr defaultColWidth="9.1796875" defaultRowHeight="14.5" x14ac:dyDescent="0.35"/>
  <cols>
    <col min="1" max="1" width="38.81640625" style="196" customWidth="1"/>
    <col min="2" max="2" width="32.54296875" style="196" customWidth="1"/>
    <col min="3" max="3" width="14.1796875" style="196" bestFit="1" customWidth="1"/>
    <col min="4" max="5" width="9.1796875" style="196"/>
    <col min="6" max="6" width="4" style="196" customWidth="1"/>
    <col min="7" max="16384" width="9.1796875" style="196"/>
  </cols>
  <sheetData>
    <row r="1" spans="1:3" ht="20.5" customHeight="1" x14ac:dyDescent="0.35">
      <c r="A1" s="184" t="s">
        <v>303</v>
      </c>
      <c r="B1" s="184" t="s">
        <v>304</v>
      </c>
      <c r="C1" s="184" t="s">
        <v>305</v>
      </c>
    </row>
    <row r="2" spans="1:3" ht="15.5" x14ac:dyDescent="0.35">
      <c r="A2" s="184" t="s">
        <v>306</v>
      </c>
      <c r="B2" s="185">
        <v>800</v>
      </c>
      <c r="C2" s="186">
        <v>25</v>
      </c>
    </row>
    <row r="3" spans="1:3" ht="15.5" x14ac:dyDescent="0.35">
      <c r="A3" s="184" t="s">
        <v>307</v>
      </c>
      <c r="B3" s="185">
        <v>400</v>
      </c>
      <c r="C3" s="186">
        <v>20</v>
      </c>
    </row>
    <row r="4" spans="1:3" ht="15.5" x14ac:dyDescent="0.35">
      <c r="A4" s="184" t="s">
        <v>308</v>
      </c>
      <c r="B4" s="185">
        <v>100</v>
      </c>
      <c r="C4" s="186">
        <v>30</v>
      </c>
    </row>
    <row r="5" spans="1:3" ht="15.5" x14ac:dyDescent="0.35">
      <c r="A5" s="184" t="s">
        <v>309</v>
      </c>
      <c r="B5" s="185">
        <v>0</v>
      </c>
      <c r="C5" s="186">
        <v>20</v>
      </c>
    </row>
    <row r="6" spans="1:3" ht="15.5" x14ac:dyDescent="0.35">
      <c r="A6" s="184" t="s">
        <v>310</v>
      </c>
      <c r="B6" s="185">
        <v>0</v>
      </c>
      <c r="C6" s="186">
        <v>15</v>
      </c>
    </row>
    <row r="7" spans="1:3" ht="15.5" x14ac:dyDescent="0.35">
      <c r="A7" s="184" t="s">
        <v>311</v>
      </c>
      <c r="B7" s="185">
        <v>0</v>
      </c>
      <c r="C7" s="186">
        <v>20</v>
      </c>
    </row>
    <row r="8" spans="1:3" ht="15.5" x14ac:dyDescent="0.35">
      <c r="A8" s="184" t="s">
        <v>312</v>
      </c>
      <c r="B8" s="185">
        <v>0</v>
      </c>
      <c r="C8" s="186">
        <v>15</v>
      </c>
    </row>
    <row r="9" spans="1:3" ht="15.5" x14ac:dyDescent="0.35">
      <c r="A9" s="184" t="s">
        <v>313</v>
      </c>
      <c r="B9" s="185">
        <v>300</v>
      </c>
      <c r="C9" s="186">
        <v>20</v>
      </c>
    </row>
    <row r="10" spans="1:3" ht="15.5" x14ac:dyDescent="0.35">
      <c r="A10" s="184" t="s">
        <v>314</v>
      </c>
      <c r="B10" s="185">
        <v>200</v>
      </c>
      <c r="C10" s="186">
        <v>25</v>
      </c>
    </row>
    <row r="11" spans="1:3" ht="15.5" x14ac:dyDescent="0.35">
      <c r="A11" s="184" t="s">
        <v>315</v>
      </c>
      <c r="B11" s="185">
        <v>300</v>
      </c>
      <c r="C11" s="186">
        <v>30</v>
      </c>
    </row>
    <row r="12" spans="1:3" ht="15.5" x14ac:dyDescent="0.35">
      <c r="A12" s="184" t="s">
        <v>316</v>
      </c>
      <c r="B12" s="185">
        <v>0</v>
      </c>
      <c r="C12" s="186">
        <v>20</v>
      </c>
    </row>
    <row r="13" spans="1:3" ht="15.5" x14ac:dyDescent="0.35">
      <c r="A13" s="184" t="s">
        <v>317</v>
      </c>
      <c r="B13" s="185">
        <v>100</v>
      </c>
      <c r="C13" s="186">
        <v>50</v>
      </c>
    </row>
    <row r="14" spans="1:3" ht="15.5" x14ac:dyDescent="0.35">
      <c r="A14" s="184" t="s">
        <v>318</v>
      </c>
      <c r="B14" s="185">
        <v>600</v>
      </c>
      <c r="C14" s="186">
        <v>30</v>
      </c>
    </row>
    <row r="15" spans="1:3" ht="15.5" x14ac:dyDescent="0.35">
      <c r="A15" s="184" t="s">
        <v>319</v>
      </c>
      <c r="B15" s="185">
        <v>300</v>
      </c>
      <c r="C15" s="186">
        <v>20</v>
      </c>
    </row>
    <row r="18" spans="1:5" ht="18.5" x14ac:dyDescent="0.45">
      <c r="B18" s="187" t="s">
        <v>320</v>
      </c>
      <c r="C18" s="188">
        <f>SUMPRODUCT(B2:B15,C2:C15)</f>
        <v>80000</v>
      </c>
    </row>
    <row r="21" spans="1:5" ht="18.5" x14ac:dyDescent="0.45">
      <c r="A21" s="189" t="s">
        <v>321</v>
      </c>
      <c r="B21" s="190" t="s">
        <v>322</v>
      </c>
      <c r="C21" s="190" t="s">
        <v>323</v>
      </c>
      <c r="D21" s="190" t="s">
        <v>324</v>
      </c>
      <c r="E21" s="190" t="s">
        <v>325</v>
      </c>
    </row>
    <row r="22" spans="1:5" ht="18.5" x14ac:dyDescent="0.35">
      <c r="A22" s="191" t="s">
        <v>326</v>
      </c>
      <c r="B22" s="191" t="s">
        <v>327</v>
      </c>
      <c r="C22" s="192">
        <f>B2+B3</f>
        <v>1200</v>
      </c>
      <c r="D22" s="192" t="s">
        <v>328</v>
      </c>
      <c r="E22" s="192">
        <v>1200</v>
      </c>
    </row>
    <row r="23" spans="1:5" ht="18.5" x14ac:dyDescent="0.35">
      <c r="A23" s="191" t="s">
        <v>329</v>
      </c>
      <c r="B23" s="191" t="s">
        <v>330</v>
      </c>
      <c r="C23" s="192">
        <f>B9+B10+B11</f>
        <v>800</v>
      </c>
      <c r="D23" s="192" t="s">
        <v>328</v>
      </c>
      <c r="E23" s="192">
        <v>800</v>
      </c>
    </row>
    <row r="24" spans="1:5" ht="17" customHeight="1" x14ac:dyDescent="0.35">
      <c r="A24" s="191" t="s">
        <v>331</v>
      </c>
      <c r="B24" s="191" t="s">
        <v>332</v>
      </c>
      <c r="C24" s="192">
        <f>B13+B14+B15</f>
        <v>1000</v>
      </c>
      <c r="D24" s="192" t="s">
        <v>328</v>
      </c>
      <c r="E24" s="192">
        <v>1000</v>
      </c>
    </row>
    <row r="25" spans="1:5" ht="19" customHeight="1" x14ac:dyDescent="0.35">
      <c r="A25" s="191" t="s">
        <v>333</v>
      </c>
      <c r="B25" s="193" t="s">
        <v>334</v>
      </c>
      <c r="C25" s="192">
        <f>B4-B13</f>
        <v>0</v>
      </c>
      <c r="D25" s="192" t="s">
        <v>328</v>
      </c>
      <c r="E25" s="192">
        <v>0</v>
      </c>
    </row>
    <row r="26" spans="1:5" ht="17.5" customHeight="1" x14ac:dyDescent="0.35">
      <c r="A26" s="191" t="s">
        <v>335</v>
      </c>
      <c r="B26" s="193" t="s">
        <v>336</v>
      </c>
      <c r="C26" s="192">
        <f>B5+B6-B12-B14</f>
        <v>-600</v>
      </c>
      <c r="D26" s="192" t="s">
        <v>328</v>
      </c>
      <c r="E26" s="192">
        <v>-600</v>
      </c>
    </row>
    <row r="27" spans="1:5" ht="20" customHeight="1" x14ac:dyDescent="0.45">
      <c r="A27" s="191" t="s">
        <v>337</v>
      </c>
      <c r="B27" s="194" t="s">
        <v>338</v>
      </c>
      <c r="C27" s="192">
        <f>B7+B8-B2</f>
        <v>-800</v>
      </c>
      <c r="D27" s="192" t="s">
        <v>328</v>
      </c>
      <c r="E27" s="192">
        <v>-800</v>
      </c>
    </row>
    <row r="28" spans="1:5" ht="20.5" customHeight="1" x14ac:dyDescent="0.45">
      <c r="A28" s="191" t="s">
        <v>339</v>
      </c>
      <c r="B28" s="194" t="s">
        <v>340</v>
      </c>
      <c r="C28" s="192">
        <f>-B9</f>
        <v>-300</v>
      </c>
      <c r="D28" s="192" t="s">
        <v>328</v>
      </c>
      <c r="E28" s="192">
        <v>-300</v>
      </c>
    </row>
    <row r="29" spans="1:5" ht="18.5" x14ac:dyDescent="0.45">
      <c r="A29" s="191" t="s">
        <v>341</v>
      </c>
      <c r="B29" s="194" t="s">
        <v>342</v>
      </c>
      <c r="C29" s="192">
        <f>-B3-B4</f>
        <v>-500</v>
      </c>
      <c r="D29" s="192" t="s">
        <v>328</v>
      </c>
      <c r="E29" s="192">
        <v>-500</v>
      </c>
    </row>
    <row r="30" spans="1:5" ht="18.5" x14ac:dyDescent="0.45">
      <c r="A30" s="191" t="s">
        <v>343</v>
      </c>
      <c r="B30" s="194" t="s">
        <v>344</v>
      </c>
      <c r="C30" s="195">
        <f>B12-B5-B10-B15</f>
        <v>-500</v>
      </c>
      <c r="D30" s="192" t="s">
        <v>328</v>
      </c>
      <c r="E30" s="192">
        <v>-500</v>
      </c>
    </row>
    <row r="31" spans="1:5" ht="18.5" x14ac:dyDescent="0.45">
      <c r="A31" s="191" t="s">
        <v>345</v>
      </c>
      <c r="B31" s="194" t="s">
        <v>346</v>
      </c>
      <c r="C31" s="192">
        <f>-B6-B8-B11</f>
        <v>-300</v>
      </c>
      <c r="D31" s="192" t="s">
        <v>328</v>
      </c>
      <c r="E31" s="192">
        <v>-300</v>
      </c>
    </row>
    <row r="33" spans="1:5" ht="18.5" x14ac:dyDescent="0.45">
      <c r="A33" s="189" t="s">
        <v>347</v>
      </c>
    </row>
    <row r="34" spans="1:5" ht="18.5" x14ac:dyDescent="0.45">
      <c r="A34" s="191" t="s">
        <v>348</v>
      </c>
      <c r="B34" s="194"/>
      <c r="C34" s="195"/>
      <c r="D34" s="195"/>
      <c r="E34" s="195"/>
    </row>
    <row r="35" spans="1:5" ht="18.5" x14ac:dyDescent="0.45">
      <c r="A35" s="191" t="s">
        <v>349</v>
      </c>
      <c r="B35" s="194"/>
      <c r="C35" s="195"/>
      <c r="D35" s="195"/>
      <c r="E35" s="195"/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7FE0-EB37-460A-BF13-FA570ECBBAA1}">
  <dimension ref="A1:M35"/>
  <sheetViews>
    <sheetView showGridLines="0" topLeftCell="A3" zoomScale="44" zoomScaleNormal="44" workbookViewId="0">
      <selection activeCell="S29" sqref="S29"/>
    </sheetView>
  </sheetViews>
  <sheetFormatPr defaultColWidth="9.1796875" defaultRowHeight="14.5" x14ac:dyDescent="0.35"/>
  <cols>
    <col min="1" max="1" width="38.81640625" style="196" customWidth="1"/>
    <col min="2" max="2" width="32.54296875" style="196" customWidth="1"/>
    <col min="3" max="3" width="14.1796875" style="196" bestFit="1" customWidth="1"/>
    <col min="4" max="5" width="9.1796875" style="196"/>
    <col min="6" max="6" width="4" style="196" customWidth="1"/>
    <col min="7" max="11" width="9.1796875" style="196"/>
    <col min="12" max="12" width="22.54296875" style="196" customWidth="1"/>
    <col min="13" max="13" width="28.81640625" style="196" customWidth="1"/>
    <col min="14" max="16384" width="9.1796875" style="196"/>
  </cols>
  <sheetData>
    <row r="1" spans="1:3" ht="20.5" customHeight="1" x14ac:dyDescent="0.35">
      <c r="A1" s="184" t="s">
        <v>303</v>
      </c>
      <c r="B1" s="184" t="s">
        <v>304</v>
      </c>
      <c r="C1" s="184" t="s">
        <v>305</v>
      </c>
    </row>
    <row r="2" spans="1:3" ht="15.5" x14ac:dyDescent="0.35">
      <c r="A2" s="184" t="s">
        <v>306</v>
      </c>
      <c r="B2" s="185">
        <v>800</v>
      </c>
      <c r="C2" s="186">
        <v>25</v>
      </c>
    </row>
    <row r="3" spans="1:3" ht="15.5" x14ac:dyDescent="0.35">
      <c r="A3" s="184" t="s">
        <v>307</v>
      </c>
      <c r="B3" s="185">
        <v>400</v>
      </c>
      <c r="C3" s="186">
        <v>20</v>
      </c>
    </row>
    <row r="4" spans="1:3" ht="15.5" x14ac:dyDescent="0.35">
      <c r="A4" s="184" t="s">
        <v>308</v>
      </c>
      <c r="B4" s="185">
        <v>100</v>
      </c>
      <c r="C4" s="186">
        <v>30</v>
      </c>
    </row>
    <row r="5" spans="1:3" ht="15.5" x14ac:dyDescent="0.35">
      <c r="A5" s="184" t="s">
        <v>309</v>
      </c>
      <c r="B5" s="185">
        <v>0</v>
      </c>
      <c r="C5" s="186">
        <v>20</v>
      </c>
    </row>
    <row r="6" spans="1:3" ht="15.5" x14ac:dyDescent="0.35">
      <c r="A6" s="184" t="s">
        <v>310</v>
      </c>
      <c r="B6" s="185">
        <v>100</v>
      </c>
      <c r="C6" s="186">
        <v>15</v>
      </c>
    </row>
    <row r="7" spans="1:3" ht="15.5" x14ac:dyDescent="0.35">
      <c r="A7" s="184" t="s">
        <v>311</v>
      </c>
      <c r="B7" s="185">
        <v>0</v>
      </c>
      <c r="C7" s="186">
        <v>20</v>
      </c>
    </row>
    <row r="8" spans="1:3" ht="15.5" x14ac:dyDescent="0.35">
      <c r="A8" s="184" t="s">
        <v>312</v>
      </c>
      <c r="B8" s="185">
        <v>0</v>
      </c>
      <c r="C8" s="186">
        <v>15</v>
      </c>
    </row>
    <row r="9" spans="1:3" ht="15.5" x14ac:dyDescent="0.35">
      <c r="A9" s="184" t="s">
        <v>313</v>
      </c>
      <c r="B9" s="185">
        <v>300</v>
      </c>
      <c r="C9" s="186">
        <v>20</v>
      </c>
    </row>
    <row r="10" spans="1:3" ht="15.5" x14ac:dyDescent="0.35">
      <c r="A10" s="184" t="s">
        <v>314</v>
      </c>
      <c r="B10" s="185">
        <v>300</v>
      </c>
      <c r="C10" s="186">
        <v>25</v>
      </c>
    </row>
    <row r="11" spans="1:3" ht="15.5" x14ac:dyDescent="0.35">
      <c r="A11" s="184" t="s">
        <v>315</v>
      </c>
      <c r="B11" s="185">
        <v>200</v>
      </c>
      <c r="C11" s="186">
        <v>30</v>
      </c>
    </row>
    <row r="12" spans="1:3" ht="15.5" x14ac:dyDescent="0.35">
      <c r="A12" s="184" t="s">
        <v>316</v>
      </c>
      <c r="B12" s="185">
        <v>200</v>
      </c>
      <c r="C12" s="186">
        <v>20</v>
      </c>
    </row>
    <row r="13" spans="1:3" ht="15.5" x14ac:dyDescent="0.35">
      <c r="A13" s="184" t="s">
        <v>317</v>
      </c>
      <c r="B13" s="185">
        <v>100</v>
      </c>
      <c r="C13" s="186">
        <v>50</v>
      </c>
    </row>
    <row r="14" spans="1:3" ht="15.5" x14ac:dyDescent="0.35">
      <c r="A14" s="184" t="s">
        <v>318</v>
      </c>
      <c r="B14" s="185">
        <v>500</v>
      </c>
      <c r="C14" s="186">
        <v>30</v>
      </c>
    </row>
    <row r="15" spans="1:3" ht="15.5" x14ac:dyDescent="0.35">
      <c r="A15" s="184" t="s">
        <v>319</v>
      </c>
      <c r="B15" s="185">
        <v>400</v>
      </c>
      <c r="C15" s="186">
        <v>20</v>
      </c>
    </row>
    <row r="18" spans="1:13" ht="18.5" x14ac:dyDescent="0.45">
      <c r="B18" s="187" t="s">
        <v>320</v>
      </c>
      <c r="C18" s="188">
        <f>SUMPRODUCT(B2:B15,C2:C15)</f>
        <v>84000</v>
      </c>
    </row>
    <row r="21" spans="1:13" ht="18.5" x14ac:dyDescent="0.45">
      <c r="A21" s="189" t="s">
        <v>321</v>
      </c>
      <c r="B21" s="190" t="s">
        <v>322</v>
      </c>
      <c r="C21" s="190" t="s">
        <v>323</v>
      </c>
      <c r="D21" s="190" t="s">
        <v>324</v>
      </c>
      <c r="E21" s="190" t="s">
        <v>325</v>
      </c>
    </row>
    <row r="22" spans="1:13" ht="21" x14ac:dyDescent="0.5">
      <c r="A22" s="191" t="s">
        <v>326</v>
      </c>
      <c r="B22" s="191" t="s">
        <v>327</v>
      </c>
      <c r="C22" s="192">
        <f>B2+B3</f>
        <v>1200</v>
      </c>
      <c r="D22" s="192" t="s">
        <v>328</v>
      </c>
      <c r="E22" s="192">
        <v>1200</v>
      </c>
      <c r="L22" s="197"/>
      <c r="M22" s="197"/>
    </row>
    <row r="23" spans="1:13" ht="21" x14ac:dyDescent="0.5">
      <c r="A23" s="191" t="s">
        <v>329</v>
      </c>
      <c r="B23" s="191" t="s">
        <v>330</v>
      </c>
      <c r="C23" s="192">
        <f>B9+B10+B11</f>
        <v>800</v>
      </c>
      <c r="D23" s="192" t="s">
        <v>328</v>
      </c>
      <c r="E23" s="192">
        <v>800</v>
      </c>
      <c r="L23" s="197"/>
      <c r="M23" s="197"/>
    </row>
    <row r="24" spans="1:13" ht="21.5" customHeight="1" x14ac:dyDescent="0.5">
      <c r="A24" s="191" t="s">
        <v>331</v>
      </c>
      <c r="B24" s="191" t="s">
        <v>332</v>
      </c>
      <c r="C24" s="192">
        <f>B13+B14+B15</f>
        <v>1000</v>
      </c>
      <c r="D24" s="192" t="s">
        <v>328</v>
      </c>
      <c r="E24" s="192">
        <v>1000</v>
      </c>
      <c r="L24" s="197"/>
      <c r="M24" s="197"/>
    </row>
    <row r="25" spans="1:13" ht="19" customHeight="1" x14ac:dyDescent="0.5">
      <c r="A25" s="191" t="s">
        <v>333</v>
      </c>
      <c r="B25" s="193" t="s">
        <v>334</v>
      </c>
      <c r="C25" s="192">
        <f>B4-B13</f>
        <v>0</v>
      </c>
      <c r="D25" s="192" t="s">
        <v>328</v>
      </c>
      <c r="E25" s="192">
        <v>0</v>
      </c>
      <c r="L25" s="197"/>
      <c r="M25" s="197"/>
    </row>
    <row r="26" spans="1:13" ht="20.5" customHeight="1" x14ac:dyDescent="0.5">
      <c r="A26" s="191" t="s">
        <v>335</v>
      </c>
      <c r="B26" s="193" t="s">
        <v>336</v>
      </c>
      <c r="C26" s="192">
        <f>B5+B6-B12-B14</f>
        <v>-600</v>
      </c>
      <c r="D26" s="192" t="s">
        <v>328</v>
      </c>
      <c r="E26" s="192">
        <v>-600</v>
      </c>
      <c r="L26" s="197"/>
      <c r="M26" s="197"/>
    </row>
    <row r="27" spans="1:13" ht="20" customHeight="1" x14ac:dyDescent="0.5">
      <c r="A27" s="191" t="s">
        <v>337</v>
      </c>
      <c r="B27" s="194" t="s">
        <v>338</v>
      </c>
      <c r="C27" s="192">
        <f>B7+B8-B2</f>
        <v>-800</v>
      </c>
      <c r="D27" s="192" t="s">
        <v>328</v>
      </c>
      <c r="E27" s="192">
        <v>-800</v>
      </c>
      <c r="L27" s="197"/>
      <c r="M27" s="197"/>
    </row>
    <row r="28" spans="1:13" ht="20.5" customHeight="1" x14ac:dyDescent="0.5">
      <c r="A28" s="191" t="s">
        <v>339</v>
      </c>
      <c r="B28" s="194" t="s">
        <v>340</v>
      </c>
      <c r="C28" s="192">
        <f>-B9</f>
        <v>-300</v>
      </c>
      <c r="D28" s="192" t="s">
        <v>328</v>
      </c>
      <c r="E28" s="192">
        <v>-300</v>
      </c>
      <c r="L28" s="197"/>
      <c r="M28" s="197"/>
    </row>
    <row r="29" spans="1:13" ht="21" x14ac:dyDescent="0.5">
      <c r="A29" s="191" t="s">
        <v>341</v>
      </c>
      <c r="B29" s="194" t="s">
        <v>342</v>
      </c>
      <c r="C29" s="192">
        <f>-B3-B4</f>
        <v>-500</v>
      </c>
      <c r="D29" s="192" t="s">
        <v>328</v>
      </c>
      <c r="E29" s="192">
        <v>-500</v>
      </c>
      <c r="L29" s="197"/>
      <c r="M29" s="197"/>
    </row>
    <row r="30" spans="1:13" ht="21" x14ac:dyDescent="0.5">
      <c r="A30" s="191" t="s">
        <v>343</v>
      </c>
      <c r="B30" s="194" t="s">
        <v>344</v>
      </c>
      <c r="C30" s="195">
        <f>B12-B5-B10-B15</f>
        <v>-500</v>
      </c>
      <c r="D30" s="192" t="s">
        <v>328</v>
      </c>
      <c r="E30" s="192">
        <v>-500</v>
      </c>
      <c r="L30" s="197"/>
      <c r="M30" s="197"/>
    </row>
    <row r="31" spans="1:13" ht="18.5" x14ac:dyDescent="0.45">
      <c r="A31" s="191" t="s">
        <v>345</v>
      </c>
      <c r="B31" s="194" t="s">
        <v>346</v>
      </c>
      <c r="C31" s="192">
        <f>-B6-B8-B11</f>
        <v>-300</v>
      </c>
      <c r="D31" s="192" t="s">
        <v>328</v>
      </c>
      <c r="E31" s="192">
        <v>-300</v>
      </c>
    </row>
    <row r="33" spans="1:5" ht="18.5" x14ac:dyDescent="0.45">
      <c r="A33" s="189" t="s">
        <v>347</v>
      </c>
    </row>
    <row r="34" spans="1:5" ht="18.5" x14ac:dyDescent="0.45">
      <c r="A34" s="191" t="s">
        <v>348</v>
      </c>
      <c r="B34" s="194" t="s">
        <v>350</v>
      </c>
      <c r="C34" s="195">
        <f>B14</f>
        <v>500</v>
      </c>
      <c r="D34" s="195" t="s">
        <v>351</v>
      </c>
      <c r="E34" s="195">
        <v>500</v>
      </c>
    </row>
    <row r="35" spans="1:5" ht="18.5" x14ac:dyDescent="0.45">
      <c r="A35" s="191" t="s">
        <v>349</v>
      </c>
      <c r="B35" s="194" t="s">
        <v>352</v>
      </c>
      <c r="C35" s="195">
        <f>B11</f>
        <v>200</v>
      </c>
      <c r="D35" s="195" t="s">
        <v>351</v>
      </c>
      <c r="E35" s="195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F136-194D-4BB0-A969-24CA28B5BAA1}">
  <dimension ref="A1:T35"/>
  <sheetViews>
    <sheetView showGridLines="0" topLeftCell="A15" zoomScale="50" zoomScaleNormal="50" workbookViewId="0">
      <selection activeCell="H29" sqref="H29"/>
    </sheetView>
  </sheetViews>
  <sheetFormatPr defaultColWidth="9.1796875" defaultRowHeight="14.5" x14ac:dyDescent="0.35"/>
  <cols>
    <col min="1" max="1" width="38.81640625" style="196" customWidth="1"/>
    <col min="2" max="2" width="32.54296875" style="196" customWidth="1"/>
    <col min="3" max="3" width="14.1796875" style="196" bestFit="1" customWidth="1"/>
    <col min="4" max="5" width="9.1796875" style="196"/>
    <col min="6" max="6" width="4" style="196" customWidth="1"/>
    <col min="7" max="15" width="9.1796875" style="196"/>
    <col min="16" max="16" width="22.1796875" style="196" customWidth="1"/>
    <col min="17" max="17" width="33.1796875" style="196" customWidth="1"/>
    <col min="18" max="18" width="9.1796875" style="196"/>
    <col min="19" max="19" width="23.7265625" style="196" customWidth="1"/>
    <col min="20" max="20" width="32.81640625" style="196" customWidth="1"/>
    <col min="21" max="16384" width="9.1796875" style="196"/>
  </cols>
  <sheetData>
    <row r="1" spans="1:15" ht="20.5" customHeight="1" x14ac:dyDescent="0.35">
      <c r="A1" s="184" t="s">
        <v>303</v>
      </c>
      <c r="B1" s="184" t="s">
        <v>304</v>
      </c>
      <c r="C1" s="184" t="s">
        <v>305</v>
      </c>
    </row>
    <row r="2" spans="1:15" ht="15.5" x14ac:dyDescent="0.35">
      <c r="A2" s="184" t="s">
        <v>306</v>
      </c>
      <c r="B2" s="185">
        <v>600</v>
      </c>
      <c r="C2" s="186">
        <v>25</v>
      </c>
    </row>
    <row r="3" spans="1:15" ht="15.5" x14ac:dyDescent="0.35">
      <c r="A3" s="184" t="s">
        <v>307</v>
      </c>
      <c r="B3" s="185">
        <v>400</v>
      </c>
      <c r="C3" s="186">
        <v>20</v>
      </c>
    </row>
    <row r="4" spans="1:15" ht="15.5" x14ac:dyDescent="0.35">
      <c r="A4" s="184" t="s">
        <v>308</v>
      </c>
      <c r="B4" s="185">
        <v>100</v>
      </c>
      <c r="C4" s="186">
        <v>30</v>
      </c>
    </row>
    <row r="5" spans="1:15" ht="15.5" x14ac:dyDescent="0.35">
      <c r="A5" s="184" t="s">
        <v>309</v>
      </c>
      <c r="B5" s="185">
        <v>0</v>
      </c>
      <c r="C5" s="186">
        <v>20</v>
      </c>
    </row>
    <row r="6" spans="1:15" ht="15.5" x14ac:dyDescent="0.35">
      <c r="A6" s="184" t="s">
        <v>310</v>
      </c>
      <c r="B6" s="185">
        <v>100</v>
      </c>
      <c r="C6" s="186">
        <v>15</v>
      </c>
    </row>
    <row r="7" spans="1:15" ht="15.5" x14ac:dyDescent="0.35">
      <c r="A7" s="184" t="s">
        <v>311</v>
      </c>
      <c r="B7" s="185">
        <v>0</v>
      </c>
      <c r="C7" s="186">
        <v>20</v>
      </c>
    </row>
    <row r="8" spans="1:15" ht="15.5" x14ac:dyDescent="0.35">
      <c r="A8" s="184" t="s">
        <v>312</v>
      </c>
      <c r="B8" s="185">
        <v>0</v>
      </c>
      <c r="C8" s="186">
        <v>15</v>
      </c>
    </row>
    <row r="9" spans="1:15" ht="15.5" x14ac:dyDescent="0.35">
      <c r="A9" s="184" t="s">
        <v>313</v>
      </c>
      <c r="B9" s="185">
        <v>300</v>
      </c>
      <c r="C9" s="186">
        <v>20</v>
      </c>
    </row>
    <row r="10" spans="1:15" ht="15.5" x14ac:dyDescent="0.35">
      <c r="A10" s="184" t="s">
        <v>314</v>
      </c>
      <c r="B10" s="185">
        <v>300</v>
      </c>
      <c r="C10" s="186">
        <v>25</v>
      </c>
    </row>
    <row r="11" spans="1:15" ht="21" x14ac:dyDescent="0.5">
      <c r="A11" s="184" t="s">
        <v>315</v>
      </c>
      <c r="B11" s="185">
        <v>200</v>
      </c>
      <c r="C11" s="186">
        <v>30</v>
      </c>
      <c r="O11" s="198"/>
    </row>
    <row r="12" spans="1:15" ht="18.5" x14ac:dyDescent="0.45">
      <c r="A12" s="184" t="s">
        <v>316</v>
      </c>
      <c r="B12" s="185">
        <v>200</v>
      </c>
      <c r="C12" s="186">
        <v>20</v>
      </c>
      <c r="O12" s="199"/>
    </row>
    <row r="13" spans="1:15" ht="15.5" x14ac:dyDescent="0.35">
      <c r="A13" s="184" t="s">
        <v>317</v>
      </c>
      <c r="B13" s="185">
        <v>100</v>
      </c>
      <c r="C13" s="186">
        <v>50</v>
      </c>
    </row>
    <row r="14" spans="1:15" ht="15.5" x14ac:dyDescent="0.35">
      <c r="A14" s="184" t="s">
        <v>318</v>
      </c>
      <c r="B14" s="185">
        <v>500</v>
      </c>
      <c r="C14" s="186">
        <v>30</v>
      </c>
    </row>
    <row r="15" spans="1:15" ht="15.5" x14ac:dyDescent="0.35">
      <c r="A15" s="184" t="s">
        <v>319</v>
      </c>
      <c r="B15" s="185">
        <v>400</v>
      </c>
      <c r="C15" s="186">
        <v>20</v>
      </c>
    </row>
    <row r="18" spans="1:20" ht="18.5" x14ac:dyDescent="0.45">
      <c r="B18" s="187" t="s">
        <v>320</v>
      </c>
      <c r="C18" s="188">
        <f>SUMPRODUCT(B2:B15,C2:C15)</f>
        <v>79000</v>
      </c>
    </row>
    <row r="21" spans="1:20" ht="18.5" x14ac:dyDescent="0.45">
      <c r="A21" s="189" t="s">
        <v>321</v>
      </c>
      <c r="B21" s="190" t="s">
        <v>322</v>
      </c>
      <c r="C21" s="190" t="s">
        <v>323</v>
      </c>
      <c r="D21" s="190" t="s">
        <v>324</v>
      </c>
      <c r="E21" s="190" t="s">
        <v>325</v>
      </c>
    </row>
    <row r="22" spans="1:20" ht="23.5" x14ac:dyDescent="0.55000000000000004">
      <c r="A22" s="191" t="s">
        <v>326</v>
      </c>
      <c r="B22" s="191" t="s">
        <v>353</v>
      </c>
      <c r="C22" s="192">
        <f>B2+B3</f>
        <v>1000</v>
      </c>
      <c r="D22" s="192" t="s">
        <v>328</v>
      </c>
      <c r="E22" s="192">
        <v>1000</v>
      </c>
      <c r="H22" s="200" t="s">
        <v>354</v>
      </c>
    </row>
    <row r="23" spans="1:20" ht="23.5" x14ac:dyDescent="0.55000000000000004">
      <c r="A23" s="191" t="s">
        <v>329</v>
      </c>
      <c r="B23" s="191" t="s">
        <v>330</v>
      </c>
      <c r="C23" s="192">
        <f>B9+B10+B11</f>
        <v>800</v>
      </c>
      <c r="D23" s="192" t="s">
        <v>328</v>
      </c>
      <c r="E23" s="192">
        <v>800</v>
      </c>
      <c r="H23" s="200" t="s">
        <v>355</v>
      </c>
    </row>
    <row r="24" spans="1:20" ht="17" customHeight="1" x14ac:dyDescent="0.5">
      <c r="A24" s="191" t="s">
        <v>331</v>
      </c>
      <c r="B24" s="191" t="s">
        <v>332</v>
      </c>
      <c r="C24" s="192">
        <f>B13+B14+B15</f>
        <v>1000</v>
      </c>
      <c r="D24" s="192" t="s">
        <v>328</v>
      </c>
      <c r="E24" s="192">
        <v>1000</v>
      </c>
      <c r="H24" s="201"/>
      <c r="P24" s="197"/>
      <c r="Q24" s="197"/>
      <c r="S24" s="197"/>
      <c r="T24" s="202"/>
    </row>
    <row r="25" spans="1:20" ht="19" customHeight="1" x14ac:dyDescent="0.5">
      <c r="A25" s="191" t="s">
        <v>333</v>
      </c>
      <c r="B25" s="193" t="s">
        <v>334</v>
      </c>
      <c r="C25" s="192">
        <f>B4-B13</f>
        <v>0</v>
      </c>
      <c r="D25" s="192" t="s">
        <v>328</v>
      </c>
      <c r="E25" s="192">
        <v>0</v>
      </c>
      <c r="P25" s="197"/>
      <c r="Q25" s="197"/>
      <c r="S25" s="197"/>
      <c r="T25" s="197"/>
    </row>
    <row r="26" spans="1:20" ht="17.5" customHeight="1" x14ac:dyDescent="0.5">
      <c r="A26" s="191" t="s">
        <v>335</v>
      </c>
      <c r="B26" s="193" t="s">
        <v>336</v>
      </c>
      <c r="C26" s="192">
        <f>B5+B6-B12-B14</f>
        <v>-600</v>
      </c>
      <c r="D26" s="192" t="s">
        <v>356</v>
      </c>
      <c r="E26" s="192">
        <v>-600</v>
      </c>
      <c r="P26" s="197"/>
      <c r="Q26" s="197"/>
      <c r="S26" s="197"/>
      <c r="T26" s="197"/>
    </row>
    <row r="27" spans="1:20" ht="20" customHeight="1" x14ac:dyDescent="0.5">
      <c r="A27" s="191" t="s">
        <v>337</v>
      </c>
      <c r="B27" s="194" t="s">
        <v>338</v>
      </c>
      <c r="C27" s="192">
        <f>B7+B8-B2</f>
        <v>-600</v>
      </c>
      <c r="D27" s="192" t="s">
        <v>356</v>
      </c>
      <c r="E27" s="192">
        <v>-800</v>
      </c>
      <c r="P27" s="197"/>
      <c r="Q27" s="197"/>
      <c r="S27" s="197"/>
      <c r="T27" s="197"/>
    </row>
    <row r="28" spans="1:20" ht="20.5" customHeight="1" x14ac:dyDescent="0.5">
      <c r="A28" s="191" t="s">
        <v>339</v>
      </c>
      <c r="B28" s="194" t="s">
        <v>340</v>
      </c>
      <c r="C28" s="192">
        <f>-B9</f>
        <v>-300</v>
      </c>
      <c r="D28" s="192" t="s">
        <v>356</v>
      </c>
      <c r="E28" s="192">
        <v>-300</v>
      </c>
      <c r="P28" s="197"/>
      <c r="Q28" s="197"/>
      <c r="S28" s="197"/>
      <c r="T28" s="197"/>
    </row>
    <row r="29" spans="1:20" ht="21" x14ac:dyDescent="0.5">
      <c r="A29" s="191" t="s">
        <v>341</v>
      </c>
      <c r="B29" s="194" t="s">
        <v>342</v>
      </c>
      <c r="C29" s="192">
        <f>-B3-B4</f>
        <v>-500</v>
      </c>
      <c r="D29" s="192" t="s">
        <v>356</v>
      </c>
      <c r="E29" s="192">
        <v>-500</v>
      </c>
      <c r="P29" s="197"/>
      <c r="Q29" s="197"/>
      <c r="S29" s="197"/>
      <c r="T29" s="197"/>
    </row>
    <row r="30" spans="1:20" ht="21" x14ac:dyDescent="0.5">
      <c r="A30" s="191" t="s">
        <v>343</v>
      </c>
      <c r="B30" s="194" t="s">
        <v>344</v>
      </c>
      <c r="C30" s="195">
        <f>B12-B5-B10-B15</f>
        <v>-500</v>
      </c>
      <c r="D30" s="192" t="s">
        <v>356</v>
      </c>
      <c r="E30" s="192">
        <v>-500</v>
      </c>
      <c r="P30" s="197"/>
      <c r="Q30" s="197"/>
      <c r="S30" s="197"/>
      <c r="T30" s="197"/>
    </row>
    <row r="31" spans="1:20" ht="21" x14ac:dyDescent="0.5">
      <c r="A31" s="191" t="s">
        <v>345</v>
      </c>
      <c r="B31" s="194" t="s">
        <v>346</v>
      </c>
      <c r="C31" s="192">
        <f>-B6-B8-B11</f>
        <v>-300</v>
      </c>
      <c r="D31" s="192" t="s">
        <v>356</v>
      </c>
      <c r="E31" s="192">
        <v>-300</v>
      </c>
      <c r="P31" s="197"/>
      <c r="Q31" s="197"/>
      <c r="S31" s="197"/>
      <c r="T31" s="197"/>
    </row>
    <row r="32" spans="1:20" ht="21" x14ac:dyDescent="0.5">
      <c r="P32" s="197"/>
      <c r="Q32" s="197"/>
      <c r="S32" s="197"/>
      <c r="T32" s="197"/>
    </row>
    <row r="33" spans="1:5" ht="18.5" x14ac:dyDescent="0.45">
      <c r="A33" s="189" t="s">
        <v>347</v>
      </c>
    </row>
    <row r="34" spans="1:5" ht="18.5" x14ac:dyDescent="0.45">
      <c r="A34" s="191" t="s">
        <v>348</v>
      </c>
      <c r="B34" s="194" t="s">
        <v>350</v>
      </c>
      <c r="C34" s="195">
        <f>B14</f>
        <v>500</v>
      </c>
      <c r="D34" s="195" t="s">
        <v>351</v>
      </c>
      <c r="E34" s="195">
        <v>500</v>
      </c>
    </row>
    <row r="35" spans="1:5" ht="18.5" x14ac:dyDescent="0.45">
      <c r="A35" s="191" t="s">
        <v>349</v>
      </c>
      <c r="B35" s="194" t="s">
        <v>352</v>
      </c>
      <c r="C35" s="195">
        <f>B11</f>
        <v>200</v>
      </c>
      <c r="D35" s="195" t="s">
        <v>351</v>
      </c>
      <c r="E35" s="195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A48B-9FAA-43C0-A219-D5BC6117BAA1}">
  <dimension ref="A1:P35"/>
  <sheetViews>
    <sheetView showGridLines="0" zoomScale="47" zoomScaleNormal="47" workbookViewId="0">
      <selection activeCell="G25" sqref="G25"/>
    </sheetView>
  </sheetViews>
  <sheetFormatPr defaultColWidth="9.1796875" defaultRowHeight="14.5" x14ac:dyDescent="0.35"/>
  <cols>
    <col min="1" max="1" width="38.81640625" style="196" customWidth="1"/>
    <col min="2" max="2" width="32.54296875" style="196" customWidth="1"/>
    <col min="3" max="3" width="14.1796875" style="196" bestFit="1" customWidth="1"/>
    <col min="4" max="5" width="9.1796875" style="196"/>
    <col min="6" max="6" width="4" style="196" customWidth="1"/>
    <col min="7" max="16384" width="9.1796875" style="196"/>
  </cols>
  <sheetData>
    <row r="1" spans="1:16" ht="20.5" customHeight="1" x14ac:dyDescent="0.35">
      <c r="A1" s="184" t="s">
        <v>303</v>
      </c>
      <c r="B1" s="184" t="s">
        <v>304</v>
      </c>
      <c r="C1" s="184" t="s">
        <v>305</v>
      </c>
    </row>
    <row r="2" spans="1:16" ht="15.5" x14ac:dyDescent="0.35">
      <c r="A2" s="184" t="s">
        <v>306</v>
      </c>
      <c r="B2" s="185">
        <v>800</v>
      </c>
      <c r="C2" s="186">
        <v>25</v>
      </c>
    </row>
    <row r="3" spans="1:16" ht="15.5" x14ac:dyDescent="0.35">
      <c r="A3" s="184" t="s">
        <v>307</v>
      </c>
      <c r="B3" s="185">
        <v>400</v>
      </c>
      <c r="C3" s="186">
        <v>20</v>
      </c>
    </row>
    <row r="4" spans="1:16" ht="15.5" x14ac:dyDescent="0.35">
      <c r="A4" s="184" t="s">
        <v>308</v>
      </c>
      <c r="B4" s="185">
        <v>100</v>
      </c>
      <c r="C4" s="186">
        <v>30</v>
      </c>
    </row>
    <row r="5" spans="1:16" ht="15.5" x14ac:dyDescent="0.35">
      <c r="A5" s="184" t="s">
        <v>309</v>
      </c>
      <c r="B5" s="185">
        <v>0</v>
      </c>
      <c r="C5" s="186">
        <v>20</v>
      </c>
    </row>
    <row r="6" spans="1:16" ht="15.5" x14ac:dyDescent="0.35">
      <c r="A6" s="184" t="s">
        <v>310</v>
      </c>
      <c r="B6" s="185">
        <v>100</v>
      </c>
      <c r="C6" s="186">
        <v>15</v>
      </c>
    </row>
    <row r="7" spans="1:16" ht="15.5" x14ac:dyDescent="0.35">
      <c r="A7" s="184" t="s">
        <v>311</v>
      </c>
      <c r="B7" s="185">
        <v>0</v>
      </c>
      <c r="C7" s="186">
        <v>20</v>
      </c>
    </row>
    <row r="8" spans="1:16" ht="15.5" x14ac:dyDescent="0.35">
      <c r="A8" s="184" t="s">
        <v>312</v>
      </c>
      <c r="B8" s="185">
        <v>0</v>
      </c>
      <c r="C8" s="186">
        <v>15</v>
      </c>
    </row>
    <row r="9" spans="1:16" ht="21" x14ac:dyDescent="0.5">
      <c r="A9" s="184" t="s">
        <v>313</v>
      </c>
      <c r="B9" s="185">
        <v>300</v>
      </c>
      <c r="C9" s="186">
        <v>20</v>
      </c>
      <c r="P9" s="198" t="s">
        <v>357</v>
      </c>
    </row>
    <row r="10" spans="1:16" ht="15.5" x14ac:dyDescent="0.35">
      <c r="A10" s="184" t="s">
        <v>314</v>
      </c>
      <c r="B10" s="185">
        <v>200</v>
      </c>
      <c r="C10" s="186">
        <v>25</v>
      </c>
      <c r="P10" s="196" t="s">
        <v>358</v>
      </c>
    </row>
    <row r="11" spans="1:16" ht="15.5" x14ac:dyDescent="0.35">
      <c r="A11" s="184" t="s">
        <v>315</v>
      </c>
      <c r="B11" s="185">
        <v>200</v>
      </c>
      <c r="C11" s="186">
        <v>30</v>
      </c>
    </row>
    <row r="12" spans="1:16" ht="15.5" x14ac:dyDescent="0.35">
      <c r="A12" s="184" t="s">
        <v>316</v>
      </c>
      <c r="B12" s="185">
        <v>200</v>
      </c>
      <c r="C12" s="186">
        <v>20</v>
      </c>
    </row>
    <row r="13" spans="1:16" ht="15.5" x14ac:dyDescent="0.35">
      <c r="A13" s="184" t="s">
        <v>317</v>
      </c>
      <c r="B13" s="185">
        <v>100</v>
      </c>
      <c r="C13" s="186">
        <v>50</v>
      </c>
    </row>
    <row r="14" spans="1:16" ht="15.5" x14ac:dyDescent="0.35">
      <c r="A14" s="184" t="s">
        <v>318</v>
      </c>
      <c r="B14" s="185">
        <v>500</v>
      </c>
      <c r="C14" s="186">
        <v>30</v>
      </c>
    </row>
    <row r="15" spans="1:16" ht="15.5" x14ac:dyDescent="0.35">
      <c r="A15" s="184" t="s">
        <v>319</v>
      </c>
      <c r="B15" s="185">
        <v>400</v>
      </c>
      <c r="C15" s="186">
        <v>20</v>
      </c>
    </row>
    <row r="18" spans="1:9" ht="18.5" x14ac:dyDescent="0.45">
      <c r="B18" s="187" t="s">
        <v>320</v>
      </c>
      <c r="C18" s="188">
        <f>SUMPRODUCT(B2:B15,C2:C15)</f>
        <v>81500</v>
      </c>
    </row>
    <row r="21" spans="1:9" ht="18.5" x14ac:dyDescent="0.45">
      <c r="A21" s="189" t="s">
        <v>321</v>
      </c>
      <c r="B21" s="190" t="s">
        <v>322</v>
      </c>
      <c r="C21" s="190" t="s">
        <v>323</v>
      </c>
      <c r="D21" s="190" t="s">
        <v>324</v>
      </c>
      <c r="E21" s="190" t="s">
        <v>325</v>
      </c>
    </row>
    <row r="22" spans="1:9" ht="23.5" x14ac:dyDescent="0.55000000000000004">
      <c r="A22" s="191" t="s">
        <v>326</v>
      </c>
      <c r="B22" s="191" t="s">
        <v>327</v>
      </c>
      <c r="C22" s="192">
        <f>B2+B3</f>
        <v>1200</v>
      </c>
      <c r="D22" s="192" t="s">
        <v>351</v>
      </c>
      <c r="E22" s="192">
        <v>1200</v>
      </c>
      <c r="I22" s="200" t="s">
        <v>359</v>
      </c>
    </row>
    <row r="23" spans="1:9" ht="23.5" x14ac:dyDescent="0.55000000000000004">
      <c r="A23" s="191" t="s">
        <v>329</v>
      </c>
      <c r="B23" s="191" t="s">
        <v>330</v>
      </c>
      <c r="C23" s="192">
        <f>B9+B10+B11</f>
        <v>700</v>
      </c>
      <c r="D23" s="192" t="s">
        <v>351</v>
      </c>
      <c r="E23" s="192">
        <v>800</v>
      </c>
      <c r="I23" s="200" t="s">
        <v>360</v>
      </c>
    </row>
    <row r="24" spans="1:9" ht="17" customHeight="1" x14ac:dyDescent="0.35">
      <c r="A24" s="191" t="s">
        <v>331</v>
      </c>
      <c r="B24" s="191" t="s">
        <v>332</v>
      </c>
      <c r="C24" s="192">
        <f>B13+B14+B15</f>
        <v>1000</v>
      </c>
      <c r="D24" s="192" t="s">
        <v>351</v>
      </c>
      <c r="E24" s="192">
        <v>1000</v>
      </c>
    </row>
    <row r="25" spans="1:9" ht="19" customHeight="1" x14ac:dyDescent="0.35">
      <c r="A25" s="191" t="s">
        <v>333</v>
      </c>
      <c r="B25" s="193" t="s">
        <v>334</v>
      </c>
      <c r="C25" s="192">
        <f>B4-B13</f>
        <v>0</v>
      </c>
      <c r="D25" s="192" t="s">
        <v>328</v>
      </c>
      <c r="E25" s="192">
        <v>0</v>
      </c>
    </row>
    <row r="26" spans="1:9" ht="17.5" customHeight="1" x14ac:dyDescent="0.35">
      <c r="A26" s="191" t="s">
        <v>335</v>
      </c>
      <c r="B26" s="193" t="s">
        <v>336</v>
      </c>
      <c r="C26" s="192">
        <f>B5+B6-B12-B14</f>
        <v>-600</v>
      </c>
      <c r="D26" s="192" t="s">
        <v>328</v>
      </c>
      <c r="E26" s="192">
        <v>-600</v>
      </c>
    </row>
    <row r="27" spans="1:9" ht="20" customHeight="1" x14ac:dyDescent="0.45">
      <c r="A27" s="191" t="s">
        <v>337</v>
      </c>
      <c r="B27" s="194" t="s">
        <v>338</v>
      </c>
      <c r="C27" s="192">
        <f>B7+B8-B2</f>
        <v>-800</v>
      </c>
      <c r="D27" s="192" t="s">
        <v>328</v>
      </c>
      <c r="E27" s="192">
        <v>-800</v>
      </c>
    </row>
    <row r="28" spans="1:9" ht="20.5" customHeight="1" x14ac:dyDescent="0.45">
      <c r="A28" s="191" t="s">
        <v>339</v>
      </c>
      <c r="B28" s="194" t="s">
        <v>340</v>
      </c>
      <c r="C28" s="192">
        <f>-B9</f>
        <v>-300</v>
      </c>
      <c r="D28" s="192" t="s">
        <v>328</v>
      </c>
      <c r="E28" s="192">
        <v>-300</v>
      </c>
    </row>
    <row r="29" spans="1:9" ht="18.5" x14ac:dyDescent="0.45">
      <c r="A29" s="191" t="s">
        <v>341</v>
      </c>
      <c r="B29" s="194" t="s">
        <v>342</v>
      </c>
      <c r="C29" s="192">
        <f>-B3-B4</f>
        <v>-500</v>
      </c>
      <c r="D29" s="192" t="s">
        <v>328</v>
      </c>
      <c r="E29" s="192">
        <v>-500</v>
      </c>
    </row>
    <row r="30" spans="1:9" ht="18.5" x14ac:dyDescent="0.45">
      <c r="A30" s="191" t="s">
        <v>343</v>
      </c>
      <c r="B30" s="194" t="s">
        <v>361</v>
      </c>
      <c r="C30" s="195">
        <f>B12-B5-B10-B15</f>
        <v>-400</v>
      </c>
      <c r="D30" s="192" t="s">
        <v>328</v>
      </c>
      <c r="E30" s="192">
        <v>-400</v>
      </c>
    </row>
    <row r="31" spans="1:9" ht="18.5" x14ac:dyDescent="0.45">
      <c r="A31" s="191" t="s">
        <v>345</v>
      </c>
      <c r="B31" s="194" t="s">
        <v>346</v>
      </c>
      <c r="C31" s="192">
        <f>-B6-B8-B11</f>
        <v>-300</v>
      </c>
      <c r="D31" s="192" t="s">
        <v>328</v>
      </c>
      <c r="E31" s="192">
        <v>-300</v>
      </c>
    </row>
    <row r="33" spans="1:5" ht="18.5" x14ac:dyDescent="0.45">
      <c r="A33" s="189" t="s">
        <v>347</v>
      </c>
    </row>
    <row r="34" spans="1:5" ht="18.5" x14ac:dyDescent="0.45">
      <c r="A34" s="191" t="s">
        <v>348</v>
      </c>
      <c r="B34" s="194" t="s">
        <v>350</v>
      </c>
      <c r="C34" s="195">
        <f>B14</f>
        <v>500</v>
      </c>
      <c r="D34" s="195" t="s">
        <v>351</v>
      </c>
      <c r="E34" s="195">
        <v>500</v>
      </c>
    </row>
    <row r="35" spans="1:5" ht="18.5" x14ac:dyDescent="0.45">
      <c r="A35" s="191" t="s">
        <v>349</v>
      </c>
      <c r="B35" s="194" t="s">
        <v>352</v>
      </c>
      <c r="C35" s="195">
        <f>B11</f>
        <v>200</v>
      </c>
      <c r="D35" s="195" t="s">
        <v>351</v>
      </c>
      <c r="E35" s="195">
        <v>200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0E3F-FEDD-4B36-B98D-8A24C746BAA1}">
  <dimension ref="A1"/>
  <sheetViews>
    <sheetView showGridLines="0" zoomScale="70" zoomScaleNormal="70" workbookViewId="0">
      <selection activeCell="T32" sqref="T3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9895-1E76-4EB6-9EF0-FDF06E4DBAA1}">
  <dimension ref="A1:M41"/>
  <sheetViews>
    <sheetView showGridLines="0" topLeftCell="A14" zoomScale="64" zoomScaleNormal="74" workbookViewId="0">
      <selection activeCell="H41" sqref="H41"/>
    </sheetView>
  </sheetViews>
  <sheetFormatPr defaultColWidth="9.1796875" defaultRowHeight="12.5" customHeight="1" x14ac:dyDescent="0.25"/>
  <cols>
    <col min="1" max="1" width="13" style="203" customWidth="1"/>
    <col min="2" max="2" width="16.54296875" style="203" customWidth="1"/>
    <col min="3" max="3" width="13.7265625" style="203" bestFit="1" customWidth="1"/>
    <col min="4" max="4" width="15.81640625" style="203" bestFit="1" customWidth="1"/>
    <col min="5" max="5" width="24.1796875" style="203" customWidth="1"/>
    <col min="6" max="6" width="14.81640625" style="203" bestFit="1" customWidth="1"/>
    <col min="7" max="7" width="17" style="203" customWidth="1"/>
    <col min="8" max="8" width="24" style="203" customWidth="1"/>
    <col min="9" max="12" width="13" style="203" customWidth="1"/>
    <col min="13" max="13" width="61.90625" style="203" customWidth="1"/>
    <col min="14" max="252" width="13" style="203" customWidth="1"/>
    <col min="253" max="253" width="9.1796875" style="203" customWidth="1"/>
    <col min="254" max="16384" width="9.1796875" style="203"/>
  </cols>
  <sheetData>
    <row r="1" spans="1:8" x14ac:dyDescent="0.25"/>
    <row r="2" spans="1:8" s="204" customFormat="1" ht="38" x14ac:dyDescent="0.35">
      <c r="A2" s="205" t="s">
        <v>362</v>
      </c>
      <c r="B2" s="206" t="s">
        <v>363</v>
      </c>
      <c r="C2" s="206" t="s">
        <v>364</v>
      </c>
      <c r="D2" s="206" t="s">
        <v>365</v>
      </c>
      <c r="E2" s="207" t="s">
        <v>366</v>
      </c>
      <c r="F2" s="206" t="s">
        <v>367</v>
      </c>
      <c r="G2" s="206" t="s">
        <v>365</v>
      </c>
      <c r="H2" s="207" t="s">
        <v>366</v>
      </c>
    </row>
    <row r="3" spans="1:8" x14ac:dyDescent="0.25">
      <c r="A3" s="208">
        <v>44124</v>
      </c>
      <c r="B3" s="209">
        <v>501</v>
      </c>
      <c r="C3" s="210"/>
      <c r="D3" s="209"/>
      <c r="E3" s="209"/>
      <c r="F3" s="210"/>
      <c r="G3" s="209"/>
      <c r="H3" s="209"/>
    </row>
    <row r="4" spans="1:8" x14ac:dyDescent="0.25">
      <c r="A4" s="208">
        <v>44155</v>
      </c>
      <c r="B4" s="209">
        <v>429</v>
      </c>
      <c r="C4" s="210"/>
      <c r="D4" s="209"/>
      <c r="E4" s="209"/>
      <c r="F4" s="210"/>
      <c r="G4" s="209"/>
      <c r="H4" s="209"/>
    </row>
    <row r="5" spans="1:8" x14ac:dyDescent="0.25">
      <c r="A5" s="208">
        <v>44185</v>
      </c>
      <c r="B5" s="209">
        <v>352</v>
      </c>
      <c r="C5" s="210"/>
      <c r="D5" s="209"/>
      <c r="E5" s="209"/>
      <c r="F5" s="210"/>
      <c r="G5" s="209"/>
      <c r="H5" s="209"/>
    </row>
    <row r="6" spans="1:8" x14ac:dyDescent="0.25">
      <c r="A6" s="208">
        <v>44216</v>
      </c>
      <c r="B6" s="209">
        <v>472</v>
      </c>
      <c r="C6" s="211">
        <f>(B3+B4+B5)/3</f>
        <v>427.33333333333331</v>
      </c>
      <c r="D6" s="211">
        <f>ABS(B6-C6)</f>
        <v>44.666666666666686</v>
      </c>
      <c r="E6" s="212">
        <f>ABS((B6-C6)/B6)</f>
        <v>9.4632768361581965E-2</v>
      </c>
      <c r="F6" s="213"/>
      <c r="G6" s="211"/>
      <c r="H6" s="212"/>
    </row>
    <row r="7" spans="1:8" x14ac:dyDescent="0.25">
      <c r="A7" s="208">
        <v>44247</v>
      </c>
      <c r="B7" s="209">
        <v>342</v>
      </c>
      <c r="C7" s="211">
        <f t="shared" ref="C7:C15" si="0">(B4+B5+B6)/3</f>
        <v>417.66666666666669</v>
      </c>
      <c r="D7" s="211">
        <f t="shared" ref="D7:D14" si="1">ABS(B7-C7)</f>
        <v>75.666666666666686</v>
      </c>
      <c r="E7" s="212">
        <f t="shared" ref="E7:E14" si="2">ABS((B7-C7)/B7)</f>
        <v>0.22124756335282655</v>
      </c>
      <c r="F7" s="213"/>
      <c r="G7" s="211"/>
      <c r="H7" s="212"/>
    </row>
    <row r="8" spans="1:8" x14ac:dyDescent="0.25">
      <c r="A8" s="208">
        <v>44275</v>
      </c>
      <c r="B8" s="209">
        <v>367</v>
      </c>
      <c r="C8" s="211">
        <f t="shared" si="0"/>
        <v>388.66666666666669</v>
      </c>
      <c r="D8" s="211">
        <f t="shared" si="1"/>
        <v>21.666666666666686</v>
      </c>
      <c r="E8" s="212">
        <f t="shared" si="2"/>
        <v>5.9037238873751188E-2</v>
      </c>
      <c r="F8" s="213"/>
      <c r="G8" s="211"/>
      <c r="H8" s="212"/>
    </row>
    <row r="9" spans="1:8" x14ac:dyDescent="0.25">
      <c r="A9" s="208">
        <v>44306</v>
      </c>
      <c r="B9" s="209">
        <v>370</v>
      </c>
      <c r="C9" s="211">
        <f t="shared" si="0"/>
        <v>393.66666666666669</v>
      </c>
      <c r="D9" s="211">
        <f t="shared" si="1"/>
        <v>23.666666666666686</v>
      </c>
      <c r="E9" s="212">
        <f t="shared" si="2"/>
        <v>6.3963963963964018E-2</v>
      </c>
      <c r="F9" s="211">
        <f>(B3+B4+B5+B6+B7+B8)/6</f>
        <v>410.5</v>
      </c>
      <c r="G9" s="211">
        <f>ABS(B9-F9)</f>
        <v>40.5</v>
      </c>
      <c r="H9" s="212">
        <f>ABS(B9-F9)/B9</f>
        <v>0.10945945945945947</v>
      </c>
    </row>
    <row r="10" spans="1:8" x14ac:dyDescent="0.25">
      <c r="A10" s="208">
        <v>44336</v>
      </c>
      <c r="B10" s="209">
        <v>437</v>
      </c>
      <c r="C10" s="211">
        <f t="shared" si="0"/>
        <v>359.66666666666669</v>
      </c>
      <c r="D10" s="211">
        <f t="shared" si="1"/>
        <v>77.333333333333314</v>
      </c>
      <c r="E10" s="212">
        <f t="shared" si="2"/>
        <v>0.17696414950419523</v>
      </c>
      <c r="F10" s="211">
        <f t="shared" ref="F10:F15" si="3">(B4+B5+B6+B7+B8+B9)/6</f>
        <v>388.66666666666669</v>
      </c>
      <c r="G10" s="211">
        <f t="shared" ref="G10:G14" si="4">ABS(B10-F10)</f>
        <v>48.333333333333314</v>
      </c>
      <c r="H10" s="212">
        <f t="shared" ref="H10:H14" si="5">ABS(B10-F10)/B10</f>
        <v>0.11060259344012201</v>
      </c>
    </row>
    <row r="11" spans="1:8" x14ac:dyDescent="0.25">
      <c r="A11" s="208">
        <v>44367</v>
      </c>
      <c r="B11" s="209">
        <v>412</v>
      </c>
      <c r="C11" s="211">
        <f t="shared" si="0"/>
        <v>391.33333333333331</v>
      </c>
      <c r="D11" s="211">
        <f t="shared" si="1"/>
        <v>20.666666666666686</v>
      </c>
      <c r="E11" s="212">
        <f t="shared" si="2"/>
        <v>5.0161812297734677E-2</v>
      </c>
      <c r="F11" s="211">
        <f t="shared" si="3"/>
        <v>390</v>
      </c>
      <c r="G11" s="211">
        <f t="shared" si="4"/>
        <v>22</v>
      </c>
      <c r="H11" s="212">
        <f t="shared" si="5"/>
        <v>5.3398058252427182E-2</v>
      </c>
    </row>
    <row r="12" spans="1:8" x14ac:dyDescent="0.25">
      <c r="A12" s="208">
        <v>44397</v>
      </c>
      <c r="B12" s="209">
        <v>336</v>
      </c>
      <c r="C12" s="211">
        <f t="shared" si="0"/>
        <v>406.33333333333331</v>
      </c>
      <c r="D12" s="211">
        <f t="shared" si="1"/>
        <v>70.333333333333314</v>
      </c>
      <c r="E12" s="212">
        <f t="shared" si="2"/>
        <v>0.20932539682539678</v>
      </c>
      <c r="F12" s="211">
        <f t="shared" si="3"/>
        <v>400</v>
      </c>
      <c r="G12" s="211">
        <f t="shared" si="4"/>
        <v>64</v>
      </c>
      <c r="H12" s="212">
        <f t="shared" si="5"/>
        <v>0.19047619047619047</v>
      </c>
    </row>
    <row r="13" spans="1:8" x14ac:dyDescent="0.25">
      <c r="A13" s="208">
        <v>44428</v>
      </c>
      <c r="B13" s="209">
        <v>388</v>
      </c>
      <c r="C13" s="211">
        <f t="shared" si="0"/>
        <v>395</v>
      </c>
      <c r="D13" s="211">
        <f t="shared" si="1"/>
        <v>7</v>
      </c>
      <c r="E13" s="212">
        <f t="shared" si="2"/>
        <v>1.804123711340206E-2</v>
      </c>
      <c r="F13" s="211">
        <f t="shared" si="3"/>
        <v>377.33333333333331</v>
      </c>
      <c r="G13" s="211">
        <f t="shared" si="4"/>
        <v>10.666666666666686</v>
      </c>
      <c r="H13" s="212">
        <f t="shared" si="5"/>
        <v>2.7491408934707952E-2</v>
      </c>
    </row>
    <row r="14" spans="1:8" x14ac:dyDescent="0.25">
      <c r="A14" s="208">
        <v>44459</v>
      </c>
      <c r="B14" s="209">
        <v>344</v>
      </c>
      <c r="C14" s="211">
        <f t="shared" si="0"/>
        <v>378.66666666666669</v>
      </c>
      <c r="D14" s="211">
        <f t="shared" si="1"/>
        <v>34.666666666666686</v>
      </c>
      <c r="E14" s="212">
        <f t="shared" si="2"/>
        <v>0.10077519379844967</v>
      </c>
      <c r="F14" s="211">
        <f t="shared" si="3"/>
        <v>385</v>
      </c>
      <c r="G14" s="211">
        <f t="shared" si="4"/>
        <v>41</v>
      </c>
      <c r="H14" s="212">
        <f t="shared" si="5"/>
        <v>0.11918604651162791</v>
      </c>
    </row>
    <row r="15" spans="1:8" x14ac:dyDescent="0.25">
      <c r="A15" s="208">
        <v>44489</v>
      </c>
      <c r="B15" s="214"/>
      <c r="C15" s="215">
        <f t="shared" si="0"/>
        <v>356</v>
      </c>
      <c r="D15" s="211"/>
      <c r="E15" s="216"/>
      <c r="F15" s="215">
        <f t="shared" si="3"/>
        <v>381.16666666666669</v>
      </c>
      <c r="G15" s="211"/>
      <c r="H15" s="216"/>
    </row>
    <row r="16" spans="1:8" x14ac:dyDescent="0.25">
      <c r="A16" s="217"/>
      <c r="B16" s="218"/>
    </row>
    <row r="17" spans="1:13" ht="25.5" customHeight="1" x14ac:dyDescent="0.25">
      <c r="A17" s="217"/>
      <c r="B17" s="218"/>
      <c r="C17" s="209" t="s">
        <v>368</v>
      </c>
      <c r="D17" s="211">
        <f>AVERAGE(D6:D14)</f>
        <v>41.740740740740748</v>
      </c>
      <c r="E17" s="209"/>
      <c r="F17" s="209" t="s">
        <v>368</v>
      </c>
      <c r="G17" s="211">
        <f>AVERAGE(G9:G14)</f>
        <v>37.75</v>
      </c>
      <c r="H17" s="209"/>
    </row>
    <row r="18" spans="1:13" x14ac:dyDescent="0.25">
      <c r="A18" s="217"/>
      <c r="B18" s="218"/>
      <c r="C18" s="209" t="s">
        <v>369</v>
      </c>
      <c r="D18" s="209"/>
      <c r="E18" s="219">
        <f>AVERAGE(E6:E14)</f>
        <v>0.11046103601014469</v>
      </c>
      <c r="F18" s="209" t="s">
        <v>369</v>
      </c>
      <c r="G18" s="209"/>
      <c r="H18" s="219">
        <f>AVERAGE(H9:H14)</f>
        <v>0.1017689595124225</v>
      </c>
    </row>
    <row r="20" spans="1:13" ht="13" thickBot="1" x14ac:dyDescent="0.3">
      <c r="B20" s="220"/>
    </row>
    <row r="21" spans="1:13" ht="37.5" x14ac:dyDescent="0.25">
      <c r="A21" s="205" t="s">
        <v>362</v>
      </c>
      <c r="B21" s="206" t="s">
        <v>370</v>
      </c>
      <c r="C21" s="206" t="s">
        <v>371</v>
      </c>
      <c r="D21" s="206" t="s">
        <v>365</v>
      </c>
      <c r="E21" s="207" t="s">
        <v>366</v>
      </c>
      <c r="J21" s="409" t="s">
        <v>526</v>
      </c>
      <c r="K21" s="345"/>
      <c r="L21" s="345"/>
      <c r="M21" s="346"/>
    </row>
    <row r="22" spans="1:13" ht="14.5" customHeight="1" x14ac:dyDescent="0.25">
      <c r="A22" s="208">
        <v>44124</v>
      </c>
      <c r="B22" s="209">
        <v>501</v>
      </c>
      <c r="C22" s="210"/>
      <c r="D22" s="209"/>
      <c r="E22" s="209"/>
      <c r="G22" s="203">
        <f>(450+430+395+465+410)/5</f>
        <v>430</v>
      </c>
      <c r="H22" s="203">
        <f>(0.4*410)+(1-0.4)*(434)</f>
        <v>424.4</v>
      </c>
      <c r="J22" s="347"/>
      <c r="K22" s="348"/>
      <c r="L22" s="348"/>
      <c r="M22" s="349"/>
    </row>
    <row r="23" spans="1:13" ht="14.5" customHeight="1" x14ac:dyDescent="0.25">
      <c r="A23" s="208">
        <v>44155</v>
      </c>
      <c r="B23" s="209">
        <v>429</v>
      </c>
      <c r="C23" s="210"/>
      <c r="D23" s="209"/>
      <c r="E23" s="209"/>
      <c r="J23" s="347"/>
      <c r="K23" s="348"/>
      <c r="L23" s="348"/>
      <c r="M23" s="349"/>
    </row>
    <row r="24" spans="1:13" ht="14.5" customHeight="1" x14ac:dyDescent="0.25">
      <c r="A24" s="208">
        <v>44185</v>
      </c>
      <c r="B24" s="209">
        <v>352</v>
      </c>
      <c r="C24" s="210"/>
      <c r="D24" s="209"/>
      <c r="E24" s="209"/>
      <c r="J24" s="347"/>
      <c r="K24" s="348"/>
      <c r="L24" s="348"/>
      <c r="M24" s="349"/>
    </row>
    <row r="25" spans="1:13" ht="13.5" customHeight="1" x14ac:dyDescent="0.25">
      <c r="A25" s="208">
        <v>44216</v>
      </c>
      <c r="B25" s="209">
        <v>472</v>
      </c>
      <c r="C25" s="213"/>
      <c r="D25" s="211"/>
      <c r="E25" s="212"/>
      <c r="J25" s="347"/>
      <c r="K25" s="348"/>
      <c r="L25" s="348"/>
      <c r="M25" s="349"/>
    </row>
    <row r="26" spans="1:13" ht="14.5" customHeight="1" x14ac:dyDescent="0.25">
      <c r="A26" s="208">
        <v>44247</v>
      </c>
      <c r="B26" s="209">
        <v>342</v>
      </c>
      <c r="C26" s="211">
        <f>(B22+B23+B24+B25)/4</f>
        <v>438.5</v>
      </c>
      <c r="D26" s="211">
        <f>ABS(B26-C26)</f>
        <v>96.5</v>
      </c>
      <c r="E26" s="212">
        <f>D26/B26</f>
        <v>0.28216374269005851</v>
      </c>
      <c r="J26" s="347"/>
      <c r="K26" s="348"/>
      <c r="L26" s="348"/>
      <c r="M26" s="349"/>
    </row>
    <row r="27" spans="1:13" ht="13.9" customHeight="1" x14ac:dyDescent="0.25">
      <c r="A27" s="208">
        <v>44275</v>
      </c>
      <c r="B27" s="209">
        <v>367</v>
      </c>
      <c r="C27" s="211">
        <f t="shared" ref="C27:C34" si="6">(B23+B24+B25+B26)/4</f>
        <v>398.75</v>
      </c>
      <c r="D27" s="211">
        <f t="shared" ref="D27:D33" si="7">ABS(B27-C27)</f>
        <v>31.75</v>
      </c>
      <c r="E27" s="212">
        <f t="shared" ref="E27:E33" si="8">D27/B27</f>
        <v>8.6512261580381472E-2</v>
      </c>
      <c r="J27" s="347"/>
      <c r="K27" s="348"/>
      <c r="L27" s="348"/>
      <c r="M27" s="349"/>
    </row>
    <row r="28" spans="1:13" ht="14.5" customHeight="1" x14ac:dyDescent="0.25">
      <c r="A28" s="208">
        <v>44306</v>
      </c>
      <c r="B28" s="209">
        <v>370</v>
      </c>
      <c r="C28" s="211">
        <f t="shared" si="6"/>
        <v>383.25</v>
      </c>
      <c r="D28" s="211">
        <f t="shared" si="7"/>
        <v>13.25</v>
      </c>
      <c r="E28" s="212">
        <f t="shared" si="8"/>
        <v>3.5810810810810813E-2</v>
      </c>
      <c r="J28" s="347"/>
      <c r="K28" s="348"/>
      <c r="L28" s="348"/>
      <c r="M28" s="349"/>
    </row>
    <row r="29" spans="1:13" ht="13.9" customHeight="1" thickBot="1" x14ac:dyDescent="0.3">
      <c r="A29" s="208">
        <v>44336</v>
      </c>
      <c r="B29" s="209">
        <v>437</v>
      </c>
      <c r="C29" s="211">
        <f t="shared" si="6"/>
        <v>387.75</v>
      </c>
      <c r="D29" s="211">
        <f t="shared" si="7"/>
        <v>49.25</v>
      </c>
      <c r="E29" s="212">
        <f t="shared" si="8"/>
        <v>0.11270022883295194</v>
      </c>
      <c r="J29" s="350"/>
      <c r="K29" s="351"/>
      <c r="L29" s="351"/>
      <c r="M29" s="352"/>
    </row>
    <row r="30" spans="1:13" x14ac:dyDescent="0.25">
      <c r="A30" s="208">
        <v>44367</v>
      </c>
      <c r="B30" s="209">
        <v>412</v>
      </c>
      <c r="C30" s="211">
        <f t="shared" si="6"/>
        <v>379</v>
      </c>
      <c r="D30" s="211">
        <f t="shared" si="7"/>
        <v>33</v>
      </c>
      <c r="E30" s="212">
        <f t="shared" si="8"/>
        <v>8.0097087378640783E-2</v>
      </c>
    </row>
    <row r="31" spans="1:13" x14ac:dyDescent="0.25">
      <c r="A31" s="208">
        <v>44397</v>
      </c>
      <c r="B31" s="209">
        <v>336</v>
      </c>
      <c r="C31" s="211">
        <f t="shared" si="6"/>
        <v>396.5</v>
      </c>
      <c r="D31" s="211">
        <f t="shared" si="7"/>
        <v>60.5</v>
      </c>
      <c r="E31" s="212">
        <f t="shared" si="8"/>
        <v>0.18005952380952381</v>
      </c>
    </row>
    <row r="32" spans="1:13" ht="13" thickBot="1" x14ac:dyDescent="0.3">
      <c r="A32" s="208">
        <v>44428</v>
      </c>
      <c r="B32" s="209">
        <v>388</v>
      </c>
      <c r="C32" s="211">
        <f t="shared" si="6"/>
        <v>388.75</v>
      </c>
      <c r="D32" s="211">
        <f t="shared" si="7"/>
        <v>0.75</v>
      </c>
      <c r="E32" s="212">
        <f t="shared" si="8"/>
        <v>1.9329896907216496E-3</v>
      </c>
    </row>
    <row r="33" spans="1:13" x14ac:dyDescent="0.25">
      <c r="A33" s="208">
        <v>44459</v>
      </c>
      <c r="B33" s="209">
        <v>344</v>
      </c>
      <c r="C33" s="211">
        <f t="shared" si="6"/>
        <v>393.25</v>
      </c>
      <c r="D33" s="211">
        <f t="shared" si="7"/>
        <v>49.25</v>
      </c>
      <c r="E33" s="212">
        <f t="shared" si="8"/>
        <v>0.1431686046511628</v>
      </c>
      <c r="J33" s="409" t="s">
        <v>530</v>
      </c>
      <c r="K33" s="345"/>
      <c r="L33" s="345"/>
      <c r="M33" s="346"/>
    </row>
    <row r="34" spans="1:13" x14ac:dyDescent="0.25">
      <c r="A34" s="208">
        <v>44489</v>
      </c>
      <c r="B34" s="214"/>
      <c r="C34" s="211">
        <f t="shared" si="6"/>
        <v>370</v>
      </c>
      <c r="D34" s="211"/>
      <c r="E34" s="212"/>
      <c r="J34" s="347"/>
      <c r="K34" s="348"/>
      <c r="L34" s="348"/>
      <c r="M34" s="349"/>
    </row>
    <row r="35" spans="1:13" ht="12.5" customHeight="1" x14ac:dyDescent="0.25">
      <c r="J35" s="347"/>
      <c r="K35" s="348"/>
      <c r="L35" s="348"/>
      <c r="M35" s="349"/>
    </row>
    <row r="36" spans="1:13" x14ac:dyDescent="0.25">
      <c r="C36" s="209" t="s">
        <v>368</v>
      </c>
      <c r="D36" s="211">
        <f>AVERAGE(D26:D33)</f>
        <v>41.78125</v>
      </c>
      <c r="E36" s="209"/>
      <c r="J36" s="347"/>
      <c r="K36" s="348"/>
      <c r="L36" s="348"/>
      <c r="M36" s="349"/>
    </row>
    <row r="37" spans="1:13" x14ac:dyDescent="0.25">
      <c r="C37" s="209" t="s">
        <v>369</v>
      </c>
      <c r="D37" s="209"/>
      <c r="E37" s="219">
        <f>AVERAGE(E26:E33)</f>
        <v>0.11530565618053147</v>
      </c>
      <c r="J37" s="347"/>
      <c r="K37" s="348"/>
      <c r="L37" s="348"/>
      <c r="M37" s="349"/>
    </row>
    <row r="38" spans="1:13" ht="12.5" customHeight="1" x14ac:dyDescent="0.25">
      <c r="J38" s="347"/>
      <c r="K38" s="348"/>
      <c r="L38" s="348"/>
      <c r="M38" s="349"/>
    </row>
    <row r="39" spans="1:13" ht="12.5" customHeight="1" x14ac:dyDescent="0.25">
      <c r="J39" s="347"/>
      <c r="K39" s="348"/>
      <c r="L39" s="348"/>
      <c r="M39" s="349"/>
    </row>
    <row r="40" spans="1:13" ht="12.5" customHeight="1" x14ac:dyDescent="0.25">
      <c r="J40" s="347"/>
      <c r="K40" s="348"/>
      <c r="L40" s="348"/>
      <c r="M40" s="349"/>
    </row>
    <row r="41" spans="1:13" ht="46" customHeight="1" thickBot="1" x14ac:dyDescent="0.3">
      <c r="J41" s="350"/>
      <c r="K41" s="351"/>
      <c r="L41" s="351"/>
      <c r="M41" s="352"/>
    </row>
  </sheetData>
  <mergeCells count="2">
    <mergeCell ref="J21:M29"/>
    <mergeCell ref="J33:M41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1F6F-0DD3-470D-AC2A-AF077396BAA1}">
  <dimension ref="A1:K31"/>
  <sheetViews>
    <sheetView showGridLines="0" zoomScale="62" zoomScaleNormal="89" workbookViewId="0">
      <selection activeCell="H31" sqref="H31"/>
    </sheetView>
  </sheetViews>
  <sheetFormatPr defaultColWidth="9.1796875" defaultRowHeight="12.5" customHeight="1" x14ac:dyDescent="0.25"/>
  <cols>
    <col min="1" max="2" width="13" style="203" customWidth="1"/>
    <col min="3" max="3" width="18.81640625" style="203" bestFit="1" customWidth="1"/>
    <col min="4" max="4" width="17.7265625" style="203" customWidth="1"/>
    <col min="5" max="5" width="24.26953125" style="203" customWidth="1"/>
    <col min="6" max="6" width="14.26953125" style="203" bestFit="1" customWidth="1"/>
    <col min="7" max="8" width="14.81640625" style="203" bestFit="1" customWidth="1"/>
    <col min="9" max="10" width="13" style="203" customWidth="1"/>
    <col min="11" max="11" width="39.36328125" style="203" customWidth="1"/>
    <col min="12" max="254" width="13" style="203" customWidth="1"/>
    <col min="255" max="255" width="9.1796875" style="203" customWidth="1"/>
    <col min="256" max="16384" width="9.1796875" style="203"/>
  </cols>
  <sheetData>
    <row r="1" spans="1:5" s="204" customFormat="1" ht="25" x14ac:dyDescent="0.35">
      <c r="A1" s="205" t="s">
        <v>362</v>
      </c>
      <c r="B1" s="206" t="s">
        <v>372</v>
      </c>
      <c r="C1" s="206" t="s">
        <v>373</v>
      </c>
      <c r="D1" s="206" t="s">
        <v>365</v>
      </c>
      <c r="E1" s="207" t="s">
        <v>366</v>
      </c>
    </row>
    <row r="2" spans="1:5" x14ac:dyDescent="0.25">
      <c r="A2" s="208">
        <v>44124</v>
      </c>
      <c r="B2" s="221">
        <v>501</v>
      </c>
      <c r="C2" s="210"/>
      <c r="D2" s="209"/>
      <c r="E2" s="209"/>
    </row>
    <row r="3" spans="1:5" x14ac:dyDescent="0.25">
      <c r="A3" s="208">
        <v>44155</v>
      </c>
      <c r="B3" s="221">
        <v>429</v>
      </c>
      <c r="C3" s="210"/>
      <c r="D3" s="209"/>
      <c r="E3" s="209"/>
    </row>
    <row r="4" spans="1:5" x14ac:dyDescent="0.25">
      <c r="A4" s="208">
        <v>44185</v>
      </c>
      <c r="B4" s="221">
        <v>352</v>
      </c>
      <c r="C4" s="210"/>
      <c r="D4" s="209"/>
      <c r="E4" s="209"/>
    </row>
    <row r="5" spans="1:5" x14ac:dyDescent="0.25">
      <c r="A5" s="208">
        <v>44216</v>
      </c>
      <c r="B5" s="221">
        <v>472</v>
      </c>
      <c r="C5" s="211">
        <f>((B4*5)+(B3*3)+(B2*1))/(5+3+1)</f>
        <v>394.22222222222223</v>
      </c>
      <c r="D5" s="211">
        <f>ABS(B5-C5)</f>
        <v>77.777777777777771</v>
      </c>
      <c r="E5" s="211">
        <f>ABS((B5-C5)/B5)</f>
        <v>0.1647834274952919</v>
      </c>
    </row>
    <row r="6" spans="1:5" x14ac:dyDescent="0.25">
      <c r="A6" s="208">
        <v>44247</v>
      </c>
      <c r="B6" s="221">
        <v>342</v>
      </c>
      <c r="C6" s="211">
        <f t="shared" ref="C6:C14" si="0">((B5*5)+(B4*3)+(B3*1))/(5+3+1)</f>
        <v>427.22222222222223</v>
      </c>
      <c r="D6" s="211">
        <f t="shared" ref="D6:D13" si="1">ABS(B6-C6)</f>
        <v>85.222222222222229</v>
      </c>
      <c r="E6" s="211">
        <f t="shared" ref="E6:E13" si="2">ABS((B6-C6)/B6)</f>
        <v>0.24918778427550359</v>
      </c>
    </row>
    <row r="7" spans="1:5" x14ac:dyDescent="0.25">
      <c r="A7" s="208">
        <v>44275</v>
      </c>
      <c r="B7" s="221">
        <v>367</v>
      </c>
      <c r="C7" s="211">
        <f t="shared" si="0"/>
        <v>386.44444444444446</v>
      </c>
      <c r="D7" s="211">
        <f t="shared" si="1"/>
        <v>19.444444444444457</v>
      </c>
      <c r="E7" s="211">
        <f t="shared" si="2"/>
        <v>5.2982137450802338E-2</v>
      </c>
    </row>
    <row r="8" spans="1:5" x14ac:dyDescent="0.25">
      <c r="A8" s="208">
        <v>44306</v>
      </c>
      <c r="B8" s="221">
        <v>370</v>
      </c>
      <c r="C8" s="211">
        <f t="shared" si="0"/>
        <v>370.33333333333331</v>
      </c>
      <c r="D8" s="211">
        <f t="shared" si="1"/>
        <v>0.33333333333331439</v>
      </c>
      <c r="E8" s="211">
        <f t="shared" si="2"/>
        <v>9.0090090090084974E-4</v>
      </c>
    </row>
    <row r="9" spans="1:5" x14ac:dyDescent="0.25">
      <c r="A9" s="208">
        <v>44336</v>
      </c>
      <c r="B9" s="221">
        <v>437</v>
      </c>
      <c r="C9" s="211">
        <f t="shared" si="0"/>
        <v>365.88888888888891</v>
      </c>
      <c r="D9" s="211">
        <f t="shared" si="1"/>
        <v>71.111111111111086</v>
      </c>
      <c r="E9" s="211">
        <f t="shared" si="2"/>
        <v>0.16272565471650133</v>
      </c>
    </row>
    <row r="10" spans="1:5" x14ac:dyDescent="0.25">
      <c r="A10" s="208">
        <v>44367</v>
      </c>
      <c r="B10" s="221">
        <v>412</v>
      </c>
      <c r="C10" s="211">
        <f t="shared" si="0"/>
        <v>406.88888888888891</v>
      </c>
      <c r="D10" s="211">
        <f t="shared" si="1"/>
        <v>5.1111111111110858</v>
      </c>
      <c r="E10" s="211">
        <f t="shared" si="2"/>
        <v>1.2405609492988072E-2</v>
      </c>
    </row>
    <row r="11" spans="1:5" x14ac:dyDescent="0.25">
      <c r="A11" s="208">
        <v>44397</v>
      </c>
      <c r="B11" s="221">
        <v>336</v>
      </c>
      <c r="C11" s="211">
        <f t="shared" si="0"/>
        <v>415.66666666666669</v>
      </c>
      <c r="D11" s="211">
        <f t="shared" si="1"/>
        <v>79.666666666666686</v>
      </c>
      <c r="E11" s="211">
        <f t="shared" si="2"/>
        <v>0.23710317460317465</v>
      </c>
    </row>
    <row r="12" spans="1:5" x14ac:dyDescent="0.25">
      <c r="A12" s="208">
        <v>44428</v>
      </c>
      <c r="B12" s="221">
        <v>388</v>
      </c>
      <c r="C12" s="211">
        <f t="shared" si="0"/>
        <v>372.55555555555554</v>
      </c>
      <c r="D12" s="211">
        <f t="shared" si="1"/>
        <v>15.444444444444457</v>
      </c>
      <c r="E12" s="211">
        <f t="shared" si="2"/>
        <v>3.9805269186712518E-2</v>
      </c>
    </row>
    <row r="13" spans="1:5" x14ac:dyDescent="0.25">
      <c r="A13" s="208">
        <v>44459</v>
      </c>
      <c r="B13" s="221">
        <v>344</v>
      </c>
      <c r="C13" s="211">
        <f t="shared" si="0"/>
        <v>373.33333333333331</v>
      </c>
      <c r="D13" s="211">
        <f t="shared" si="1"/>
        <v>29.333333333333314</v>
      </c>
      <c r="E13" s="211">
        <f t="shared" si="2"/>
        <v>8.5271317829457308E-2</v>
      </c>
    </row>
    <row r="14" spans="1:5" x14ac:dyDescent="0.25">
      <c r="A14" s="208">
        <v>44489</v>
      </c>
      <c r="B14" s="218"/>
      <c r="C14" s="211">
        <f t="shared" si="0"/>
        <v>357.77777777777777</v>
      </c>
      <c r="D14" s="211"/>
      <c r="E14" s="211"/>
    </row>
    <row r="15" spans="1:5" x14ac:dyDescent="0.25">
      <c r="A15" s="217"/>
      <c r="B15" s="218"/>
    </row>
    <row r="16" spans="1:5" x14ac:dyDescent="0.25">
      <c r="C16" s="209" t="s">
        <v>368</v>
      </c>
      <c r="D16" s="211">
        <f>AVERAGE(D5:D13)</f>
        <v>42.604938271604937</v>
      </c>
      <c r="E16" s="209"/>
    </row>
    <row r="17" spans="2:11" ht="13" x14ac:dyDescent="0.3">
      <c r="B17" s="220"/>
      <c r="C17" s="209" t="s">
        <v>369</v>
      </c>
      <c r="D17" s="222"/>
      <c r="E17" s="212">
        <f>AVERAGE(E5:E13)</f>
        <v>0.11168503066125918</v>
      </c>
      <c r="F17" s="223"/>
      <c r="G17" s="223"/>
      <c r="H17" s="223"/>
      <c r="I17" s="224"/>
    </row>
    <row r="18" spans="2:11" x14ac:dyDescent="0.25">
      <c r="B18" s="220"/>
      <c r="E18" s="225"/>
      <c r="F18" s="225"/>
      <c r="G18" s="225"/>
      <c r="H18" s="225"/>
    </row>
    <row r="19" spans="2:11" ht="13" thickBot="1" x14ac:dyDescent="0.3">
      <c r="D19" s="226"/>
      <c r="E19" s="227"/>
      <c r="F19" s="227"/>
      <c r="G19" s="227"/>
      <c r="H19" s="227"/>
    </row>
    <row r="20" spans="2:11" ht="12.5" customHeight="1" x14ac:dyDescent="0.25">
      <c r="H20" s="344" t="s">
        <v>525</v>
      </c>
      <c r="I20" s="345"/>
      <c r="J20" s="345"/>
      <c r="K20" s="346"/>
    </row>
    <row r="21" spans="2:11" ht="12.5" customHeight="1" x14ac:dyDescent="0.25">
      <c r="H21" s="347"/>
      <c r="I21" s="348"/>
      <c r="J21" s="348"/>
      <c r="K21" s="349"/>
    </row>
    <row r="22" spans="2:11" ht="13.5" customHeight="1" x14ac:dyDescent="0.25">
      <c r="H22" s="347"/>
      <c r="I22" s="348"/>
      <c r="J22" s="348"/>
      <c r="K22" s="349"/>
    </row>
    <row r="23" spans="2:11" ht="14.5" customHeight="1" x14ac:dyDescent="0.25">
      <c r="H23" s="347"/>
      <c r="I23" s="348"/>
      <c r="J23" s="348"/>
      <c r="K23" s="349"/>
    </row>
    <row r="24" spans="2:11" ht="13.9" customHeight="1" x14ac:dyDescent="0.25">
      <c r="H24" s="347"/>
      <c r="I24" s="348"/>
      <c r="J24" s="348"/>
      <c r="K24" s="349"/>
    </row>
    <row r="25" spans="2:11" ht="14.5" customHeight="1" x14ac:dyDescent="0.25">
      <c r="H25" s="347"/>
      <c r="I25" s="348"/>
      <c r="J25" s="348"/>
      <c r="K25" s="349"/>
    </row>
    <row r="26" spans="2:11" ht="13.9" customHeight="1" x14ac:dyDescent="0.25">
      <c r="H26" s="347"/>
      <c r="I26" s="348"/>
      <c r="J26" s="348"/>
      <c r="K26" s="349"/>
    </row>
    <row r="27" spans="2:11" x14ac:dyDescent="0.25">
      <c r="H27" s="347"/>
      <c r="I27" s="348"/>
      <c r="J27" s="348"/>
      <c r="K27" s="349"/>
    </row>
    <row r="28" spans="2:11" ht="12.5" customHeight="1" thickBot="1" x14ac:dyDescent="0.3">
      <c r="H28" s="350"/>
      <c r="I28" s="351"/>
      <c r="J28" s="351"/>
      <c r="K28" s="352"/>
    </row>
    <row r="31" spans="2:11" ht="12.5" customHeight="1" x14ac:dyDescent="0.25">
      <c r="H31" s="225"/>
    </row>
  </sheetData>
  <mergeCells count="1">
    <mergeCell ref="H20:K28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CD13-B1C0-4FC3-8A14-892A2269BAA1}">
  <dimension ref="A1:L56"/>
  <sheetViews>
    <sheetView showGridLines="0" topLeftCell="A4" zoomScale="81" zoomScaleNormal="81" workbookViewId="0">
      <selection activeCell="E26" sqref="E26"/>
    </sheetView>
  </sheetViews>
  <sheetFormatPr defaultColWidth="9.1796875" defaultRowHeight="12.5" customHeight="1" x14ac:dyDescent="0.25"/>
  <cols>
    <col min="1" max="1" width="12.7265625" style="203" customWidth="1"/>
    <col min="2" max="2" width="13.26953125" style="203" customWidth="1"/>
    <col min="3" max="3" width="15.81640625" style="203" customWidth="1"/>
    <col min="4" max="4" width="21.81640625" style="203" customWidth="1"/>
    <col min="5" max="5" width="23.54296875" style="203" customWidth="1"/>
    <col min="6" max="11" width="12.54296875" style="203" customWidth="1"/>
    <col min="12" max="12" width="28.1796875" style="203" customWidth="1"/>
    <col min="13" max="256" width="12.54296875" style="203" customWidth="1"/>
    <col min="257" max="257" width="9.1796875" style="203" customWidth="1"/>
    <col min="258" max="16384" width="9.1796875" style="203"/>
  </cols>
  <sheetData>
    <row r="1" spans="1:5" ht="25" x14ac:dyDescent="0.25">
      <c r="A1" s="205" t="s">
        <v>362</v>
      </c>
      <c r="B1" s="228" t="s">
        <v>372</v>
      </c>
      <c r="C1" s="206" t="s">
        <v>374</v>
      </c>
      <c r="D1" s="206" t="s">
        <v>365</v>
      </c>
      <c r="E1" s="207" t="s">
        <v>366</v>
      </c>
    </row>
    <row r="2" spans="1:5" x14ac:dyDescent="0.25">
      <c r="A2" s="208">
        <v>44124</v>
      </c>
      <c r="B2" s="209">
        <v>501</v>
      </c>
      <c r="C2" s="211">
        <f>AVERAGE(B2:B6)</f>
        <v>419.2</v>
      </c>
      <c r="D2" s="211">
        <f>ABS(B2-C2)</f>
        <v>81.800000000000011</v>
      </c>
      <c r="E2" s="211">
        <f>ABS((B2-C2)/B2)</f>
        <v>0.16327345309381239</v>
      </c>
    </row>
    <row r="3" spans="1:5" x14ac:dyDescent="0.25">
      <c r="A3" s="208">
        <v>44155</v>
      </c>
      <c r="B3" s="209">
        <v>429</v>
      </c>
      <c r="C3" s="209">
        <f>(0.2*B2)+(1-0.2)*C2</f>
        <v>435.56</v>
      </c>
      <c r="D3" s="211">
        <f t="shared" ref="D3:D13" si="0">ABS(B3-C3)</f>
        <v>6.5600000000000023</v>
      </c>
      <c r="E3" s="211">
        <f t="shared" ref="E3:E13" si="1">ABS((B3-C3)/B3)</f>
        <v>1.5291375291375297E-2</v>
      </c>
    </row>
    <row r="4" spans="1:5" x14ac:dyDescent="0.25">
      <c r="A4" s="208">
        <v>44185</v>
      </c>
      <c r="B4" s="209">
        <v>352</v>
      </c>
      <c r="C4" s="211">
        <f>(0.2*B3)+(1-0.2)*C3</f>
        <v>434.24800000000005</v>
      </c>
      <c r="D4" s="211">
        <f t="shared" si="0"/>
        <v>82.248000000000047</v>
      </c>
      <c r="E4" s="211">
        <f t="shared" si="1"/>
        <v>0.23365909090909104</v>
      </c>
    </row>
    <row r="5" spans="1:5" x14ac:dyDescent="0.25">
      <c r="A5" s="208">
        <v>44216</v>
      </c>
      <c r="B5" s="209">
        <v>472</v>
      </c>
      <c r="C5" s="211">
        <f>(0.2*B4)+(1-0.2)*C4</f>
        <v>417.79840000000002</v>
      </c>
      <c r="D5" s="211">
        <f t="shared" si="0"/>
        <v>54.201599999999985</v>
      </c>
      <c r="E5" s="211">
        <f t="shared" si="1"/>
        <v>0.11483389830508471</v>
      </c>
    </row>
    <row r="6" spans="1:5" x14ac:dyDescent="0.25">
      <c r="A6" s="208">
        <v>44247</v>
      </c>
      <c r="B6" s="209">
        <v>342</v>
      </c>
      <c r="C6" s="211">
        <f t="shared" ref="C6:C14" si="2">(0.2*B5)+(1-0.2)*C5</f>
        <v>428.63872000000003</v>
      </c>
      <c r="D6" s="211">
        <f t="shared" si="0"/>
        <v>86.638720000000035</v>
      </c>
      <c r="E6" s="211">
        <f t="shared" si="1"/>
        <v>0.25332959064327498</v>
      </c>
    </row>
    <row r="7" spans="1:5" x14ac:dyDescent="0.25">
      <c r="A7" s="208">
        <v>44275</v>
      </c>
      <c r="B7" s="209">
        <v>367</v>
      </c>
      <c r="C7" s="211">
        <f t="shared" si="2"/>
        <v>411.3109760000001</v>
      </c>
      <c r="D7" s="211">
        <f t="shared" si="0"/>
        <v>44.310976000000096</v>
      </c>
      <c r="E7" s="211">
        <f t="shared" si="1"/>
        <v>0.1207383542234335</v>
      </c>
    </row>
    <row r="8" spans="1:5" x14ac:dyDescent="0.25">
      <c r="A8" s="208">
        <v>44306</v>
      </c>
      <c r="B8" s="209">
        <v>370</v>
      </c>
      <c r="C8" s="211">
        <f t="shared" si="2"/>
        <v>402.44878080000012</v>
      </c>
      <c r="D8" s="211">
        <f t="shared" si="0"/>
        <v>32.448780800000122</v>
      </c>
      <c r="E8" s="211">
        <f t="shared" si="1"/>
        <v>8.7699407567567902E-2</v>
      </c>
    </row>
    <row r="9" spans="1:5" x14ac:dyDescent="0.25">
      <c r="A9" s="208">
        <v>44336</v>
      </c>
      <c r="B9" s="209">
        <v>437</v>
      </c>
      <c r="C9" s="211">
        <f t="shared" si="2"/>
        <v>395.95902464000011</v>
      </c>
      <c r="D9" s="211">
        <f t="shared" si="0"/>
        <v>41.040975359999891</v>
      </c>
      <c r="E9" s="211">
        <f t="shared" si="1"/>
        <v>9.3915275423340716E-2</v>
      </c>
    </row>
    <row r="10" spans="1:5" x14ac:dyDescent="0.25">
      <c r="A10" s="208">
        <v>44367</v>
      </c>
      <c r="B10" s="209">
        <v>412</v>
      </c>
      <c r="C10" s="211">
        <f t="shared" si="2"/>
        <v>404.16721971200013</v>
      </c>
      <c r="D10" s="211">
        <f t="shared" si="0"/>
        <v>7.8327802879998671</v>
      </c>
      <c r="E10" s="211">
        <f t="shared" si="1"/>
        <v>1.9011602640776375E-2</v>
      </c>
    </row>
    <row r="11" spans="1:5" x14ac:dyDescent="0.25">
      <c r="A11" s="208">
        <v>44397</v>
      </c>
      <c r="B11" s="209">
        <v>336</v>
      </c>
      <c r="C11" s="211">
        <f t="shared" si="2"/>
        <v>405.73377576960013</v>
      </c>
      <c r="D11" s="211">
        <f t="shared" si="0"/>
        <v>69.733775769600129</v>
      </c>
      <c r="E11" s="211">
        <f t="shared" si="1"/>
        <v>0.2075409993142861</v>
      </c>
    </row>
    <row r="12" spans="1:5" x14ac:dyDescent="0.25">
      <c r="A12" s="208">
        <v>44428</v>
      </c>
      <c r="B12" s="209">
        <v>388</v>
      </c>
      <c r="C12" s="211">
        <f t="shared" si="2"/>
        <v>391.78702061568009</v>
      </c>
      <c r="D12" s="211">
        <f t="shared" si="0"/>
        <v>3.7870206156800919</v>
      </c>
      <c r="E12" s="211">
        <f t="shared" si="1"/>
        <v>9.7603624115466282E-3</v>
      </c>
    </row>
    <row r="13" spans="1:5" x14ac:dyDescent="0.25">
      <c r="A13" s="208">
        <v>44459</v>
      </c>
      <c r="B13" s="209">
        <v>344</v>
      </c>
      <c r="C13" s="229">
        <f t="shared" si="2"/>
        <v>391.02961649254411</v>
      </c>
      <c r="D13" s="229">
        <f t="shared" si="0"/>
        <v>47.029616492544108</v>
      </c>
      <c r="E13" s="229">
        <f t="shared" si="1"/>
        <v>0.13671400143181425</v>
      </c>
    </row>
    <row r="14" spans="1:5" x14ac:dyDescent="0.25">
      <c r="A14" s="208">
        <v>44489</v>
      </c>
      <c r="C14" s="211">
        <f t="shared" si="2"/>
        <v>381.6236931940353</v>
      </c>
      <c r="D14" s="211"/>
      <c r="E14" s="211"/>
    </row>
    <row r="15" spans="1:5" x14ac:dyDescent="0.25">
      <c r="A15" s="230"/>
      <c r="C15" s="231"/>
      <c r="D15" s="231"/>
      <c r="E15" s="231"/>
    </row>
    <row r="16" spans="1:5" x14ac:dyDescent="0.25">
      <c r="C16" s="209" t="s">
        <v>368</v>
      </c>
      <c r="D16" s="211">
        <f>AVERAGE(D2:D13)</f>
        <v>46.469353777152037</v>
      </c>
      <c r="E16" s="209"/>
    </row>
    <row r="17" spans="1:12" x14ac:dyDescent="0.25">
      <c r="C17" s="232" t="s">
        <v>369</v>
      </c>
      <c r="D17" s="232"/>
      <c r="E17" s="233">
        <f>AVERAGE(E2:E13)</f>
        <v>0.12131395093795029</v>
      </c>
    </row>
    <row r="19" spans="1:12" ht="25" x14ac:dyDescent="0.25">
      <c r="A19" s="205" t="s">
        <v>362</v>
      </c>
      <c r="B19" s="228" t="s">
        <v>372</v>
      </c>
      <c r="C19" s="206" t="s">
        <v>375</v>
      </c>
      <c r="D19" s="206" t="s">
        <v>365</v>
      </c>
      <c r="E19" s="207" t="s">
        <v>366</v>
      </c>
    </row>
    <row r="20" spans="1:12" ht="13" x14ac:dyDescent="0.25">
      <c r="A20" s="208">
        <v>44124</v>
      </c>
      <c r="B20" s="209">
        <v>501</v>
      </c>
      <c r="C20" s="211">
        <f>AVERAGE(B20:B24)</f>
        <v>419.2</v>
      </c>
      <c r="D20" s="211">
        <f>ABS(B20-C20)</f>
        <v>81.800000000000011</v>
      </c>
      <c r="E20" s="211">
        <f>ABS((B20-C20)/B20)</f>
        <v>0.16327345309381239</v>
      </c>
      <c r="F20" s="234"/>
      <c r="G20" s="234"/>
      <c r="H20" s="234"/>
    </row>
    <row r="21" spans="1:12" ht="13" thickBot="1" x14ac:dyDescent="0.3">
      <c r="A21" s="208">
        <v>44155</v>
      </c>
      <c r="B21" s="209">
        <v>429</v>
      </c>
      <c r="C21" s="209">
        <f>(0.7*B20)+(1-0.7)*C20</f>
        <v>476.46000000000004</v>
      </c>
      <c r="D21" s="211">
        <f t="shared" ref="D21:D31" si="3">ABS(B21-C21)</f>
        <v>47.460000000000036</v>
      </c>
      <c r="E21" s="211">
        <f t="shared" ref="E21:E31" si="4">ABS((B21-C21)/B21)</f>
        <v>0.11062937062937071</v>
      </c>
      <c r="F21" s="235"/>
      <c r="G21" s="235"/>
      <c r="H21" s="235"/>
    </row>
    <row r="22" spans="1:12" x14ac:dyDescent="0.25">
      <c r="A22" s="208">
        <v>44185</v>
      </c>
      <c r="B22" s="209">
        <v>352</v>
      </c>
      <c r="C22" s="211">
        <f>(0.7*B21)+(1-0.7)*C21</f>
        <v>443.238</v>
      </c>
      <c r="D22" s="211">
        <f t="shared" si="3"/>
        <v>91.238</v>
      </c>
      <c r="E22" s="211">
        <f t="shared" si="4"/>
        <v>0.25919886363636363</v>
      </c>
      <c r="I22" s="409" t="s">
        <v>527</v>
      </c>
      <c r="J22" s="345"/>
      <c r="K22" s="345"/>
      <c r="L22" s="346"/>
    </row>
    <row r="23" spans="1:12" x14ac:dyDescent="0.25">
      <c r="A23" s="208">
        <v>44216</v>
      </c>
      <c r="B23" s="209">
        <v>472</v>
      </c>
      <c r="C23" s="211">
        <f t="shared" ref="C23:C31" si="5">(0.7*B22)+(1-0.7)*C22</f>
        <v>379.37139999999999</v>
      </c>
      <c r="D23" s="211">
        <f t="shared" si="3"/>
        <v>92.628600000000006</v>
      </c>
      <c r="E23" s="211">
        <f t="shared" si="4"/>
        <v>0.19624703389830508</v>
      </c>
      <c r="I23" s="347"/>
      <c r="J23" s="348"/>
      <c r="K23" s="348"/>
      <c r="L23" s="349"/>
    </row>
    <row r="24" spans="1:12" x14ac:dyDescent="0.25">
      <c r="A24" s="208">
        <v>44247</v>
      </c>
      <c r="B24" s="209">
        <v>342</v>
      </c>
      <c r="C24" s="211">
        <f t="shared" si="5"/>
        <v>444.21141999999998</v>
      </c>
      <c r="D24" s="211">
        <f t="shared" si="3"/>
        <v>102.21141999999998</v>
      </c>
      <c r="E24" s="211">
        <f t="shared" si="4"/>
        <v>0.29886380116959055</v>
      </c>
      <c r="I24" s="347"/>
      <c r="J24" s="348"/>
      <c r="K24" s="348"/>
      <c r="L24" s="349"/>
    </row>
    <row r="25" spans="1:12" x14ac:dyDescent="0.25">
      <c r="A25" s="208">
        <v>44275</v>
      </c>
      <c r="B25" s="209">
        <v>367</v>
      </c>
      <c r="C25" s="211">
        <f t="shared" si="5"/>
        <v>372.66342599999996</v>
      </c>
      <c r="D25" s="211">
        <f t="shared" si="3"/>
        <v>5.6634259999999585</v>
      </c>
      <c r="E25" s="211">
        <f t="shared" si="4"/>
        <v>1.5431678474114328E-2</v>
      </c>
      <c r="I25" s="347"/>
      <c r="J25" s="348"/>
      <c r="K25" s="348"/>
      <c r="L25" s="349"/>
    </row>
    <row r="26" spans="1:12" x14ac:dyDescent="0.25">
      <c r="A26" s="208">
        <v>44306</v>
      </c>
      <c r="B26" s="209">
        <v>370</v>
      </c>
      <c r="C26" s="211">
        <f t="shared" si="5"/>
        <v>368.69902779999995</v>
      </c>
      <c r="D26" s="211">
        <f t="shared" si="3"/>
        <v>1.3009722000000465</v>
      </c>
      <c r="E26" s="211">
        <f t="shared" si="4"/>
        <v>3.5161410810812068E-3</v>
      </c>
      <c r="I26" s="347"/>
      <c r="J26" s="348"/>
      <c r="K26" s="348"/>
      <c r="L26" s="349"/>
    </row>
    <row r="27" spans="1:12" x14ac:dyDescent="0.25">
      <c r="A27" s="208">
        <v>44336</v>
      </c>
      <c r="B27" s="209">
        <v>437</v>
      </c>
      <c r="C27" s="211">
        <f t="shared" si="5"/>
        <v>369.60970834</v>
      </c>
      <c r="D27" s="211">
        <f t="shared" si="3"/>
        <v>67.390291660000003</v>
      </c>
      <c r="E27" s="211">
        <f t="shared" si="4"/>
        <v>0.15421119372997713</v>
      </c>
      <c r="I27" s="347"/>
      <c r="J27" s="348"/>
      <c r="K27" s="348"/>
      <c r="L27" s="349"/>
    </row>
    <row r="28" spans="1:12" x14ac:dyDescent="0.25">
      <c r="A28" s="208">
        <v>44367</v>
      </c>
      <c r="B28" s="209">
        <v>412</v>
      </c>
      <c r="C28" s="211">
        <f t="shared" si="5"/>
        <v>416.78291250199999</v>
      </c>
      <c r="D28" s="211">
        <f t="shared" si="3"/>
        <v>4.7829125019999879</v>
      </c>
      <c r="E28" s="211">
        <f t="shared" si="4"/>
        <v>1.1609010927184436E-2</v>
      </c>
      <c r="I28" s="347"/>
      <c r="J28" s="348"/>
      <c r="K28" s="348"/>
      <c r="L28" s="349"/>
    </row>
    <row r="29" spans="1:12" x14ac:dyDescent="0.25">
      <c r="A29" s="208">
        <v>44397</v>
      </c>
      <c r="B29" s="209">
        <v>336</v>
      </c>
      <c r="C29" s="211">
        <f t="shared" si="5"/>
        <v>413.43487375059999</v>
      </c>
      <c r="D29" s="211">
        <f t="shared" si="3"/>
        <v>77.434873750599991</v>
      </c>
      <c r="E29" s="211">
        <f t="shared" si="4"/>
        <v>0.23046093378154758</v>
      </c>
      <c r="I29" s="347"/>
      <c r="J29" s="348"/>
      <c r="K29" s="348"/>
      <c r="L29" s="349"/>
    </row>
    <row r="30" spans="1:12" ht="25" customHeight="1" thickBot="1" x14ac:dyDescent="0.3">
      <c r="A30" s="208">
        <v>44428</v>
      </c>
      <c r="B30" s="209">
        <v>388</v>
      </c>
      <c r="C30" s="211">
        <f t="shared" si="5"/>
        <v>359.23046212518</v>
      </c>
      <c r="D30" s="211">
        <f t="shared" si="3"/>
        <v>28.769537874820003</v>
      </c>
      <c r="E30" s="211">
        <f t="shared" si="4"/>
        <v>7.4148293491804129E-2</v>
      </c>
      <c r="I30" s="350"/>
      <c r="J30" s="351"/>
      <c r="K30" s="351"/>
      <c r="L30" s="352"/>
    </row>
    <row r="31" spans="1:12" x14ac:dyDescent="0.25">
      <c r="A31" s="208">
        <v>44459</v>
      </c>
      <c r="B31" s="209">
        <v>344</v>
      </c>
      <c r="C31" s="229">
        <f t="shared" si="5"/>
        <v>379.36913863755399</v>
      </c>
      <c r="D31" s="229">
        <f t="shared" si="3"/>
        <v>35.369138637553988</v>
      </c>
      <c r="E31" s="229">
        <f t="shared" si="4"/>
        <v>0.10281726348126159</v>
      </c>
    </row>
    <row r="32" spans="1:12" ht="13" thickBot="1" x14ac:dyDescent="0.3">
      <c r="A32" s="208">
        <v>44489</v>
      </c>
      <c r="C32" s="211">
        <f>(0.7*B31)+(1-0.7)*C31</f>
        <v>354.61074159126622</v>
      </c>
      <c r="D32" s="211"/>
      <c r="E32" s="211"/>
    </row>
    <row r="33" spans="1:12" x14ac:dyDescent="0.25">
      <c r="A33" s="230"/>
      <c r="C33" s="231"/>
      <c r="D33" s="231"/>
      <c r="E33" s="231"/>
      <c r="I33" s="409" t="s">
        <v>528</v>
      </c>
      <c r="J33" s="345"/>
      <c r="K33" s="345"/>
      <c r="L33" s="346"/>
    </row>
    <row r="34" spans="1:12" x14ac:dyDescent="0.25">
      <c r="C34" s="209" t="s">
        <v>368</v>
      </c>
      <c r="D34" s="211">
        <f>AVERAGE(D20:D31)</f>
        <v>53.004097718747829</v>
      </c>
      <c r="E34" s="209"/>
      <c r="I34" s="347"/>
      <c r="J34" s="348"/>
      <c r="K34" s="348"/>
      <c r="L34" s="349"/>
    </row>
    <row r="35" spans="1:12" x14ac:dyDescent="0.25">
      <c r="C35" s="232" t="s">
        <v>369</v>
      </c>
      <c r="D35" s="232"/>
      <c r="E35" s="233">
        <f>AVERAGE(E20:E31)</f>
        <v>0.13503391978286772</v>
      </c>
      <c r="I35" s="347"/>
      <c r="J35" s="348"/>
      <c r="K35" s="348"/>
      <c r="L35" s="349"/>
    </row>
    <row r="36" spans="1:12" ht="12.5" customHeight="1" x14ac:dyDescent="0.25">
      <c r="I36" s="347"/>
      <c r="J36" s="348"/>
      <c r="K36" s="348"/>
      <c r="L36" s="349"/>
    </row>
    <row r="37" spans="1:12" ht="12.5" customHeight="1" x14ac:dyDescent="0.25">
      <c r="I37" s="347"/>
      <c r="J37" s="348"/>
      <c r="K37" s="348"/>
      <c r="L37" s="349"/>
    </row>
    <row r="38" spans="1:12" ht="12.5" customHeight="1" x14ac:dyDescent="0.25">
      <c r="I38" s="347"/>
      <c r="J38" s="348"/>
      <c r="K38" s="348"/>
      <c r="L38" s="349"/>
    </row>
    <row r="39" spans="1:12" ht="12.5" customHeight="1" x14ac:dyDescent="0.25">
      <c r="I39" s="347"/>
      <c r="J39" s="348"/>
      <c r="K39" s="348"/>
      <c r="L39" s="349"/>
    </row>
    <row r="40" spans="1:12" ht="12.5" customHeight="1" x14ac:dyDescent="0.25">
      <c r="I40" s="347"/>
      <c r="J40" s="348"/>
      <c r="K40" s="348"/>
      <c r="L40" s="349"/>
    </row>
    <row r="41" spans="1:12" ht="12.5" customHeight="1" thickBot="1" x14ac:dyDescent="0.3">
      <c r="I41" s="350"/>
      <c r="J41" s="351"/>
      <c r="K41" s="351"/>
      <c r="L41" s="352"/>
    </row>
    <row r="56" spans="7:7" ht="12.5" customHeight="1" x14ac:dyDescent="0.25">
      <c r="G56" s="203">
        <f>30+18+20+14+12+20</f>
        <v>114</v>
      </c>
    </row>
  </sheetData>
  <mergeCells count="2">
    <mergeCell ref="I22:L30"/>
    <mergeCell ref="I33:L41"/>
  </mergeCells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5B16-316C-4447-8910-54ED3D79BAA1}">
  <dimension ref="A1:E15"/>
  <sheetViews>
    <sheetView showGridLines="0" zoomScale="83" zoomScaleNormal="83" workbookViewId="0">
      <selection activeCell="D19" sqref="D19"/>
    </sheetView>
  </sheetViews>
  <sheetFormatPr defaultColWidth="9.1796875" defaultRowHeight="12.5" customHeight="1" x14ac:dyDescent="0.25"/>
  <cols>
    <col min="1" max="1" width="13.54296875" style="203" customWidth="1"/>
    <col min="2" max="2" width="12.54296875" style="203" customWidth="1"/>
    <col min="3" max="3" width="14.453125" style="203" customWidth="1"/>
    <col min="4" max="4" width="17.453125" style="203" customWidth="1"/>
    <col min="5" max="5" width="22.453125" style="203" customWidth="1"/>
    <col min="6" max="6" width="9.1796875" style="203" customWidth="1"/>
    <col min="7" max="16384" width="9.1796875" style="203"/>
  </cols>
  <sheetData>
    <row r="1" spans="1:5" ht="25" x14ac:dyDescent="0.25">
      <c r="A1" s="205" t="s">
        <v>362</v>
      </c>
      <c r="B1" s="206" t="s">
        <v>372</v>
      </c>
      <c r="C1" s="206" t="s">
        <v>376</v>
      </c>
      <c r="D1" s="206" t="s">
        <v>377</v>
      </c>
      <c r="E1" s="206" t="s">
        <v>378</v>
      </c>
    </row>
    <row r="2" spans="1:5" x14ac:dyDescent="0.25">
      <c r="A2" s="236">
        <v>44124</v>
      </c>
      <c r="B2" s="205">
        <v>446</v>
      </c>
      <c r="C2" s="213"/>
      <c r="D2" s="211"/>
      <c r="E2" s="211">
        <f>AVERAGE(B2:B6)</f>
        <v>607.20000000000005</v>
      </c>
    </row>
    <row r="3" spans="1:5" x14ac:dyDescent="0.25">
      <c r="A3" s="236">
        <v>44155</v>
      </c>
      <c r="B3" s="205">
        <v>517</v>
      </c>
      <c r="C3" s="210"/>
      <c r="D3" s="211"/>
      <c r="E3" s="211">
        <f>(0.2*B2)+(1-0.2)*E2</f>
        <v>574.96</v>
      </c>
    </row>
    <row r="4" spans="1:5" x14ac:dyDescent="0.25">
      <c r="A4" s="236">
        <v>44185</v>
      </c>
      <c r="B4" s="205">
        <v>604</v>
      </c>
      <c r="C4" s="213"/>
      <c r="D4" s="211"/>
      <c r="E4" s="211">
        <f t="shared" ref="E4:E14" si="0">(0.2*B3)+(1-0.2)*E3</f>
        <v>563.36800000000005</v>
      </c>
    </row>
    <row r="5" spans="1:5" x14ac:dyDescent="0.25">
      <c r="A5" s="236">
        <v>44216</v>
      </c>
      <c r="B5" s="205">
        <v>697</v>
      </c>
      <c r="C5" s="211">
        <f>(B2+B3+B4)/3</f>
        <v>522.33333333333337</v>
      </c>
      <c r="D5" s="211">
        <f>((B4*5)+(B3*3)+(B2*1))/(5+3+1)</f>
        <v>557.44444444444446</v>
      </c>
      <c r="E5" s="211">
        <f t="shared" si="0"/>
        <v>571.49440000000004</v>
      </c>
    </row>
    <row r="6" spans="1:5" x14ac:dyDescent="0.25">
      <c r="A6" s="236">
        <v>44247</v>
      </c>
      <c r="B6" s="205">
        <v>772</v>
      </c>
      <c r="C6" s="211">
        <f t="shared" ref="C6:C14" si="1">(B3+B4+B5)/3</f>
        <v>606</v>
      </c>
      <c r="D6" s="211">
        <f t="shared" ref="D6:D13" si="2">((B5*5)+(B4*3)+(B3*1))/(5+3+1)</f>
        <v>646</v>
      </c>
      <c r="E6" s="211">
        <f t="shared" si="0"/>
        <v>596.59552000000008</v>
      </c>
    </row>
    <row r="7" spans="1:5" x14ac:dyDescent="0.25">
      <c r="A7" s="236">
        <v>44275</v>
      </c>
      <c r="B7" s="205">
        <v>876</v>
      </c>
      <c r="C7" s="211">
        <f t="shared" si="1"/>
        <v>691</v>
      </c>
      <c r="D7" s="211">
        <f t="shared" si="2"/>
        <v>728.33333333333337</v>
      </c>
      <c r="E7" s="211">
        <f t="shared" si="0"/>
        <v>631.67641600000013</v>
      </c>
    </row>
    <row r="8" spans="1:5" x14ac:dyDescent="0.25">
      <c r="A8" s="236">
        <v>44306</v>
      </c>
      <c r="B8" s="205">
        <v>931</v>
      </c>
      <c r="C8" s="211">
        <f t="shared" si="1"/>
        <v>781.66666666666663</v>
      </c>
      <c r="D8" s="211">
        <f t="shared" si="2"/>
        <v>821.44444444444446</v>
      </c>
      <c r="E8" s="211">
        <f t="shared" si="0"/>
        <v>680.54113280000013</v>
      </c>
    </row>
    <row r="9" spans="1:5" x14ac:dyDescent="0.25">
      <c r="A9" s="236">
        <v>44336</v>
      </c>
      <c r="B9" s="205">
        <v>1017</v>
      </c>
      <c r="C9" s="211">
        <f t="shared" si="1"/>
        <v>859.66666666666663</v>
      </c>
      <c r="D9" s="211">
        <f t="shared" si="2"/>
        <v>895</v>
      </c>
      <c r="E9" s="211">
        <f t="shared" si="0"/>
        <v>730.63290624000012</v>
      </c>
    </row>
    <row r="10" spans="1:5" x14ac:dyDescent="0.25">
      <c r="A10" s="236">
        <v>44367</v>
      </c>
      <c r="B10" s="205">
        <v>1103</v>
      </c>
      <c r="C10" s="211">
        <f t="shared" si="1"/>
        <v>941.33333333333337</v>
      </c>
      <c r="D10" s="211">
        <f t="shared" si="2"/>
        <v>972.66666666666663</v>
      </c>
      <c r="E10" s="211">
        <f t="shared" si="0"/>
        <v>787.90632499200012</v>
      </c>
    </row>
    <row r="11" spans="1:5" x14ac:dyDescent="0.25">
      <c r="A11" s="236">
        <v>44397</v>
      </c>
      <c r="B11" s="205">
        <v>1296</v>
      </c>
      <c r="C11" s="211">
        <f t="shared" si="1"/>
        <v>1017</v>
      </c>
      <c r="D11" s="211">
        <f t="shared" si="2"/>
        <v>1055.2222222222222</v>
      </c>
      <c r="E11" s="211">
        <f t="shared" si="0"/>
        <v>850.92505999360014</v>
      </c>
    </row>
    <row r="12" spans="1:5" x14ac:dyDescent="0.25">
      <c r="A12" s="236">
        <v>44428</v>
      </c>
      <c r="B12" s="205">
        <v>1535</v>
      </c>
      <c r="C12" s="211">
        <f t="shared" si="1"/>
        <v>1138.6666666666667</v>
      </c>
      <c r="D12" s="211">
        <f t="shared" si="2"/>
        <v>1200.6666666666667</v>
      </c>
      <c r="E12" s="211">
        <f t="shared" si="0"/>
        <v>939.94004799488016</v>
      </c>
    </row>
    <row r="13" spans="1:5" x14ac:dyDescent="0.25">
      <c r="A13" s="236">
        <v>44459</v>
      </c>
      <c r="B13" s="205">
        <v>1700</v>
      </c>
      <c r="C13" s="229">
        <f t="shared" si="1"/>
        <v>1311.3333333333333</v>
      </c>
      <c r="D13" s="229">
        <f t="shared" si="2"/>
        <v>1407.3333333333333</v>
      </c>
      <c r="E13" s="229">
        <f t="shared" si="0"/>
        <v>1058.9520383959043</v>
      </c>
    </row>
    <row r="14" spans="1:5" x14ac:dyDescent="0.25">
      <c r="A14" s="236">
        <v>44489</v>
      </c>
      <c r="C14" s="211">
        <f t="shared" si="1"/>
        <v>1510.3333333333333</v>
      </c>
      <c r="D14" s="211">
        <f>((B13*5)+(B12*3)+(B11*1))/(5+3+1)</f>
        <v>1600.1111111111111</v>
      </c>
      <c r="E14" s="211">
        <f t="shared" si="0"/>
        <v>1187.1616307167235</v>
      </c>
    </row>
    <row r="15" spans="1:5" x14ac:dyDescent="0.25">
      <c r="A15" s="237"/>
      <c r="C15" s="231"/>
      <c r="D15" s="231"/>
      <c r="E15" s="231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7176-91AD-4229-9A8B-5E89BE91BAA1}">
  <dimension ref="A1:G36"/>
  <sheetViews>
    <sheetView showGridLines="0" topLeftCell="A8" zoomScale="79" zoomScaleNormal="55" workbookViewId="0">
      <selection activeCell="D34" sqref="D34"/>
    </sheetView>
  </sheetViews>
  <sheetFormatPr defaultColWidth="9.1796875" defaultRowHeight="12.5" customHeight="1" x14ac:dyDescent="0.25"/>
  <cols>
    <col min="1" max="1" width="20" style="203" bestFit="1" customWidth="1"/>
    <col min="2" max="2" width="21.1796875" style="203" customWidth="1"/>
    <col min="3" max="3" width="25.453125" style="203" customWidth="1"/>
    <col min="4" max="4" width="10.453125" style="203" bestFit="1" customWidth="1"/>
    <col min="5" max="5" width="9.1796875" style="203" customWidth="1"/>
    <col min="6" max="7" width="12.453125" style="203" bestFit="1" customWidth="1"/>
    <col min="8" max="8" width="9.1796875" style="203" customWidth="1"/>
    <col min="9" max="16384" width="9.1796875" style="203"/>
  </cols>
  <sheetData>
    <row r="1" spans="1:4" ht="14.5" thickBot="1" x14ac:dyDescent="0.35">
      <c r="A1" s="238" t="s">
        <v>379</v>
      </c>
      <c r="B1" s="238" t="s">
        <v>380</v>
      </c>
    </row>
    <row r="2" spans="1:4" ht="15" thickTop="1" thickBot="1" x14ac:dyDescent="0.35">
      <c r="A2" s="239">
        <v>81048</v>
      </c>
      <c r="B2" s="240">
        <v>9927</v>
      </c>
    </row>
    <row r="3" spans="1:4" ht="14.5" thickBot="1" x14ac:dyDescent="0.35">
      <c r="A3" s="241">
        <v>72248</v>
      </c>
      <c r="B3" s="242">
        <v>34947</v>
      </c>
    </row>
    <row r="4" spans="1:4" ht="14.5" thickBot="1" x14ac:dyDescent="0.35">
      <c r="A4" s="243">
        <v>64258</v>
      </c>
      <c r="B4" s="244">
        <v>52178</v>
      </c>
    </row>
    <row r="5" spans="1:4" ht="14.5" thickBot="1" x14ac:dyDescent="0.35">
      <c r="A5" s="241">
        <v>77088</v>
      </c>
      <c r="B5" s="242">
        <v>26817</v>
      </c>
    </row>
    <row r="6" spans="1:4" ht="14.5" thickBot="1" x14ac:dyDescent="0.35">
      <c r="A6" s="243">
        <v>66448</v>
      </c>
      <c r="B6" s="244">
        <v>42047</v>
      </c>
    </row>
    <row r="7" spans="1:4" ht="14.5" thickBot="1" x14ac:dyDescent="0.35">
      <c r="A7" s="241">
        <v>76248</v>
      </c>
      <c r="B7" s="242">
        <v>34147</v>
      </c>
    </row>
    <row r="8" spans="1:4" ht="14.5" thickBot="1" x14ac:dyDescent="0.35">
      <c r="A8" s="243">
        <v>76248</v>
      </c>
      <c r="B8" s="244">
        <v>25003</v>
      </c>
    </row>
    <row r="9" spans="1:4" ht="14.5" thickBot="1" x14ac:dyDescent="0.35">
      <c r="A9" s="241">
        <v>73048</v>
      </c>
      <c r="B9" s="242">
        <v>34159</v>
      </c>
    </row>
    <row r="10" spans="1:4" ht="14.5" thickBot="1" x14ac:dyDescent="0.35">
      <c r="A10" s="243">
        <v>70648</v>
      </c>
      <c r="B10" s="244">
        <v>43017</v>
      </c>
    </row>
    <row r="11" spans="1:4" ht="14.5" thickBot="1" x14ac:dyDescent="0.35">
      <c r="A11" s="241">
        <v>81128</v>
      </c>
      <c r="B11" s="242">
        <v>12378</v>
      </c>
    </row>
    <row r="12" spans="1:4" ht="14.5" thickBot="1" x14ac:dyDescent="0.35">
      <c r="A12" s="243">
        <v>68448</v>
      </c>
      <c r="B12" s="244">
        <v>46168</v>
      </c>
    </row>
    <row r="13" spans="1:4" ht="14.5" thickBot="1" x14ac:dyDescent="0.35">
      <c r="A13" s="241">
        <v>75848</v>
      </c>
      <c r="B13" s="242">
        <v>28947</v>
      </c>
    </row>
    <row r="14" spans="1:4" ht="14" x14ac:dyDescent="0.3">
      <c r="A14" s="245"/>
      <c r="B14" s="246"/>
    </row>
    <row r="15" spans="1:4" ht="13" thickBot="1" x14ac:dyDescent="0.3">
      <c r="A15" s="247" t="s">
        <v>381</v>
      </c>
      <c r="B15" s="247" t="s">
        <v>382</v>
      </c>
    </row>
    <row r="16" spans="1:4" ht="14.5" thickBot="1" x14ac:dyDescent="0.35">
      <c r="A16" s="238" t="s">
        <v>380</v>
      </c>
      <c r="B16" s="248" t="s">
        <v>379</v>
      </c>
      <c r="C16" s="249" t="s">
        <v>383</v>
      </c>
      <c r="D16" s="209" t="s">
        <v>384</v>
      </c>
    </row>
    <row r="17" spans="1:7" ht="15" thickTop="1" thickBot="1" x14ac:dyDescent="0.35">
      <c r="A17" s="240">
        <v>9927</v>
      </c>
      <c r="B17" s="250">
        <v>81048</v>
      </c>
      <c r="C17" s="251">
        <f>-0.3998*(A17)+86543</f>
        <v>82574.185400000002</v>
      </c>
      <c r="D17" s="211">
        <f>ABS(B17-C17)</f>
        <v>1526.1854000000021</v>
      </c>
    </row>
    <row r="18" spans="1:7" ht="14.5" thickBot="1" x14ac:dyDescent="0.35">
      <c r="A18" s="242">
        <v>34947</v>
      </c>
      <c r="B18" s="252">
        <v>72248</v>
      </c>
      <c r="C18" s="251">
        <f t="shared" ref="C18:C28" si="0">-0.3998*(A18)+86543</f>
        <v>72571.189400000003</v>
      </c>
      <c r="D18" s="211">
        <f t="shared" ref="D18:D28" si="1">ABS(B18-C18)</f>
        <v>323.18940000000293</v>
      </c>
    </row>
    <row r="19" spans="1:7" ht="14.5" thickBot="1" x14ac:dyDescent="0.35">
      <c r="A19" s="244">
        <v>52178</v>
      </c>
      <c r="B19" s="253">
        <v>64258</v>
      </c>
      <c r="C19" s="251">
        <f t="shared" si="0"/>
        <v>65682.2356</v>
      </c>
      <c r="D19" s="211">
        <f t="shared" si="1"/>
        <v>1424.2356</v>
      </c>
    </row>
    <row r="20" spans="1:7" ht="14.5" thickBot="1" x14ac:dyDescent="0.35">
      <c r="A20" s="242">
        <v>26817</v>
      </c>
      <c r="B20" s="252">
        <v>77088</v>
      </c>
      <c r="C20" s="251">
        <f t="shared" si="0"/>
        <v>75821.563399999999</v>
      </c>
      <c r="D20" s="211">
        <f t="shared" si="1"/>
        <v>1266.4366000000009</v>
      </c>
    </row>
    <row r="21" spans="1:7" ht="14.5" thickBot="1" x14ac:dyDescent="0.35">
      <c r="A21" s="244">
        <v>42047</v>
      </c>
      <c r="B21" s="253">
        <v>66448</v>
      </c>
      <c r="C21" s="251">
        <f t="shared" si="0"/>
        <v>69732.609400000001</v>
      </c>
      <c r="D21" s="211">
        <f t="shared" si="1"/>
        <v>3284.6094000000012</v>
      </c>
    </row>
    <row r="22" spans="1:7" ht="14.5" thickBot="1" x14ac:dyDescent="0.35">
      <c r="A22" s="242">
        <v>34147</v>
      </c>
      <c r="B22" s="252">
        <v>76248</v>
      </c>
      <c r="C22" s="251">
        <f t="shared" si="0"/>
        <v>72891.029399999999</v>
      </c>
      <c r="D22" s="211">
        <f t="shared" si="1"/>
        <v>3356.9706000000006</v>
      </c>
    </row>
    <row r="23" spans="1:7" ht="14.5" thickBot="1" x14ac:dyDescent="0.35">
      <c r="A23" s="244">
        <v>25003</v>
      </c>
      <c r="B23" s="253">
        <v>76248</v>
      </c>
      <c r="C23" s="251">
        <f t="shared" si="0"/>
        <v>76546.800600000002</v>
      </c>
      <c r="D23" s="211">
        <f t="shared" si="1"/>
        <v>298.80060000000231</v>
      </c>
    </row>
    <row r="24" spans="1:7" ht="14.5" thickBot="1" x14ac:dyDescent="0.35">
      <c r="A24" s="242">
        <v>34159</v>
      </c>
      <c r="B24" s="252">
        <v>73048</v>
      </c>
      <c r="C24" s="251">
        <f t="shared" si="0"/>
        <v>72886.231799999994</v>
      </c>
      <c r="D24" s="211">
        <f t="shared" si="1"/>
        <v>161.76820000000589</v>
      </c>
    </row>
    <row r="25" spans="1:7" ht="14.5" thickBot="1" x14ac:dyDescent="0.35">
      <c r="A25" s="244">
        <v>43017</v>
      </c>
      <c r="B25" s="253">
        <v>70648</v>
      </c>
      <c r="C25" s="251">
        <f t="shared" si="0"/>
        <v>69344.803400000004</v>
      </c>
      <c r="D25" s="211">
        <f t="shared" si="1"/>
        <v>1303.1965999999957</v>
      </c>
    </row>
    <row r="26" spans="1:7" ht="14.5" thickBot="1" x14ac:dyDescent="0.35">
      <c r="A26" s="242">
        <v>12378</v>
      </c>
      <c r="B26" s="252">
        <v>81128</v>
      </c>
      <c r="C26" s="251">
        <f t="shared" si="0"/>
        <v>81594.275599999994</v>
      </c>
      <c r="D26" s="211">
        <f t="shared" si="1"/>
        <v>466.27559999999357</v>
      </c>
    </row>
    <row r="27" spans="1:7" ht="14.5" thickBot="1" x14ac:dyDescent="0.35">
      <c r="A27" s="244">
        <v>46168</v>
      </c>
      <c r="B27" s="253">
        <v>68448</v>
      </c>
      <c r="C27" s="251">
        <f t="shared" si="0"/>
        <v>68085.033599999995</v>
      </c>
      <c r="D27" s="211">
        <f t="shared" si="1"/>
        <v>362.9664000000048</v>
      </c>
    </row>
    <row r="28" spans="1:7" ht="14.5" thickBot="1" x14ac:dyDescent="0.35">
      <c r="A28" s="242">
        <v>28947</v>
      </c>
      <c r="B28" s="252">
        <v>75848</v>
      </c>
      <c r="C28" s="254">
        <f t="shared" si="0"/>
        <v>74969.989400000006</v>
      </c>
      <c r="D28" s="211">
        <f t="shared" si="1"/>
        <v>878.01059999999416</v>
      </c>
    </row>
    <row r="29" spans="1:7" ht="13" x14ac:dyDescent="0.3">
      <c r="A29" s="255"/>
      <c r="C29" s="256" t="s">
        <v>368</v>
      </c>
      <c r="D29" s="257">
        <f>AVERAGE(D17:D28)</f>
        <v>1221.0537500000003</v>
      </c>
    </row>
    <row r="30" spans="1:7" x14ac:dyDescent="0.25">
      <c r="A30" s="255"/>
    </row>
    <row r="31" spans="1:7" x14ac:dyDescent="0.25">
      <c r="A31" s="255"/>
      <c r="F31" s="258">
        <f>SLOPE(B17:B28,A17:A28)</f>
        <v>-0.39977480557936163</v>
      </c>
      <c r="G31" s="216" t="s">
        <v>385</v>
      </c>
    </row>
    <row r="32" spans="1:7" x14ac:dyDescent="0.25">
      <c r="A32" s="255"/>
      <c r="F32" s="259">
        <f>INTERCEPT(B17:B28,A17:A28)</f>
        <v>86542.686154372699</v>
      </c>
      <c r="G32" s="216" t="s">
        <v>386</v>
      </c>
    </row>
    <row r="33" spans="1:1" x14ac:dyDescent="0.25">
      <c r="A33" s="255"/>
    </row>
    <row r="34" spans="1:1" x14ac:dyDescent="0.25">
      <c r="A34" s="255"/>
    </row>
    <row r="35" spans="1:1" x14ac:dyDescent="0.25">
      <c r="A35" s="255"/>
    </row>
    <row r="36" spans="1:1" x14ac:dyDescent="0.25">
      <c r="A36" s="255"/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2A7C-8F43-4C3E-8F7C-BF836BADBAA1}">
  <dimension ref="A1:I40"/>
  <sheetViews>
    <sheetView showGridLines="0" topLeftCell="A12" zoomScale="73" zoomScaleNormal="73" workbookViewId="0">
      <selection activeCell="I23" sqref="I23"/>
    </sheetView>
  </sheetViews>
  <sheetFormatPr defaultColWidth="9.1796875" defaultRowHeight="14" customHeight="1" x14ac:dyDescent="0.3"/>
  <cols>
    <col min="1" max="1" width="10.7265625" style="37" customWidth="1"/>
    <col min="2" max="2" width="9.1796875" style="37"/>
    <col min="3" max="3" width="16.1796875" style="37" customWidth="1"/>
    <col min="4" max="4" width="19.26953125" style="37" customWidth="1"/>
    <col min="5" max="5" width="12.81640625" style="37" bestFit="1" customWidth="1"/>
    <col min="6" max="6" width="18.26953125" style="37" customWidth="1"/>
    <col min="7" max="7" width="14.1796875" style="37" customWidth="1"/>
    <col min="8" max="8" width="14.81640625" style="37" customWidth="1"/>
    <col min="9" max="9" width="23.453125" style="37" customWidth="1"/>
    <col min="10" max="10" width="16.453125" style="37" customWidth="1"/>
    <col min="11" max="11" width="17.26953125" style="37" customWidth="1"/>
    <col min="12" max="16384" width="9.1796875" style="37"/>
  </cols>
  <sheetData>
    <row r="1" spans="1:5" x14ac:dyDescent="0.3">
      <c r="A1" s="110" t="s">
        <v>387</v>
      </c>
    </row>
    <row r="2" spans="1:5" x14ac:dyDescent="0.3">
      <c r="A2" s="410" t="s">
        <v>388</v>
      </c>
      <c r="B2" s="411" t="s">
        <v>389</v>
      </c>
      <c r="C2" s="413" t="s">
        <v>390</v>
      </c>
      <c r="D2" s="413" t="s">
        <v>391</v>
      </c>
      <c r="E2" s="413" t="s">
        <v>384</v>
      </c>
    </row>
    <row r="3" spans="1:5" x14ac:dyDescent="0.3">
      <c r="A3" s="410"/>
      <c r="B3" s="411"/>
      <c r="C3" s="413"/>
      <c r="D3" s="413"/>
      <c r="E3" s="413"/>
    </row>
    <row r="4" spans="1:5" x14ac:dyDescent="0.3">
      <c r="A4" s="205">
        <v>1960</v>
      </c>
      <c r="B4" s="111">
        <v>1</v>
      </c>
      <c r="C4" s="205">
        <v>4.0999999999999996</v>
      </c>
      <c r="D4" s="260">
        <f>$H$21*B23+$G$21</f>
        <v>3.3021978021978029</v>
      </c>
      <c r="E4" s="261">
        <f>ABS(C4-D4)</f>
        <v>0.79780219780219674</v>
      </c>
    </row>
    <row r="5" spans="1:5" x14ac:dyDescent="0.3">
      <c r="A5" s="205">
        <v>1965</v>
      </c>
      <c r="B5" s="111">
        <v>2</v>
      </c>
      <c r="C5" s="205">
        <v>4.2</v>
      </c>
      <c r="D5" s="260">
        <f>$H$21*B24+$G$21</f>
        <v>3.7120879120879131</v>
      </c>
      <c r="E5" s="261">
        <f t="shared" ref="E5:E16" si="0">ABS(C5-D5)</f>
        <v>0.48791208791208707</v>
      </c>
    </row>
    <row r="6" spans="1:5" x14ac:dyDescent="0.3">
      <c r="A6" s="205">
        <v>1970</v>
      </c>
      <c r="B6" s="111">
        <v>3</v>
      </c>
      <c r="C6" s="205">
        <v>4.2</v>
      </c>
      <c r="D6" s="260">
        <f t="shared" ref="D6:D16" si="1">$H$21*B25+$G$21</f>
        <v>4.1219780219780233</v>
      </c>
      <c r="E6" s="261">
        <f t="shared" si="0"/>
        <v>7.8021978021976857E-2</v>
      </c>
    </row>
    <row r="7" spans="1:5" x14ac:dyDescent="0.3">
      <c r="A7" s="205">
        <v>1975</v>
      </c>
      <c r="B7" s="111">
        <v>4</v>
      </c>
      <c r="C7" s="205">
        <v>4.2</v>
      </c>
      <c r="D7" s="260">
        <f t="shared" si="1"/>
        <v>4.5318681318681326</v>
      </c>
      <c r="E7" s="261">
        <f t="shared" si="0"/>
        <v>0.33186813186813247</v>
      </c>
    </row>
    <row r="8" spans="1:5" x14ac:dyDescent="0.3">
      <c r="A8" s="205">
        <v>1980</v>
      </c>
      <c r="B8" s="111">
        <v>5</v>
      </c>
      <c r="C8" s="205">
        <v>4.5999999999999996</v>
      </c>
      <c r="D8" s="260">
        <f t="shared" si="1"/>
        <v>4.941758241758242</v>
      </c>
      <c r="E8" s="261">
        <f t="shared" si="0"/>
        <v>0.34175824175824232</v>
      </c>
    </row>
    <row r="9" spans="1:5" x14ac:dyDescent="0.3">
      <c r="A9" s="205">
        <v>1985</v>
      </c>
      <c r="B9" s="111">
        <v>6</v>
      </c>
      <c r="C9" s="205">
        <v>5.0999999999999996</v>
      </c>
      <c r="D9" s="260">
        <f t="shared" si="1"/>
        <v>5.3516483516483522</v>
      </c>
      <c r="E9" s="261">
        <f t="shared" si="0"/>
        <v>0.25164835164835253</v>
      </c>
    </row>
    <row r="10" spans="1:5" x14ac:dyDescent="0.3">
      <c r="A10" s="205">
        <v>1990</v>
      </c>
      <c r="B10" s="111">
        <v>7</v>
      </c>
      <c r="C10" s="205">
        <v>5.5</v>
      </c>
      <c r="D10" s="260">
        <f t="shared" si="1"/>
        <v>5.7615384615384624</v>
      </c>
      <c r="E10" s="261">
        <f t="shared" si="0"/>
        <v>0.26153846153846239</v>
      </c>
    </row>
    <row r="11" spans="1:5" x14ac:dyDescent="0.3">
      <c r="A11" s="205">
        <v>1995</v>
      </c>
      <c r="B11" s="111">
        <v>8</v>
      </c>
      <c r="C11" s="205">
        <v>5.7</v>
      </c>
      <c r="D11" s="260">
        <f t="shared" si="1"/>
        <v>6.1714285714285726</v>
      </c>
      <c r="E11" s="261">
        <f t="shared" si="0"/>
        <v>0.47142857142857242</v>
      </c>
    </row>
    <row r="12" spans="1:5" x14ac:dyDescent="0.3">
      <c r="A12" s="205">
        <v>2000</v>
      </c>
      <c r="B12" s="111">
        <v>9</v>
      </c>
      <c r="C12" s="205">
        <v>6.1</v>
      </c>
      <c r="D12" s="260">
        <f t="shared" si="1"/>
        <v>6.5813186813186819</v>
      </c>
      <c r="E12" s="261">
        <f t="shared" si="0"/>
        <v>0.48131868131868227</v>
      </c>
    </row>
    <row r="13" spans="1:5" x14ac:dyDescent="0.3">
      <c r="A13" s="205">
        <v>2005</v>
      </c>
      <c r="B13" s="111">
        <v>10</v>
      </c>
      <c r="C13" s="205">
        <v>6.3</v>
      </c>
      <c r="D13" s="260">
        <f t="shared" si="1"/>
        <v>6.9912087912087912</v>
      </c>
      <c r="E13" s="261">
        <f t="shared" si="0"/>
        <v>0.69120879120879142</v>
      </c>
    </row>
    <row r="14" spans="1:5" x14ac:dyDescent="0.3">
      <c r="A14" s="205">
        <v>2010</v>
      </c>
      <c r="B14" s="111">
        <v>11</v>
      </c>
      <c r="C14" s="205">
        <v>6.9</v>
      </c>
      <c r="D14" s="260">
        <f t="shared" si="1"/>
        <v>7.4010989010989015</v>
      </c>
      <c r="E14" s="261">
        <f t="shared" si="0"/>
        <v>0.50109890109890109</v>
      </c>
    </row>
    <row r="15" spans="1:5" x14ac:dyDescent="0.3">
      <c r="A15" s="205">
        <v>2015</v>
      </c>
      <c r="B15" s="111">
        <v>12</v>
      </c>
      <c r="C15" s="205">
        <v>8.5</v>
      </c>
      <c r="D15" s="260">
        <f t="shared" si="1"/>
        <v>7.8109890109890117</v>
      </c>
      <c r="E15" s="261">
        <f t="shared" si="0"/>
        <v>0.68901098901098834</v>
      </c>
    </row>
    <row r="16" spans="1:5" x14ac:dyDescent="0.3">
      <c r="A16" s="205">
        <v>2020</v>
      </c>
      <c r="B16" s="111">
        <v>13</v>
      </c>
      <c r="C16" s="205">
        <v>9.5</v>
      </c>
      <c r="D16" s="260">
        <f t="shared" si="1"/>
        <v>8.2208791208791219</v>
      </c>
      <c r="E16" s="261">
        <f t="shared" si="0"/>
        <v>1.2791208791208781</v>
      </c>
    </row>
    <row r="17" spans="1:9" x14ac:dyDescent="0.3">
      <c r="A17" s="205">
        <v>2025</v>
      </c>
      <c r="B17" s="111">
        <v>14</v>
      </c>
      <c r="C17" s="262" t="s">
        <v>392</v>
      </c>
      <c r="D17" s="111"/>
      <c r="E17" s="111"/>
    </row>
    <row r="18" spans="1:9" x14ac:dyDescent="0.3">
      <c r="A18" s="205">
        <v>2030</v>
      </c>
      <c r="B18" s="111">
        <v>15</v>
      </c>
      <c r="C18" s="262" t="s">
        <v>392</v>
      </c>
      <c r="D18" s="111"/>
      <c r="E18" s="111"/>
    </row>
    <row r="20" spans="1:9" ht="16" customHeight="1" x14ac:dyDescent="0.3">
      <c r="A20" s="110" t="s">
        <v>393</v>
      </c>
    </row>
    <row r="21" spans="1:9" x14ac:dyDescent="0.3">
      <c r="A21" s="410" t="s">
        <v>388</v>
      </c>
      <c r="B21" s="411" t="s">
        <v>389</v>
      </c>
      <c r="C21" s="412" t="s">
        <v>390</v>
      </c>
      <c r="D21" s="418" t="s">
        <v>394</v>
      </c>
      <c r="E21" s="420" t="s">
        <v>395</v>
      </c>
      <c r="F21" s="416" t="s">
        <v>396</v>
      </c>
      <c r="G21" s="422">
        <f>INTERCEPT(C23:C35,B23:B35)</f>
        <v>2.8923076923076931</v>
      </c>
      <c r="H21" s="414">
        <f>SLOPE(C23:C35,B23:B35)</f>
        <v>0.40989010989010988</v>
      </c>
      <c r="I21" s="416" t="s">
        <v>397</v>
      </c>
    </row>
    <row r="22" spans="1:9" x14ac:dyDescent="0.3">
      <c r="A22" s="410"/>
      <c r="B22" s="411"/>
      <c r="C22" s="412"/>
      <c r="D22" s="419"/>
      <c r="E22" s="421"/>
      <c r="F22" s="417"/>
      <c r="G22" s="423"/>
      <c r="H22" s="415"/>
      <c r="I22" s="417"/>
    </row>
    <row r="23" spans="1:9" x14ac:dyDescent="0.3">
      <c r="A23" s="205">
        <v>1960</v>
      </c>
      <c r="B23" s="111">
        <v>1</v>
      </c>
      <c r="C23" s="205">
        <v>4.0999999999999996</v>
      </c>
      <c r="D23" s="264" t="s">
        <v>398</v>
      </c>
      <c r="E23" s="265" t="s">
        <v>399</v>
      </c>
      <c r="F23" s="111" t="s">
        <v>400</v>
      </c>
      <c r="G23" s="266">
        <f>$B$39*C23+(1-$B$39)*(G21+H21)</f>
        <v>3.8606593406593408</v>
      </c>
      <c r="H23" s="267">
        <f>$B$40*(G23-G21)+(1-$B$40)*H21</f>
        <v>0.52158241758241752</v>
      </c>
      <c r="I23" s="268">
        <f>G21+H21</f>
        <v>3.3021978021978029</v>
      </c>
    </row>
    <row r="24" spans="1:9" x14ac:dyDescent="0.3">
      <c r="A24" s="205">
        <v>1965</v>
      </c>
      <c r="B24" s="111">
        <v>2</v>
      </c>
      <c r="C24" s="205">
        <v>4.2</v>
      </c>
      <c r="D24" s="264" t="s">
        <v>401</v>
      </c>
      <c r="E24" s="265" t="s">
        <v>402</v>
      </c>
      <c r="F24" s="111" t="s">
        <v>403</v>
      </c>
      <c r="G24" s="266">
        <f>$B$39*C24+(1-$B$39)*(G23+H23)</f>
        <v>4.2546725274725272</v>
      </c>
      <c r="H24" s="267">
        <f>$B$40*(G24-G23)+(1-$B$40)*H23</f>
        <v>0.4960685714285713</v>
      </c>
      <c r="I24" s="268">
        <f>G23+H23</f>
        <v>4.3822417582417579</v>
      </c>
    </row>
    <row r="25" spans="1:9" x14ac:dyDescent="0.3">
      <c r="A25" s="205">
        <v>1970</v>
      </c>
      <c r="B25" s="111">
        <v>3</v>
      </c>
      <c r="C25" s="205">
        <v>4.2</v>
      </c>
      <c r="D25" s="264" t="s">
        <v>404</v>
      </c>
      <c r="E25" s="265" t="s">
        <v>405</v>
      </c>
      <c r="F25" s="111" t="s">
        <v>406</v>
      </c>
      <c r="G25" s="266">
        <f t="shared" ref="G25:G35" si="2">$B$39*C25+(1-$B$39)*(G24+H24)</f>
        <v>4.3652223296703294</v>
      </c>
      <c r="H25" s="267">
        <f t="shared" ref="H25:H35" si="3">$B$40*(G25-G24)+(1-$B$40)*H24</f>
        <v>0.41896481758241749</v>
      </c>
      <c r="I25" s="268">
        <f t="shared" ref="I25:I35" si="4">G24+H24</f>
        <v>4.7507410989010985</v>
      </c>
    </row>
    <row r="26" spans="1:9" x14ac:dyDescent="0.3">
      <c r="A26" s="205">
        <v>1975</v>
      </c>
      <c r="B26" s="111">
        <v>4</v>
      </c>
      <c r="C26" s="205">
        <v>4.2</v>
      </c>
      <c r="D26" s="264" t="s">
        <v>407</v>
      </c>
      <c r="E26" s="265" t="s">
        <v>408</v>
      </c>
      <c r="F26" s="111" t="s">
        <v>409</v>
      </c>
      <c r="G26" s="266">
        <f t="shared" si="2"/>
        <v>4.3752561441758244</v>
      </c>
      <c r="H26" s="267">
        <f t="shared" si="3"/>
        <v>0.33717861696703305</v>
      </c>
      <c r="I26" s="268">
        <f t="shared" si="4"/>
        <v>4.7841871472527471</v>
      </c>
    </row>
    <row r="27" spans="1:9" x14ac:dyDescent="0.3">
      <c r="A27" s="205">
        <v>1980</v>
      </c>
      <c r="B27" s="111">
        <v>5</v>
      </c>
      <c r="C27" s="205">
        <v>4.5999999999999996</v>
      </c>
      <c r="D27" s="264" t="s">
        <v>410</v>
      </c>
      <c r="E27" s="265" t="s">
        <v>411</v>
      </c>
      <c r="F27" s="111" t="s">
        <v>412</v>
      </c>
      <c r="G27" s="266">
        <f t="shared" si="2"/>
        <v>4.6337304283428571</v>
      </c>
      <c r="H27" s="267">
        <f t="shared" si="3"/>
        <v>0.32143775040703298</v>
      </c>
      <c r="I27" s="268">
        <f t="shared" si="4"/>
        <v>4.7124347611428572</v>
      </c>
    </row>
    <row r="28" spans="1:9" x14ac:dyDescent="0.3">
      <c r="A28" s="205">
        <v>1985</v>
      </c>
      <c r="B28" s="111">
        <v>6</v>
      </c>
      <c r="C28" s="205">
        <v>5.0999999999999996</v>
      </c>
      <c r="D28" s="264" t="s">
        <v>413</v>
      </c>
      <c r="E28" s="265" t="s">
        <v>414</v>
      </c>
      <c r="F28" s="111" t="s">
        <v>415</v>
      </c>
      <c r="G28" s="266">
        <f t="shared" si="2"/>
        <v>5.0565504536249666</v>
      </c>
      <c r="H28" s="267">
        <f t="shared" si="3"/>
        <v>0.34171420538204833</v>
      </c>
      <c r="I28" s="268">
        <f t="shared" si="4"/>
        <v>4.95516817874989</v>
      </c>
    </row>
    <row r="29" spans="1:9" x14ac:dyDescent="0.3">
      <c r="A29" s="205">
        <v>1990</v>
      </c>
      <c r="B29" s="111">
        <v>7</v>
      </c>
      <c r="C29" s="205">
        <v>5.5</v>
      </c>
      <c r="D29" s="264" t="s">
        <v>416</v>
      </c>
      <c r="E29" s="265" t="s">
        <v>417</v>
      </c>
      <c r="F29" s="111" t="s">
        <v>418</v>
      </c>
      <c r="G29" s="266">
        <f t="shared" si="2"/>
        <v>5.4694793977021048</v>
      </c>
      <c r="H29" s="267">
        <f t="shared" si="3"/>
        <v>0.35595715312106635</v>
      </c>
      <c r="I29" s="268">
        <f t="shared" si="4"/>
        <v>5.3982646590070154</v>
      </c>
    </row>
    <row r="30" spans="1:9" x14ac:dyDescent="0.3">
      <c r="A30" s="205">
        <v>1995</v>
      </c>
      <c r="B30" s="111">
        <v>8</v>
      </c>
      <c r="C30" s="205">
        <v>5.7</v>
      </c>
      <c r="D30" s="264" t="s">
        <v>419</v>
      </c>
      <c r="E30" s="265" t="s">
        <v>420</v>
      </c>
      <c r="F30" s="111" t="s">
        <v>421</v>
      </c>
      <c r="G30" s="266">
        <f t="shared" si="2"/>
        <v>5.737630965246951</v>
      </c>
      <c r="H30" s="267">
        <f t="shared" si="3"/>
        <v>0.33839603600582235</v>
      </c>
      <c r="I30" s="268">
        <f t="shared" si="4"/>
        <v>5.8254365508231709</v>
      </c>
    </row>
    <row r="31" spans="1:9" x14ac:dyDescent="0.3">
      <c r="A31" s="205">
        <v>2000</v>
      </c>
      <c r="B31" s="111">
        <v>9</v>
      </c>
      <c r="C31" s="205">
        <v>6.1</v>
      </c>
      <c r="D31" s="264" t="s">
        <v>422</v>
      </c>
      <c r="E31" s="265" t="s">
        <v>423</v>
      </c>
      <c r="F31" s="111" t="s">
        <v>424</v>
      </c>
      <c r="G31" s="266">
        <f t="shared" si="2"/>
        <v>6.0928081003758319</v>
      </c>
      <c r="H31" s="267">
        <f t="shared" si="3"/>
        <v>0.34175225583043412</v>
      </c>
      <c r="I31" s="268">
        <f t="shared" si="4"/>
        <v>6.0760270012527737</v>
      </c>
    </row>
    <row r="32" spans="1:9" x14ac:dyDescent="0.3">
      <c r="A32" s="205">
        <v>2005</v>
      </c>
      <c r="B32" s="111">
        <v>10</v>
      </c>
      <c r="C32" s="205">
        <v>6.3</v>
      </c>
      <c r="D32" s="264" t="s">
        <v>425</v>
      </c>
      <c r="E32" s="265" t="s">
        <v>426</v>
      </c>
      <c r="F32" s="111" t="s">
        <v>427</v>
      </c>
      <c r="G32" s="266">
        <f t="shared" si="2"/>
        <v>6.3403681068618791</v>
      </c>
      <c r="H32" s="267">
        <f t="shared" si="3"/>
        <v>0.32291380596155678</v>
      </c>
      <c r="I32" s="268">
        <f t="shared" si="4"/>
        <v>6.4345603562062657</v>
      </c>
    </row>
    <row r="33" spans="1:9" x14ac:dyDescent="0.3">
      <c r="A33" s="205">
        <v>2010</v>
      </c>
      <c r="B33" s="111">
        <v>11</v>
      </c>
      <c r="C33" s="205">
        <v>6.9</v>
      </c>
      <c r="D33" s="264" t="s">
        <v>428</v>
      </c>
      <c r="E33" s="265" t="s">
        <v>429</v>
      </c>
      <c r="F33" s="111" t="s">
        <v>430</v>
      </c>
      <c r="G33" s="266">
        <f t="shared" si="2"/>
        <v>6.8289845738470314</v>
      </c>
      <c r="H33" s="267">
        <f t="shared" si="3"/>
        <v>0.35605433816627591</v>
      </c>
      <c r="I33" s="268">
        <f t="shared" si="4"/>
        <v>6.663281912823436</v>
      </c>
    </row>
    <row r="34" spans="1:9" x14ac:dyDescent="0.3">
      <c r="A34" s="205">
        <v>2015</v>
      </c>
      <c r="B34" s="111">
        <v>12</v>
      </c>
      <c r="C34" s="205">
        <v>8.5</v>
      </c>
      <c r="D34" s="264" t="s">
        <v>431</v>
      </c>
      <c r="E34" s="265" t="s">
        <v>432</v>
      </c>
      <c r="F34" s="111" t="s">
        <v>433</v>
      </c>
      <c r="G34" s="266">
        <f t="shared" si="2"/>
        <v>8.1055116736039921</v>
      </c>
      <c r="H34" s="267">
        <f t="shared" si="3"/>
        <v>0.54014889048441295</v>
      </c>
      <c r="I34" s="268">
        <f t="shared" si="4"/>
        <v>7.1850389120133071</v>
      </c>
    </row>
    <row r="35" spans="1:9" x14ac:dyDescent="0.3">
      <c r="A35" s="205">
        <v>2020</v>
      </c>
      <c r="B35" s="111">
        <v>13</v>
      </c>
      <c r="C35" s="205">
        <v>9.5</v>
      </c>
      <c r="D35" s="264" t="s">
        <v>434</v>
      </c>
      <c r="E35" s="265" t="s">
        <v>435</v>
      </c>
      <c r="F35" s="111" t="s">
        <v>436</v>
      </c>
      <c r="G35" s="266">
        <f t="shared" si="2"/>
        <v>9.243698169226521</v>
      </c>
      <c r="H35" s="267">
        <f t="shared" si="3"/>
        <v>0.65975641151203623</v>
      </c>
      <c r="I35" s="268">
        <f t="shared" si="4"/>
        <v>8.6456605640884057</v>
      </c>
    </row>
    <row r="36" spans="1:9" x14ac:dyDescent="0.3">
      <c r="A36" s="205">
        <v>2025</v>
      </c>
      <c r="B36" s="111">
        <v>14</v>
      </c>
      <c r="C36" s="262" t="s">
        <v>392</v>
      </c>
      <c r="D36" s="111"/>
      <c r="E36" s="111"/>
      <c r="F36" s="111" t="s">
        <v>437</v>
      </c>
      <c r="G36" s="269"/>
      <c r="H36" s="270"/>
      <c r="I36" s="268"/>
    </row>
    <row r="37" spans="1:9" x14ac:dyDescent="0.3">
      <c r="A37" s="205">
        <v>2030</v>
      </c>
      <c r="B37" s="111">
        <v>15</v>
      </c>
      <c r="C37" s="262" t="s">
        <v>392</v>
      </c>
      <c r="D37" s="269"/>
      <c r="E37" s="269"/>
      <c r="F37" s="269"/>
      <c r="G37" s="269"/>
      <c r="H37" s="269"/>
      <c r="I37" s="269"/>
    </row>
    <row r="39" spans="1:9" x14ac:dyDescent="0.3">
      <c r="A39" s="111" t="s">
        <v>438</v>
      </c>
      <c r="B39" s="111">
        <v>0.7</v>
      </c>
    </row>
    <row r="40" spans="1:9" ht="14.5" thickBot="1" x14ac:dyDescent="0.35">
      <c r="A40" s="111" t="s">
        <v>439</v>
      </c>
      <c r="B40" s="111">
        <v>0.2</v>
      </c>
    </row>
  </sheetData>
  <mergeCells count="14">
    <mergeCell ref="H21:H22"/>
    <mergeCell ref="I21:I22"/>
    <mergeCell ref="D2:D3"/>
    <mergeCell ref="E2:E3"/>
    <mergeCell ref="D21:D22"/>
    <mergeCell ref="E21:E22"/>
    <mergeCell ref="F21:F22"/>
    <mergeCell ref="G21:G22"/>
    <mergeCell ref="A21:A22"/>
    <mergeCell ref="B21:B22"/>
    <mergeCell ref="C21:C22"/>
    <mergeCell ref="A2:A3"/>
    <mergeCell ref="B2:B3"/>
    <mergeCell ref="C2:C3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B7F3-0A14-46E8-B667-E2E1242ABAA1}">
  <dimension ref="A1:L40"/>
  <sheetViews>
    <sheetView showGridLines="0" zoomScale="62" zoomScaleNormal="56" workbookViewId="0">
      <selection activeCell="K17" sqref="K17"/>
    </sheetView>
  </sheetViews>
  <sheetFormatPr defaultColWidth="9.1796875" defaultRowHeight="14" customHeight="1" x14ac:dyDescent="0.3"/>
  <cols>
    <col min="1" max="1" width="10.7265625" style="37" customWidth="1"/>
    <col min="2" max="2" width="9.1796875" style="37"/>
    <col min="3" max="3" width="16.1796875" style="37" customWidth="1"/>
    <col min="4" max="4" width="26.54296875" style="37" bestFit="1" customWidth="1"/>
    <col min="5" max="5" width="17.26953125" style="37" customWidth="1"/>
    <col min="6" max="6" width="13.1796875" style="37" customWidth="1"/>
    <col min="7" max="7" width="9.1796875" style="37"/>
    <col min="8" max="9" width="9.7265625" style="37" bestFit="1" customWidth="1"/>
    <col min="10" max="16384" width="9.1796875" style="37"/>
  </cols>
  <sheetData>
    <row r="1" spans="1:12" x14ac:dyDescent="0.3">
      <c r="A1" s="110" t="s">
        <v>387</v>
      </c>
    </row>
    <row r="2" spans="1:12" x14ac:dyDescent="0.3">
      <c r="A2" s="410" t="s">
        <v>388</v>
      </c>
      <c r="B2" s="411" t="s">
        <v>389</v>
      </c>
      <c r="C2" s="413" t="s">
        <v>390</v>
      </c>
      <c r="D2" s="411" t="s">
        <v>440</v>
      </c>
      <c r="E2" s="411" t="s">
        <v>384</v>
      </c>
      <c r="F2" s="411" t="s">
        <v>441</v>
      </c>
      <c r="K2" s="269" t="s">
        <v>368</v>
      </c>
      <c r="L2" s="261">
        <f>AVERAGE(E4:E16)</f>
        <v>0.5125950972104818</v>
      </c>
    </row>
    <row r="3" spans="1:12" x14ac:dyDescent="0.3">
      <c r="A3" s="410"/>
      <c r="B3" s="411"/>
      <c r="C3" s="413"/>
      <c r="D3" s="411"/>
      <c r="E3" s="411"/>
      <c r="F3" s="411"/>
      <c r="I3" s="271"/>
      <c r="K3" s="269" t="s">
        <v>369</v>
      </c>
      <c r="L3" s="272">
        <f>AVERAGE(F4:F16)</f>
        <v>8.7630266152394665E-2</v>
      </c>
    </row>
    <row r="4" spans="1:12" x14ac:dyDescent="0.3">
      <c r="A4" s="205">
        <v>1960</v>
      </c>
      <c r="B4" s="111">
        <v>1</v>
      </c>
      <c r="C4" s="205">
        <v>4.0999999999999996</v>
      </c>
      <c r="D4" s="268">
        <f>$E$22*B23+$D$22</f>
        <v>3.3021978021978029</v>
      </c>
      <c r="E4" s="273">
        <f>ABS(C4-D4)</f>
        <v>0.79780219780219674</v>
      </c>
      <c r="F4" s="274">
        <f>(E4/C4)</f>
        <v>0.19458590190297484</v>
      </c>
      <c r="I4" s="275"/>
    </row>
    <row r="5" spans="1:12" x14ac:dyDescent="0.3">
      <c r="A5" s="205">
        <v>1965</v>
      </c>
      <c r="B5" s="111">
        <v>2</v>
      </c>
      <c r="C5" s="205">
        <v>4.2</v>
      </c>
      <c r="D5" s="268">
        <f t="shared" ref="D5:D18" si="0">$E$22*B24+$D$22</f>
        <v>3.7120879120879131</v>
      </c>
      <c r="E5" s="273">
        <f t="shared" ref="E5:E16" si="1">ABS(C5-D5)</f>
        <v>0.48791208791208707</v>
      </c>
      <c r="F5" s="274">
        <f t="shared" ref="F5:F16" si="2">(E5/C5)</f>
        <v>0.1161695447409731</v>
      </c>
    </row>
    <row r="6" spans="1:12" x14ac:dyDescent="0.3">
      <c r="A6" s="205">
        <v>1970</v>
      </c>
      <c r="B6" s="111">
        <v>3</v>
      </c>
      <c r="C6" s="205">
        <v>4.2</v>
      </c>
      <c r="D6" s="268">
        <f t="shared" si="0"/>
        <v>4.1219780219780233</v>
      </c>
      <c r="E6" s="273">
        <f t="shared" si="1"/>
        <v>7.8021978021976857E-2</v>
      </c>
      <c r="F6" s="274">
        <f t="shared" si="2"/>
        <v>1.8576661433804011E-2</v>
      </c>
    </row>
    <row r="7" spans="1:12" x14ac:dyDescent="0.3">
      <c r="A7" s="205">
        <v>1975</v>
      </c>
      <c r="B7" s="111">
        <v>4</v>
      </c>
      <c r="C7" s="205">
        <v>4.2</v>
      </c>
      <c r="D7" s="268">
        <f t="shared" si="0"/>
        <v>4.5318681318681326</v>
      </c>
      <c r="E7" s="273">
        <f t="shared" si="1"/>
        <v>0.33186813186813247</v>
      </c>
      <c r="F7" s="274">
        <f t="shared" si="2"/>
        <v>7.9016221873364864E-2</v>
      </c>
    </row>
    <row r="8" spans="1:12" x14ac:dyDescent="0.3">
      <c r="A8" s="205">
        <v>1980</v>
      </c>
      <c r="B8" s="111">
        <v>5</v>
      </c>
      <c r="C8" s="205">
        <v>4.5999999999999996</v>
      </c>
      <c r="D8" s="268">
        <f t="shared" si="0"/>
        <v>4.941758241758242</v>
      </c>
      <c r="E8" s="273">
        <f t="shared" si="1"/>
        <v>0.34175824175824232</v>
      </c>
      <c r="F8" s="274">
        <f t="shared" si="2"/>
        <v>7.4295269947443995E-2</v>
      </c>
    </row>
    <row r="9" spans="1:12" x14ac:dyDescent="0.3">
      <c r="A9" s="205">
        <v>1985</v>
      </c>
      <c r="B9" s="111">
        <v>6</v>
      </c>
      <c r="C9" s="205">
        <v>5.0999999999999996</v>
      </c>
      <c r="D9" s="268">
        <f t="shared" si="0"/>
        <v>5.3516483516483522</v>
      </c>
      <c r="E9" s="273">
        <f t="shared" si="1"/>
        <v>0.25164835164835253</v>
      </c>
      <c r="F9" s="274">
        <f t="shared" si="2"/>
        <v>4.934281404869658E-2</v>
      </c>
    </row>
    <row r="10" spans="1:12" x14ac:dyDescent="0.3">
      <c r="A10" s="205">
        <v>1990</v>
      </c>
      <c r="B10" s="111">
        <v>7</v>
      </c>
      <c r="C10" s="205">
        <v>5.5</v>
      </c>
      <c r="D10" s="268">
        <f t="shared" si="0"/>
        <v>5.7615384615384624</v>
      </c>
      <c r="E10" s="273">
        <f t="shared" si="1"/>
        <v>0.26153846153846239</v>
      </c>
      <c r="F10" s="274">
        <f t="shared" si="2"/>
        <v>4.7552447552447703E-2</v>
      </c>
    </row>
    <row r="11" spans="1:12" x14ac:dyDescent="0.3">
      <c r="A11" s="205">
        <v>1995</v>
      </c>
      <c r="B11" s="111">
        <v>8</v>
      </c>
      <c r="C11" s="205">
        <v>5.7</v>
      </c>
      <c r="D11" s="268">
        <f t="shared" si="0"/>
        <v>6.1714285714285726</v>
      </c>
      <c r="E11" s="273">
        <f t="shared" si="1"/>
        <v>0.47142857142857242</v>
      </c>
      <c r="F11" s="274">
        <f t="shared" si="2"/>
        <v>8.2706766917293409E-2</v>
      </c>
    </row>
    <row r="12" spans="1:12" x14ac:dyDescent="0.3">
      <c r="A12" s="205">
        <v>2000</v>
      </c>
      <c r="B12" s="111">
        <v>9</v>
      </c>
      <c r="C12" s="205">
        <v>6.1</v>
      </c>
      <c r="D12" s="268">
        <f t="shared" si="0"/>
        <v>6.5813186813186819</v>
      </c>
      <c r="E12" s="273">
        <f t="shared" si="1"/>
        <v>0.48131868131868227</v>
      </c>
      <c r="F12" s="274">
        <f t="shared" si="2"/>
        <v>7.8904701855521689E-2</v>
      </c>
    </row>
    <row r="13" spans="1:12" x14ac:dyDescent="0.3">
      <c r="A13" s="205">
        <v>2005</v>
      </c>
      <c r="B13" s="111">
        <v>10</v>
      </c>
      <c r="C13" s="205">
        <v>6.3</v>
      </c>
      <c r="D13" s="268">
        <f t="shared" si="0"/>
        <v>6.9912087912087912</v>
      </c>
      <c r="E13" s="273">
        <f t="shared" si="1"/>
        <v>0.69120879120879142</v>
      </c>
      <c r="F13" s="274">
        <f t="shared" si="2"/>
        <v>0.10971568114425261</v>
      </c>
    </row>
    <row r="14" spans="1:12" x14ac:dyDescent="0.3">
      <c r="A14" s="205">
        <v>2010</v>
      </c>
      <c r="B14" s="111">
        <v>11</v>
      </c>
      <c r="C14" s="205">
        <v>6.9</v>
      </c>
      <c r="D14" s="268">
        <f t="shared" si="0"/>
        <v>7.4010989010989015</v>
      </c>
      <c r="E14" s="273">
        <f t="shared" si="1"/>
        <v>0.50109890109890109</v>
      </c>
      <c r="F14" s="274">
        <f t="shared" si="2"/>
        <v>7.2623029144768272E-2</v>
      </c>
    </row>
    <row r="15" spans="1:12" x14ac:dyDescent="0.3">
      <c r="A15" s="205">
        <v>2015</v>
      </c>
      <c r="B15" s="111">
        <v>12</v>
      </c>
      <c r="C15" s="205">
        <v>8.5</v>
      </c>
      <c r="D15" s="268">
        <f t="shared" si="0"/>
        <v>7.8109890109890117</v>
      </c>
      <c r="E15" s="273">
        <f t="shared" si="1"/>
        <v>0.68901098901098834</v>
      </c>
      <c r="F15" s="274">
        <f t="shared" si="2"/>
        <v>8.1060116354233921E-2</v>
      </c>
    </row>
    <row r="16" spans="1:12" x14ac:dyDescent="0.3">
      <c r="A16" s="205">
        <v>2020</v>
      </c>
      <c r="B16" s="111">
        <v>13</v>
      </c>
      <c r="C16" s="205">
        <v>9.5</v>
      </c>
      <c r="D16" s="268">
        <f t="shared" si="0"/>
        <v>8.2208791208791219</v>
      </c>
      <c r="E16" s="273">
        <f t="shared" si="1"/>
        <v>1.2791208791208781</v>
      </c>
      <c r="F16" s="274">
        <f t="shared" si="2"/>
        <v>0.1346443030653556</v>
      </c>
    </row>
    <row r="17" spans="1:12" x14ac:dyDescent="0.3">
      <c r="A17" s="205">
        <v>2025</v>
      </c>
      <c r="B17" s="111">
        <v>14</v>
      </c>
      <c r="C17" s="262" t="s">
        <v>392</v>
      </c>
      <c r="D17" s="268">
        <f t="shared" si="0"/>
        <v>8.6307692307692321</v>
      </c>
      <c r="E17" s="271"/>
    </row>
    <row r="18" spans="1:12" x14ac:dyDescent="0.3">
      <c r="A18" s="205">
        <v>2030</v>
      </c>
      <c r="B18" s="111">
        <v>15</v>
      </c>
      <c r="C18" s="262" t="s">
        <v>392</v>
      </c>
      <c r="D18" s="268">
        <f t="shared" si="0"/>
        <v>9.0406593406593405</v>
      </c>
    </row>
    <row r="19" spans="1:12" x14ac:dyDescent="0.3">
      <c r="F19" s="110" t="s">
        <v>394</v>
      </c>
      <c r="G19" s="110" t="s">
        <v>395</v>
      </c>
    </row>
    <row r="20" spans="1:12" ht="16" customHeight="1" x14ac:dyDescent="0.3">
      <c r="A20" s="110" t="s">
        <v>393</v>
      </c>
    </row>
    <row r="21" spans="1:12" ht="28.5" x14ac:dyDescent="0.3">
      <c r="A21" s="410" t="s">
        <v>388</v>
      </c>
      <c r="B21" s="411" t="s">
        <v>389</v>
      </c>
      <c r="C21" s="412" t="s">
        <v>390</v>
      </c>
      <c r="D21" s="263" t="s">
        <v>442</v>
      </c>
      <c r="E21" s="263" t="s">
        <v>443</v>
      </c>
      <c r="F21" s="424" t="s">
        <v>444</v>
      </c>
      <c r="H21" s="411" t="s">
        <v>384</v>
      </c>
      <c r="I21" s="411" t="s">
        <v>441</v>
      </c>
    </row>
    <row r="22" spans="1:12" x14ac:dyDescent="0.3">
      <c r="A22" s="410"/>
      <c r="B22" s="411"/>
      <c r="C22" s="412"/>
      <c r="D22" s="260">
        <f>INTERCEPT(C23:C35,B23:B35)</f>
        <v>2.8923076923076931</v>
      </c>
      <c r="E22" s="260">
        <f>SLOPE(C23:C35,B23:B35)</f>
        <v>0.40989010989010988</v>
      </c>
      <c r="F22" s="424"/>
      <c r="H22" s="411"/>
      <c r="I22" s="411"/>
    </row>
    <row r="23" spans="1:12" x14ac:dyDescent="0.3">
      <c r="A23" s="205">
        <v>1960</v>
      </c>
      <c r="B23" s="111">
        <v>1</v>
      </c>
      <c r="C23" s="205">
        <v>4.0999999999999996</v>
      </c>
      <c r="D23" s="260">
        <f>$B$39*C23+(1-$B$39)*(D22+E22)</f>
        <v>3.8606593406593408</v>
      </c>
      <c r="E23" s="260">
        <f>$B$40*(D23-D22)+(1-$B$40)*E22</f>
        <v>0.52158241758241752</v>
      </c>
      <c r="F23" s="260">
        <f>D22+E22</f>
        <v>3.3021978021978029</v>
      </c>
      <c r="G23" s="276" t="s">
        <v>400</v>
      </c>
      <c r="H23" s="273">
        <f>ABS(C23-F23)</f>
        <v>0.79780219780219674</v>
      </c>
      <c r="I23" s="274">
        <f>H23/C23</f>
        <v>0.19458590190297484</v>
      </c>
      <c r="K23" s="269" t="s">
        <v>368</v>
      </c>
      <c r="L23" s="261">
        <f>AVERAGE(H23:H35)</f>
        <v>0.39722789557194349</v>
      </c>
    </row>
    <row r="24" spans="1:12" x14ac:dyDescent="0.3">
      <c r="A24" s="205">
        <v>1965</v>
      </c>
      <c r="B24" s="111">
        <v>2</v>
      </c>
      <c r="C24" s="205">
        <v>4.2</v>
      </c>
      <c r="D24" s="260">
        <f t="shared" ref="D24:D35" si="3">$B$39*C24+(1-$B$39)*(D23+E23)</f>
        <v>4.2546725274725272</v>
      </c>
      <c r="E24" s="260">
        <f t="shared" ref="E24:E35" si="4">$B$40*(D24-D23)+(1-$B$40)*E23</f>
        <v>0.4960685714285713</v>
      </c>
      <c r="F24" s="260">
        <f t="shared" ref="F24:F36" si="5">D23+E23</f>
        <v>4.3822417582417579</v>
      </c>
      <c r="G24" s="276" t="s">
        <v>403</v>
      </c>
      <c r="H24" s="273">
        <f t="shared" ref="H24:H35" si="6">ABS(C24-F24)</f>
        <v>0.1822417582417577</v>
      </c>
      <c r="I24" s="274">
        <f t="shared" ref="I24:I35" si="7">H24/C24</f>
        <v>4.3390894819466119E-2</v>
      </c>
      <c r="K24" s="269" t="s">
        <v>369</v>
      </c>
      <c r="L24" s="272">
        <f>AVERAGE(I23:I35)</f>
        <v>6.9674601355549468E-2</v>
      </c>
    </row>
    <row r="25" spans="1:12" x14ac:dyDescent="0.3">
      <c r="A25" s="205">
        <v>1970</v>
      </c>
      <c r="B25" s="111">
        <v>3</v>
      </c>
      <c r="C25" s="205">
        <v>4.2</v>
      </c>
      <c r="D25" s="260">
        <f t="shared" si="3"/>
        <v>4.3652223296703294</v>
      </c>
      <c r="E25" s="260">
        <f t="shared" si="4"/>
        <v>0.41896481758241749</v>
      </c>
      <c r="F25" s="260">
        <f t="shared" si="5"/>
        <v>4.7507410989010985</v>
      </c>
      <c r="G25" s="276" t="s">
        <v>406</v>
      </c>
      <c r="H25" s="273">
        <f t="shared" si="6"/>
        <v>0.55074109890109835</v>
      </c>
      <c r="I25" s="274">
        <f t="shared" si="7"/>
        <v>0.13112883307169007</v>
      </c>
    </row>
    <row r="26" spans="1:12" x14ac:dyDescent="0.3">
      <c r="A26" s="205">
        <v>1975</v>
      </c>
      <c r="B26" s="111">
        <v>4</v>
      </c>
      <c r="C26" s="205">
        <v>4.2</v>
      </c>
      <c r="D26" s="260">
        <f t="shared" si="3"/>
        <v>4.3752561441758244</v>
      </c>
      <c r="E26" s="260">
        <f t="shared" si="4"/>
        <v>0.33717861696703305</v>
      </c>
      <c r="F26" s="260">
        <f t="shared" si="5"/>
        <v>4.7841871472527471</v>
      </c>
      <c r="G26" s="276" t="s">
        <v>409</v>
      </c>
      <c r="H26" s="273">
        <f t="shared" si="6"/>
        <v>0.5841871472527469</v>
      </c>
      <c r="I26" s="274">
        <f t="shared" si="7"/>
        <v>0.13909217791732068</v>
      </c>
    </row>
    <row r="27" spans="1:12" x14ac:dyDescent="0.3">
      <c r="A27" s="205">
        <v>1980</v>
      </c>
      <c r="B27" s="111">
        <v>5</v>
      </c>
      <c r="C27" s="205">
        <v>4.5999999999999996</v>
      </c>
      <c r="D27" s="260">
        <f t="shared" si="3"/>
        <v>4.6337304283428571</v>
      </c>
      <c r="E27" s="260">
        <f t="shared" si="4"/>
        <v>0.32143775040703298</v>
      </c>
      <c r="F27" s="260">
        <f t="shared" si="5"/>
        <v>4.7124347611428572</v>
      </c>
      <c r="G27" s="276" t="s">
        <v>412</v>
      </c>
      <c r="H27" s="273">
        <f t="shared" si="6"/>
        <v>0.11243476114285755</v>
      </c>
      <c r="I27" s="274">
        <f t="shared" si="7"/>
        <v>2.4442339378882079E-2</v>
      </c>
    </row>
    <row r="28" spans="1:12" x14ac:dyDescent="0.3">
      <c r="A28" s="205">
        <v>1985</v>
      </c>
      <c r="B28" s="111">
        <v>6</v>
      </c>
      <c r="C28" s="205">
        <v>5.0999999999999996</v>
      </c>
      <c r="D28" s="260">
        <f t="shared" si="3"/>
        <v>5.0565504536249666</v>
      </c>
      <c r="E28" s="260">
        <f t="shared" si="4"/>
        <v>0.34171420538204833</v>
      </c>
      <c r="F28" s="260">
        <f t="shared" si="5"/>
        <v>4.95516817874989</v>
      </c>
      <c r="G28" s="276" t="s">
        <v>415</v>
      </c>
      <c r="H28" s="273">
        <f t="shared" si="6"/>
        <v>0.14483182125010963</v>
      </c>
      <c r="I28" s="274">
        <f t="shared" si="7"/>
        <v>2.8398396323550908E-2</v>
      </c>
    </row>
    <row r="29" spans="1:12" x14ac:dyDescent="0.3">
      <c r="A29" s="205">
        <v>1990</v>
      </c>
      <c r="B29" s="111">
        <v>7</v>
      </c>
      <c r="C29" s="205">
        <v>5.5</v>
      </c>
      <c r="D29" s="260">
        <f t="shared" si="3"/>
        <v>5.4694793977021048</v>
      </c>
      <c r="E29" s="260">
        <f t="shared" si="4"/>
        <v>0.35595715312106635</v>
      </c>
      <c r="F29" s="260">
        <f t="shared" si="5"/>
        <v>5.3982646590070154</v>
      </c>
      <c r="G29" s="276" t="s">
        <v>418</v>
      </c>
      <c r="H29" s="273">
        <f t="shared" si="6"/>
        <v>0.10173534099298465</v>
      </c>
      <c r="I29" s="274">
        <f t="shared" si="7"/>
        <v>1.8497334725997207E-2</v>
      </c>
    </row>
    <row r="30" spans="1:12" x14ac:dyDescent="0.3">
      <c r="A30" s="205">
        <v>1995</v>
      </c>
      <c r="B30" s="111">
        <v>8</v>
      </c>
      <c r="C30" s="205">
        <v>5.7</v>
      </c>
      <c r="D30" s="260">
        <f t="shared" si="3"/>
        <v>5.737630965246951</v>
      </c>
      <c r="E30" s="260">
        <f t="shared" si="4"/>
        <v>0.33839603600582235</v>
      </c>
      <c r="F30" s="260">
        <f t="shared" si="5"/>
        <v>5.8254365508231709</v>
      </c>
      <c r="G30" s="276" t="s">
        <v>421</v>
      </c>
      <c r="H30" s="273">
        <f t="shared" si="6"/>
        <v>0.12543655082317073</v>
      </c>
      <c r="I30" s="274">
        <f t="shared" si="7"/>
        <v>2.2006412425117673E-2</v>
      </c>
    </row>
    <row r="31" spans="1:12" x14ac:dyDescent="0.3">
      <c r="A31" s="205">
        <v>2000</v>
      </c>
      <c r="B31" s="111">
        <v>9</v>
      </c>
      <c r="C31" s="205">
        <v>6.1</v>
      </c>
      <c r="D31" s="260">
        <f t="shared" si="3"/>
        <v>6.0928081003758319</v>
      </c>
      <c r="E31" s="260">
        <f t="shared" si="4"/>
        <v>0.34175225583043412</v>
      </c>
      <c r="F31" s="260">
        <f t="shared" si="5"/>
        <v>6.0760270012527737</v>
      </c>
      <c r="G31" s="276" t="s">
        <v>424</v>
      </c>
      <c r="H31" s="273">
        <f t="shared" si="6"/>
        <v>2.3972998747225915E-2</v>
      </c>
      <c r="I31" s="274">
        <f t="shared" si="7"/>
        <v>3.9299997946271991E-3</v>
      </c>
    </row>
    <row r="32" spans="1:12" x14ac:dyDescent="0.3">
      <c r="A32" s="205">
        <v>2005</v>
      </c>
      <c r="B32" s="111">
        <v>10</v>
      </c>
      <c r="C32" s="205">
        <v>6.3</v>
      </c>
      <c r="D32" s="260">
        <f t="shared" si="3"/>
        <v>6.3403681068618791</v>
      </c>
      <c r="E32" s="260">
        <f t="shared" si="4"/>
        <v>0.32291380596155678</v>
      </c>
      <c r="F32" s="260">
        <f t="shared" si="5"/>
        <v>6.4345603562062657</v>
      </c>
      <c r="G32" s="276" t="s">
        <v>427</v>
      </c>
      <c r="H32" s="273">
        <f t="shared" si="6"/>
        <v>0.13456035620626583</v>
      </c>
      <c r="I32" s="274">
        <f t="shared" si="7"/>
        <v>2.1358786699407276E-2</v>
      </c>
    </row>
    <row r="33" spans="1:9" x14ac:dyDescent="0.3">
      <c r="A33" s="205">
        <v>2010</v>
      </c>
      <c r="B33" s="111">
        <v>11</v>
      </c>
      <c r="C33" s="205">
        <v>6.9</v>
      </c>
      <c r="D33" s="260">
        <f t="shared" si="3"/>
        <v>6.8289845738470314</v>
      </c>
      <c r="E33" s="260">
        <f t="shared" si="4"/>
        <v>0.35605433816627591</v>
      </c>
      <c r="F33" s="260">
        <f t="shared" si="5"/>
        <v>6.663281912823436</v>
      </c>
      <c r="G33" s="276" t="s">
        <v>430</v>
      </c>
      <c r="H33" s="273">
        <f t="shared" si="6"/>
        <v>0.2367180871765644</v>
      </c>
      <c r="I33" s="274">
        <f t="shared" si="7"/>
        <v>3.4306969156023825E-2</v>
      </c>
    </row>
    <row r="34" spans="1:9" x14ac:dyDescent="0.3">
      <c r="A34" s="205">
        <v>2015</v>
      </c>
      <c r="B34" s="111">
        <v>12</v>
      </c>
      <c r="C34" s="205">
        <v>8.5</v>
      </c>
      <c r="D34" s="260">
        <f t="shared" si="3"/>
        <v>8.1055116736039921</v>
      </c>
      <c r="E34" s="260">
        <f t="shared" si="4"/>
        <v>0.54014889048441295</v>
      </c>
      <c r="F34" s="260">
        <f t="shared" si="5"/>
        <v>7.1850389120133071</v>
      </c>
      <c r="G34" s="276" t="s">
        <v>433</v>
      </c>
      <c r="H34" s="273">
        <f t="shared" si="6"/>
        <v>1.3149610879866929</v>
      </c>
      <c r="I34" s="274">
        <f t="shared" si="7"/>
        <v>0.15470130446902269</v>
      </c>
    </row>
    <row r="35" spans="1:9" x14ac:dyDescent="0.3">
      <c r="A35" s="205">
        <v>2020</v>
      </c>
      <c r="B35" s="111">
        <v>13</v>
      </c>
      <c r="C35" s="205">
        <v>9.5</v>
      </c>
      <c r="D35" s="260">
        <f t="shared" si="3"/>
        <v>9.243698169226521</v>
      </c>
      <c r="E35" s="260">
        <f t="shared" si="4"/>
        <v>0.65975641151203623</v>
      </c>
      <c r="F35" s="260">
        <f t="shared" si="5"/>
        <v>8.6456605640884057</v>
      </c>
      <c r="G35" s="276" t="s">
        <v>436</v>
      </c>
      <c r="H35" s="273">
        <f t="shared" si="6"/>
        <v>0.85433943591159434</v>
      </c>
      <c r="I35" s="274">
        <f t="shared" si="7"/>
        <v>8.9930466938062559E-2</v>
      </c>
    </row>
    <row r="36" spans="1:9" x14ac:dyDescent="0.3">
      <c r="A36" s="205">
        <v>2025</v>
      </c>
      <c r="B36" s="111">
        <v>14</v>
      </c>
      <c r="C36" s="262" t="s">
        <v>392</v>
      </c>
      <c r="D36" s="269"/>
      <c r="E36" s="269"/>
      <c r="F36" s="260">
        <f t="shared" si="5"/>
        <v>9.9034545807385577</v>
      </c>
      <c r="G36" s="276" t="s">
        <v>437</v>
      </c>
    </row>
    <row r="37" spans="1:9" x14ac:dyDescent="0.3">
      <c r="A37" s="205">
        <v>2030</v>
      </c>
      <c r="B37" s="111">
        <v>15</v>
      </c>
      <c r="C37" s="262" t="s">
        <v>392</v>
      </c>
      <c r="D37" s="269"/>
      <c r="E37" s="269"/>
      <c r="F37" s="260">
        <f>D35+2*(E35)</f>
        <v>10.563210992250593</v>
      </c>
      <c r="G37" s="276" t="s">
        <v>445</v>
      </c>
    </row>
    <row r="39" spans="1:9" x14ac:dyDescent="0.3">
      <c r="A39" s="111" t="s">
        <v>438</v>
      </c>
      <c r="B39" s="111">
        <v>0.7</v>
      </c>
    </row>
    <row r="40" spans="1:9" x14ac:dyDescent="0.3">
      <c r="A40" s="111" t="s">
        <v>439</v>
      </c>
      <c r="B40" s="111">
        <v>0.2</v>
      </c>
    </row>
  </sheetData>
  <mergeCells count="12">
    <mergeCell ref="F21:F22"/>
    <mergeCell ref="H21:H22"/>
    <mergeCell ref="I21:I22"/>
    <mergeCell ref="D2:D3"/>
    <mergeCell ref="E2:E3"/>
    <mergeCell ref="F2:F3"/>
    <mergeCell ref="A2:A3"/>
    <mergeCell ref="B2:B3"/>
    <mergeCell ref="C2:C3"/>
    <mergeCell ref="A21:A22"/>
    <mergeCell ref="B21:B22"/>
    <mergeCell ref="C21:C22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53D7-419F-4D81-A5D8-D9316EE0BAA1}">
  <dimension ref="A1:B17"/>
  <sheetViews>
    <sheetView workbookViewId="0">
      <selection activeCell="B2" sqref="B2:B17"/>
    </sheetView>
  </sheetViews>
  <sheetFormatPr defaultRowHeight="14.5" x14ac:dyDescent="0.35"/>
  <cols>
    <col min="2" max="2" width="16.7265625" bestFit="1" customWidth="1"/>
  </cols>
  <sheetData>
    <row r="1" spans="1:2" x14ac:dyDescent="0.35">
      <c r="A1" s="113" t="s">
        <v>389</v>
      </c>
      <c r="B1" s="113" t="s">
        <v>446</v>
      </c>
    </row>
    <row r="2" spans="1:2" x14ac:dyDescent="0.35">
      <c r="A2" s="277" t="s">
        <v>447</v>
      </c>
      <c r="B2" s="277">
        <v>360</v>
      </c>
    </row>
    <row r="3" spans="1:2" x14ac:dyDescent="0.35">
      <c r="A3" s="277" t="s">
        <v>448</v>
      </c>
      <c r="B3" s="277">
        <v>550</v>
      </c>
    </row>
    <row r="4" spans="1:2" x14ac:dyDescent="0.35">
      <c r="A4" s="277" t="s">
        <v>449</v>
      </c>
      <c r="B4" s="277">
        <v>585</v>
      </c>
    </row>
    <row r="5" spans="1:2" x14ac:dyDescent="0.35">
      <c r="A5" s="277" t="s">
        <v>450</v>
      </c>
      <c r="B5" s="277">
        <v>860</v>
      </c>
    </row>
    <row r="6" spans="1:2" x14ac:dyDescent="0.35">
      <c r="A6" s="277" t="s">
        <v>451</v>
      </c>
      <c r="B6" s="277">
        <v>380</v>
      </c>
    </row>
    <row r="7" spans="1:2" x14ac:dyDescent="0.35">
      <c r="A7" s="277" t="s">
        <v>452</v>
      </c>
      <c r="B7" s="277">
        <v>560</v>
      </c>
    </row>
    <row r="8" spans="1:2" x14ac:dyDescent="0.35">
      <c r="A8" s="277" t="s">
        <v>453</v>
      </c>
      <c r="B8" s="277">
        <v>650</v>
      </c>
    </row>
    <row r="9" spans="1:2" x14ac:dyDescent="0.35">
      <c r="A9" s="277" t="s">
        <v>454</v>
      </c>
      <c r="B9" s="277">
        <v>970</v>
      </c>
    </row>
    <row r="10" spans="1:2" x14ac:dyDescent="0.35">
      <c r="A10" s="277" t="s">
        <v>455</v>
      </c>
      <c r="B10" s="277">
        <v>390</v>
      </c>
    </row>
    <row r="11" spans="1:2" x14ac:dyDescent="0.35">
      <c r="A11" s="277" t="s">
        <v>456</v>
      </c>
      <c r="B11" s="277">
        <v>595</v>
      </c>
    </row>
    <row r="12" spans="1:2" x14ac:dyDescent="0.35">
      <c r="A12" s="277" t="s">
        <v>457</v>
      </c>
      <c r="B12" s="277">
        <v>640</v>
      </c>
    </row>
    <row r="13" spans="1:2" x14ac:dyDescent="0.35">
      <c r="A13" s="277" t="s">
        <v>458</v>
      </c>
      <c r="B13" s="277">
        <v>1005</v>
      </c>
    </row>
    <row r="14" spans="1:2" x14ac:dyDescent="0.35">
      <c r="A14" s="277" t="s">
        <v>459</v>
      </c>
      <c r="B14" s="277">
        <v>405</v>
      </c>
    </row>
    <row r="15" spans="1:2" x14ac:dyDescent="0.35">
      <c r="A15" s="277" t="s">
        <v>460</v>
      </c>
      <c r="B15" s="277">
        <v>670</v>
      </c>
    </row>
    <row r="16" spans="1:2" x14ac:dyDescent="0.35">
      <c r="A16" s="277" t="s">
        <v>461</v>
      </c>
      <c r="B16" s="277">
        <v>705</v>
      </c>
    </row>
    <row r="17" spans="1:2" x14ac:dyDescent="0.35">
      <c r="A17" s="277" t="s">
        <v>462</v>
      </c>
      <c r="B17" s="277">
        <v>1080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5950-9234-496E-B162-12373591BAA1}">
  <dimension ref="A1:S84"/>
  <sheetViews>
    <sheetView topLeftCell="B13" zoomScale="63" zoomScaleNormal="63" workbookViewId="0">
      <selection activeCell="P25" sqref="P25"/>
    </sheetView>
  </sheetViews>
  <sheetFormatPr defaultColWidth="18.36328125" defaultRowHeight="14.5" x14ac:dyDescent="0.35"/>
  <cols>
    <col min="1" max="1" width="14.26953125" customWidth="1"/>
    <col min="2" max="2" width="17.81640625" customWidth="1"/>
    <col min="3" max="3" width="14.81640625" customWidth="1"/>
    <col min="4" max="4" width="16.453125" customWidth="1"/>
    <col min="5" max="5" width="20.1796875" customWidth="1"/>
    <col min="6" max="6" width="18.453125" customWidth="1"/>
    <col min="7" max="7" width="14.453125" bestFit="1" customWidth="1"/>
    <col min="8" max="8" width="26.7265625" customWidth="1"/>
    <col min="9" max="9" width="16.26953125" customWidth="1"/>
    <col min="10" max="10" width="18.453125" customWidth="1"/>
    <col min="11" max="11" width="14.81640625" customWidth="1"/>
    <col min="12" max="12" width="16.54296875" customWidth="1"/>
    <col min="14" max="14" width="18.453125" customWidth="1"/>
  </cols>
  <sheetData>
    <row r="1" spans="1:15" ht="14.5" customHeight="1" x14ac:dyDescent="0.35">
      <c r="A1" s="430" t="s">
        <v>463</v>
      </c>
      <c r="B1" s="430"/>
      <c r="C1" s="430"/>
      <c r="D1" s="431" t="s">
        <v>464</v>
      </c>
      <c r="E1" s="431"/>
      <c r="F1" s="431"/>
      <c r="G1" s="431"/>
      <c r="H1" s="431"/>
      <c r="I1" s="432" t="s">
        <v>465</v>
      </c>
      <c r="J1" s="432"/>
      <c r="K1" s="432"/>
      <c r="L1" s="432"/>
      <c r="M1" s="425" t="s">
        <v>466</v>
      </c>
      <c r="N1" s="426"/>
      <c r="O1" s="426"/>
    </row>
    <row r="2" spans="1:15" ht="90" customHeight="1" x14ac:dyDescent="0.35">
      <c r="A2" s="279" t="s">
        <v>389</v>
      </c>
      <c r="B2" s="279" t="s">
        <v>467</v>
      </c>
      <c r="C2" s="279" t="s">
        <v>468</v>
      </c>
      <c r="D2" s="278" t="s">
        <v>469</v>
      </c>
      <c r="E2" s="278" t="s">
        <v>470</v>
      </c>
      <c r="F2" s="278" t="s">
        <v>471</v>
      </c>
      <c r="G2" s="278" t="s">
        <v>472</v>
      </c>
      <c r="H2" s="278" t="s">
        <v>473</v>
      </c>
      <c r="I2" s="280" t="s">
        <v>474</v>
      </c>
      <c r="J2" s="280" t="s">
        <v>475</v>
      </c>
      <c r="K2" s="280" t="s">
        <v>476</v>
      </c>
      <c r="L2" s="280" t="s">
        <v>529</v>
      </c>
      <c r="M2" s="281" t="s">
        <v>477</v>
      </c>
      <c r="N2" s="282" t="s">
        <v>478</v>
      </c>
      <c r="O2" s="282" t="s">
        <v>479</v>
      </c>
    </row>
    <row r="3" spans="1:15" s="283" customFormat="1" x14ac:dyDescent="0.35">
      <c r="A3" s="284" t="s">
        <v>447</v>
      </c>
      <c r="B3" s="284">
        <v>360</v>
      </c>
      <c r="C3" s="284">
        <v>1</v>
      </c>
      <c r="D3" s="285"/>
      <c r="E3" s="285"/>
      <c r="F3" s="285"/>
      <c r="G3" s="286">
        <f>$B$30</f>
        <v>0.60631278912660236</v>
      </c>
      <c r="H3" s="286">
        <f>B3/G3</f>
        <v>593.75293817994907</v>
      </c>
      <c r="I3" s="287">
        <f>($H$20*C3)+$H$19</f>
        <v>577.77214684147123</v>
      </c>
      <c r="J3" s="287">
        <f>G3*I3</f>
        <v>350.31064183111727</v>
      </c>
      <c r="K3" s="287">
        <f>ABS(B3-J3)</f>
        <v>9.6893581688827339</v>
      </c>
      <c r="L3" s="288">
        <f>K3/B3</f>
        <v>2.6914883802452039E-2</v>
      </c>
      <c r="M3" s="289">
        <f>B3/J3</f>
        <v>1.0276593314957125</v>
      </c>
      <c r="N3" s="290"/>
      <c r="O3" s="291"/>
    </row>
    <row r="4" spans="1:15" s="283" customFormat="1" x14ac:dyDescent="0.35">
      <c r="A4" s="284" t="s">
        <v>448</v>
      </c>
      <c r="B4" s="284">
        <v>550</v>
      </c>
      <c r="C4" s="284">
        <v>2</v>
      </c>
      <c r="D4" s="286">
        <f>AVERAGE(B3:B6)</f>
        <v>588.75</v>
      </c>
      <c r="E4" s="285"/>
      <c r="F4" s="285"/>
      <c r="G4" s="286">
        <f>$C$30</f>
        <v>0.91906859146974929</v>
      </c>
      <c r="H4" s="286">
        <f t="shared" ref="H4:H18" si="0">B4/G4</f>
        <v>598.43193979728437</v>
      </c>
      <c r="I4" s="287">
        <f t="shared" ref="I4:I18" si="1">($H$20*C4)+$H$19</f>
        <v>587.04533688772938</v>
      </c>
      <c r="J4" s="287">
        <f t="shared" ref="J4:J18" si="2">G4*I4</f>
        <v>539.53493090228994</v>
      </c>
      <c r="K4" s="287">
        <f t="shared" ref="K4:K18" si="3">ABS(B4-J4)</f>
        <v>10.465069097710057</v>
      </c>
      <c r="L4" s="288">
        <f t="shared" ref="L4:L18" si="4">K4/B4</f>
        <v>1.9027398359472831E-2</v>
      </c>
      <c r="M4" s="289">
        <f t="shared" ref="M4:M18" si="5">B4/J4</f>
        <v>1.0193964625797423</v>
      </c>
      <c r="N4" s="292">
        <f>AVERAGE(M3:M5)</f>
        <v>1.0119552152923532</v>
      </c>
      <c r="O4" s="292">
        <f>M4/N4</f>
        <v>1.0073533365656298</v>
      </c>
    </row>
    <row r="5" spans="1:15" s="283" customFormat="1" x14ac:dyDescent="0.35">
      <c r="A5" s="284" t="s">
        <v>449</v>
      </c>
      <c r="B5" s="284">
        <v>585</v>
      </c>
      <c r="C5" s="284">
        <v>3</v>
      </c>
      <c r="D5" s="286">
        <f>AVERAGE(B4:B7)</f>
        <v>593.75</v>
      </c>
      <c r="E5" s="286">
        <f>AVERAGE(D4:D5)</f>
        <v>591.25</v>
      </c>
      <c r="F5" s="286">
        <f>B5/E5</f>
        <v>0.98942917547568709</v>
      </c>
      <c r="G5" s="286">
        <f>$D$30</f>
        <v>0.99212131155672356</v>
      </c>
      <c r="H5" s="286">
        <f t="shared" si="0"/>
        <v>589.6456342441478</v>
      </c>
      <c r="I5" s="287">
        <f t="shared" si="1"/>
        <v>596.31852693398753</v>
      </c>
      <c r="J5" s="287">
        <f t="shared" si="2"/>
        <v>591.62031904732112</v>
      </c>
      <c r="K5" s="287">
        <f t="shared" si="3"/>
        <v>6.620319047321118</v>
      </c>
      <c r="L5" s="288">
        <f t="shared" si="4"/>
        <v>1.1316784696275416E-2</v>
      </c>
      <c r="M5" s="289">
        <f t="shared" si="5"/>
        <v>0.98880985180160519</v>
      </c>
      <c r="N5" s="292">
        <f t="shared" ref="N5:N17" si="6">AVERAGE(M4:M6)</f>
        <v>0.98870536781867446</v>
      </c>
      <c r="O5" s="292">
        <f t="shared" ref="O5:O17" si="7">M5/N5</f>
        <v>1.000105677572239</v>
      </c>
    </row>
    <row r="6" spans="1:15" s="283" customFormat="1" x14ac:dyDescent="0.35">
      <c r="A6" s="284" t="s">
        <v>450</v>
      </c>
      <c r="B6" s="284">
        <v>860</v>
      </c>
      <c r="C6" s="284">
        <v>4</v>
      </c>
      <c r="D6" s="286">
        <f t="shared" ref="D6:D16" si="8">AVERAGE(B5:B8)</f>
        <v>596.25</v>
      </c>
      <c r="E6" s="286">
        <f t="shared" ref="E6:E16" si="9">AVERAGE(D5:D6)</f>
        <v>595</v>
      </c>
      <c r="F6" s="286">
        <f t="shared" ref="F6:F16" si="10">B6/E6</f>
        <v>1.4453781512605042</v>
      </c>
      <c r="G6" s="286">
        <f>$E$30</f>
        <v>1.4824973078469241</v>
      </c>
      <c r="H6" s="286">
        <f t="shared" si="0"/>
        <v>580.10223387791791</v>
      </c>
      <c r="I6" s="287">
        <f t="shared" si="1"/>
        <v>605.59171698024568</v>
      </c>
      <c r="J6" s="287">
        <f t="shared" si="2"/>
        <v>897.7880900776106</v>
      </c>
      <c r="K6" s="287">
        <f t="shared" si="3"/>
        <v>37.788090077610605</v>
      </c>
      <c r="L6" s="288">
        <f t="shared" si="4"/>
        <v>4.3939639625128611E-2</v>
      </c>
      <c r="M6" s="289">
        <f t="shared" si="5"/>
        <v>0.95790978907467583</v>
      </c>
      <c r="N6" s="292">
        <f t="shared" si="6"/>
        <v>0.98867723228116711</v>
      </c>
      <c r="O6" s="292">
        <f t="shared" si="7"/>
        <v>0.968880194463969</v>
      </c>
    </row>
    <row r="7" spans="1:15" s="293" customFormat="1" x14ac:dyDescent="0.35">
      <c r="A7" s="294" t="s">
        <v>451</v>
      </c>
      <c r="B7" s="294">
        <v>380</v>
      </c>
      <c r="C7" s="294">
        <v>5</v>
      </c>
      <c r="D7" s="295">
        <f t="shared" si="8"/>
        <v>612.5</v>
      </c>
      <c r="E7" s="295">
        <f t="shared" si="9"/>
        <v>604.375</v>
      </c>
      <c r="F7" s="295">
        <f t="shared" si="10"/>
        <v>0.62874870734229571</v>
      </c>
      <c r="G7" s="295">
        <f>$B$30</f>
        <v>0.60631278912660236</v>
      </c>
      <c r="H7" s="295">
        <f t="shared" si="0"/>
        <v>626.73921252327955</v>
      </c>
      <c r="I7" s="296">
        <f t="shared" si="1"/>
        <v>614.86490702650383</v>
      </c>
      <c r="J7" s="296">
        <f t="shared" si="2"/>
        <v>372.8004567153086</v>
      </c>
      <c r="K7" s="287">
        <f t="shared" si="3"/>
        <v>7.1995432846914014</v>
      </c>
      <c r="L7" s="288">
        <f t="shared" si="4"/>
        <v>1.8946166538661581E-2</v>
      </c>
      <c r="M7" s="297">
        <f t="shared" si="5"/>
        <v>1.0193120559672204</v>
      </c>
      <c r="N7" s="292">
        <f t="shared" si="6"/>
        <v>0.98448938839097744</v>
      </c>
      <c r="O7" s="292">
        <f t="shared" si="7"/>
        <v>1.0353712980422838</v>
      </c>
    </row>
    <row r="8" spans="1:15" s="293" customFormat="1" x14ac:dyDescent="0.35">
      <c r="A8" s="294" t="s">
        <v>452</v>
      </c>
      <c r="B8" s="294">
        <v>560</v>
      </c>
      <c r="C8" s="294">
        <v>6</v>
      </c>
      <c r="D8" s="295">
        <f t="shared" si="8"/>
        <v>640</v>
      </c>
      <c r="E8" s="295">
        <f t="shared" si="9"/>
        <v>626.25</v>
      </c>
      <c r="F8" s="295">
        <f t="shared" si="10"/>
        <v>0.89421157684630737</v>
      </c>
      <c r="G8" s="295">
        <f>$C$30</f>
        <v>0.91906859146974929</v>
      </c>
      <c r="H8" s="295">
        <f t="shared" si="0"/>
        <v>609.31252052087143</v>
      </c>
      <c r="I8" s="296">
        <f t="shared" si="1"/>
        <v>624.13809707276198</v>
      </c>
      <c r="J8" s="296">
        <f t="shared" si="2"/>
        <v>573.62572175927301</v>
      </c>
      <c r="K8" s="287">
        <f t="shared" si="3"/>
        <v>13.625721759273006</v>
      </c>
      <c r="L8" s="288">
        <f t="shared" si="4"/>
        <v>2.4331645998701797E-2</v>
      </c>
      <c r="M8" s="297">
        <f t="shared" si="5"/>
        <v>0.97624632013103629</v>
      </c>
      <c r="N8" s="292">
        <f t="shared" si="6"/>
        <v>1.0099656965284183</v>
      </c>
      <c r="O8" s="292">
        <f t="shared" si="7"/>
        <v>0.96661334487568584</v>
      </c>
    </row>
    <row r="9" spans="1:15" s="293" customFormat="1" x14ac:dyDescent="0.35">
      <c r="A9" s="294" t="s">
        <v>453</v>
      </c>
      <c r="B9" s="294">
        <v>650</v>
      </c>
      <c r="C9" s="294">
        <v>7</v>
      </c>
      <c r="D9" s="295">
        <f t="shared" si="8"/>
        <v>642.5</v>
      </c>
      <c r="E9" s="295">
        <f t="shared" si="9"/>
        <v>641.25</v>
      </c>
      <c r="F9" s="295">
        <f t="shared" si="10"/>
        <v>1.0136452241715399</v>
      </c>
      <c r="G9" s="295">
        <v>0.99212131155672356</v>
      </c>
      <c r="H9" s="295">
        <f t="shared" si="0"/>
        <v>655.16181582683089</v>
      </c>
      <c r="I9" s="296">
        <f t="shared" si="1"/>
        <v>633.41128711902013</v>
      </c>
      <c r="J9" s="296">
        <f t="shared" si="2"/>
        <v>628.42083693135464</v>
      </c>
      <c r="K9" s="287">
        <f t="shared" si="3"/>
        <v>21.579163068645357</v>
      </c>
      <c r="L9" s="288">
        <f t="shared" si="4"/>
        <v>3.3198712413300552E-2</v>
      </c>
      <c r="M9" s="297">
        <f t="shared" si="5"/>
        <v>1.0343387134869981</v>
      </c>
      <c r="N9" s="292">
        <f t="shared" si="6"/>
        <v>1.0095535300766045</v>
      </c>
      <c r="O9" s="292">
        <f t="shared" si="7"/>
        <v>1.0245506381504237</v>
      </c>
    </row>
    <row r="10" spans="1:15" s="293" customFormat="1" x14ac:dyDescent="0.35">
      <c r="A10" s="294" t="s">
        <v>454</v>
      </c>
      <c r="B10" s="294">
        <v>970</v>
      </c>
      <c r="C10" s="294">
        <v>8</v>
      </c>
      <c r="D10" s="295">
        <f t="shared" si="8"/>
        <v>651.25</v>
      </c>
      <c r="E10" s="295">
        <f t="shared" si="9"/>
        <v>646.875</v>
      </c>
      <c r="F10" s="295">
        <f t="shared" si="10"/>
        <v>1.4995169082125603</v>
      </c>
      <c r="G10" s="295">
        <f>$E$30</f>
        <v>1.4824973078469241</v>
      </c>
      <c r="H10" s="295">
        <f t="shared" si="0"/>
        <v>654.30135681579111</v>
      </c>
      <c r="I10" s="296">
        <f t="shared" si="1"/>
        <v>642.68447716527828</v>
      </c>
      <c r="J10" s="296">
        <f t="shared" si="2"/>
        <v>952.77800719253298</v>
      </c>
      <c r="K10" s="287">
        <f t="shared" si="3"/>
        <v>17.221992807467018</v>
      </c>
      <c r="L10" s="288">
        <f t="shared" si="4"/>
        <v>1.7754631760275277E-2</v>
      </c>
      <c r="M10" s="297">
        <f t="shared" si="5"/>
        <v>1.0180755566117794</v>
      </c>
      <c r="N10" s="292">
        <f t="shared" si="6"/>
        <v>1.0130103374423267</v>
      </c>
      <c r="O10" s="292">
        <f t="shared" si="7"/>
        <v>1.0050001653312259</v>
      </c>
    </row>
    <row r="11" spans="1:15" s="298" customFormat="1" x14ac:dyDescent="0.35">
      <c r="A11" s="299" t="s">
        <v>455</v>
      </c>
      <c r="B11" s="299">
        <v>390</v>
      </c>
      <c r="C11" s="299">
        <v>9</v>
      </c>
      <c r="D11" s="300">
        <f t="shared" si="8"/>
        <v>648.75</v>
      </c>
      <c r="E11" s="300">
        <f t="shared" si="9"/>
        <v>650</v>
      </c>
      <c r="F11" s="300">
        <f t="shared" si="10"/>
        <v>0.6</v>
      </c>
      <c r="G11" s="300">
        <f>$B$30</f>
        <v>0.60631278912660236</v>
      </c>
      <c r="H11" s="300">
        <f t="shared" si="0"/>
        <v>643.23234969494479</v>
      </c>
      <c r="I11" s="301">
        <f t="shared" si="1"/>
        <v>651.95766721153643</v>
      </c>
      <c r="J11" s="301">
        <f t="shared" si="2"/>
        <v>395.29027159949987</v>
      </c>
      <c r="K11" s="287">
        <f t="shared" si="3"/>
        <v>5.2902715994998744</v>
      </c>
      <c r="L11" s="288">
        <f t="shared" si="4"/>
        <v>1.3564798973076601E-2</v>
      </c>
      <c r="M11" s="302">
        <f t="shared" si="5"/>
        <v>0.98661674222820273</v>
      </c>
      <c r="N11" s="292">
        <f t="shared" si="6"/>
        <v>0.99458907515578288</v>
      </c>
      <c r="O11" s="292">
        <f t="shared" si="7"/>
        <v>0.99198429469343263</v>
      </c>
    </row>
    <row r="12" spans="1:15" s="298" customFormat="1" x14ac:dyDescent="0.35">
      <c r="A12" s="299" t="s">
        <v>456</v>
      </c>
      <c r="B12" s="299">
        <v>595</v>
      </c>
      <c r="C12" s="299">
        <v>10</v>
      </c>
      <c r="D12" s="300">
        <f t="shared" si="8"/>
        <v>657.5</v>
      </c>
      <c r="E12" s="300">
        <f t="shared" si="9"/>
        <v>653.125</v>
      </c>
      <c r="F12" s="300">
        <f t="shared" si="10"/>
        <v>0.91100478468899526</v>
      </c>
      <c r="G12" s="300">
        <f>$C$30</f>
        <v>0.91906859146974929</v>
      </c>
      <c r="H12" s="300">
        <f t="shared" si="0"/>
        <v>647.39455305342585</v>
      </c>
      <c r="I12" s="301">
        <f t="shared" si="1"/>
        <v>661.23085725779458</v>
      </c>
      <c r="J12" s="301">
        <f t="shared" si="2"/>
        <v>607.71651261625607</v>
      </c>
      <c r="K12" s="287">
        <f t="shared" si="3"/>
        <v>12.716512616256068</v>
      </c>
      <c r="L12" s="288">
        <f t="shared" si="4"/>
        <v>2.1372290111354737E-2</v>
      </c>
      <c r="M12" s="302">
        <f t="shared" si="5"/>
        <v>0.97907492662736662</v>
      </c>
      <c r="N12" s="292">
        <f t="shared" si="6"/>
        <v>0.97592581326854011</v>
      </c>
      <c r="O12" s="292">
        <f t="shared" si="7"/>
        <v>1.003226795844532</v>
      </c>
    </row>
    <row r="13" spans="1:15" s="298" customFormat="1" x14ac:dyDescent="0.35">
      <c r="A13" s="299" t="s">
        <v>457</v>
      </c>
      <c r="B13" s="299">
        <v>640</v>
      </c>
      <c r="C13" s="299">
        <v>11</v>
      </c>
      <c r="D13" s="300">
        <f t="shared" si="8"/>
        <v>661.25</v>
      </c>
      <c r="E13" s="300">
        <f t="shared" si="9"/>
        <v>659.375</v>
      </c>
      <c r="F13" s="300">
        <f t="shared" si="10"/>
        <v>0.97061611374407586</v>
      </c>
      <c r="G13" s="300">
        <v>0.99212131155672356</v>
      </c>
      <c r="H13" s="300">
        <f t="shared" si="0"/>
        <v>645.08240327564886</v>
      </c>
      <c r="I13" s="301">
        <f t="shared" si="1"/>
        <v>670.50404730405273</v>
      </c>
      <c r="J13" s="301">
        <f t="shared" si="2"/>
        <v>665.22135481538817</v>
      </c>
      <c r="K13" s="287">
        <f t="shared" si="3"/>
        <v>25.221354815388167</v>
      </c>
      <c r="L13" s="288">
        <f t="shared" si="4"/>
        <v>3.9408366899044013E-2</v>
      </c>
      <c r="M13" s="302">
        <f t="shared" si="5"/>
        <v>0.96208577095005077</v>
      </c>
      <c r="N13" s="292">
        <f t="shared" si="6"/>
        <v>0.97947136952183678</v>
      </c>
      <c r="O13" s="292">
        <f t="shared" si="7"/>
        <v>0.9822500186194586</v>
      </c>
    </row>
    <row r="14" spans="1:15" s="298" customFormat="1" x14ac:dyDescent="0.35">
      <c r="A14" s="299" t="s">
        <v>458</v>
      </c>
      <c r="B14" s="299">
        <v>1005</v>
      </c>
      <c r="C14" s="299">
        <v>12</v>
      </c>
      <c r="D14" s="300">
        <f t="shared" si="8"/>
        <v>680</v>
      </c>
      <c r="E14" s="300">
        <f t="shared" si="9"/>
        <v>670.625</v>
      </c>
      <c r="F14" s="300">
        <f t="shared" si="10"/>
        <v>1.4986020503261883</v>
      </c>
      <c r="G14" s="300">
        <f>$E$30</f>
        <v>1.4824973078469241</v>
      </c>
      <c r="H14" s="300">
        <f t="shared" si="0"/>
        <v>677.9101686596598</v>
      </c>
      <c r="I14" s="301">
        <f t="shared" si="1"/>
        <v>679.77723735031088</v>
      </c>
      <c r="J14" s="301">
        <f t="shared" si="2"/>
        <v>1007.7679243074555</v>
      </c>
      <c r="K14" s="287">
        <f t="shared" si="3"/>
        <v>2.7679243074554734</v>
      </c>
      <c r="L14" s="288">
        <f t="shared" si="4"/>
        <v>2.7541535397566899E-3</v>
      </c>
      <c r="M14" s="302">
        <f t="shared" si="5"/>
        <v>0.99725341098809273</v>
      </c>
      <c r="N14" s="292">
        <f t="shared" si="6"/>
        <v>0.97624957281504032</v>
      </c>
      <c r="O14" s="292">
        <f t="shared" si="7"/>
        <v>1.0215148244444168</v>
      </c>
    </row>
    <row r="15" spans="1:15" s="303" customFormat="1" x14ac:dyDescent="0.35">
      <c r="A15" s="304" t="s">
        <v>459</v>
      </c>
      <c r="B15" s="304">
        <v>405</v>
      </c>
      <c r="C15" s="304">
        <v>13</v>
      </c>
      <c r="D15" s="305">
        <f t="shared" si="8"/>
        <v>696.25</v>
      </c>
      <c r="E15" s="305">
        <f t="shared" si="9"/>
        <v>688.125</v>
      </c>
      <c r="F15" s="305">
        <f t="shared" si="10"/>
        <v>0.58855585831062673</v>
      </c>
      <c r="G15" s="305">
        <f>$B$30</f>
        <v>0.60631278912660236</v>
      </c>
      <c r="H15" s="305">
        <f t="shared" si="0"/>
        <v>667.97205545244265</v>
      </c>
      <c r="I15" s="306">
        <f t="shared" si="1"/>
        <v>689.05042739656903</v>
      </c>
      <c r="J15" s="306">
        <f t="shared" si="2"/>
        <v>417.78008648369121</v>
      </c>
      <c r="K15" s="306">
        <f t="shared" si="3"/>
        <v>12.780086483691207</v>
      </c>
      <c r="L15" s="307">
        <f t="shared" si="4"/>
        <v>3.1555769095533842E-2</v>
      </c>
      <c r="M15" s="308">
        <f t="shared" si="5"/>
        <v>0.96940953650697737</v>
      </c>
      <c r="N15" s="292">
        <f t="shared" si="6"/>
        <v>1.0035299965768771</v>
      </c>
      <c r="O15" s="292">
        <f t="shared" si="7"/>
        <v>0.9659995613621043</v>
      </c>
    </row>
    <row r="16" spans="1:15" s="303" customFormat="1" x14ac:dyDescent="0.35">
      <c r="A16" s="304" t="s">
        <v>460</v>
      </c>
      <c r="B16" s="304">
        <v>670</v>
      </c>
      <c r="C16" s="304">
        <v>14</v>
      </c>
      <c r="D16" s="305">
        <f t="shared" si="8"/>
        <v>715</v>
      </c>
      <c r="E16" s="305">
        <f t="shared" si="9"/>
        <v>705.625</v>
      </c>
      <c r="F16" s="305">
        <f t="shared" si="10"/>
        <v>0.94951284322409213</v>
      </c>
      <c r="G16" s="305">
        <f>$C$30</f>
        <v>0.91906859146974929</v>
      </c>
      <c r="H16" s="305">
        <f t="shared" si="0"/>
        <v>728.99890848032828</v>
      </c>
      <c r="I16" s="306">
        <f t="shared" si="1"/>
        <v>698.32361744282719</v>
      </c>
      <c r="J16" s="306">
        <f t="shared" si="2"/>
        <v>641.80730347323924</v>
      </c>
      <c r="K16" s="306">
        <f t="shared" si="3"/>
        <v>28.192696526760756</v>
      </c>
      <c r="L16" s="307">
        <f t="shared" si="4"/>
        <v>4.2078651532478736E-2</v>
      </c>
      <c r="M16" s="308">
        <f t="shared" si="5"/>
        <v>1.0439270422355613</v>
      </c>
      <c r="N16" s="292">
        <f t="shared" si="6"/>
        <v>1.0058595977156504</v>
      </c>
      <c r="O16" s="292">
        <f t="shared" si="7"/>
        <v>1.0378456840361854</v>
      </c>
    </row>
    <row r="17" spans="1:15" s="303" customFormat="1" x14ac:dyDescent="0.35">
      <c r="A17" s="304" t="s">
        <v>461</v>
      </c>
      <c r="B17" s="304">
        <v>705</v>
      </c>
      <c r="C17" s="304">
        <v>15</v>
      </c>
      <c r="D17" s="305"/>
      <c r="E17" s="305"/>
      <c r="F17" s="286"/>
      <c r="G17" s="305">
        <v>0.99212131155672356</v>
      </c>
      <c r="H17" s="305">
        <f t="shared" si="0"/>
        <v>710.59858485833195</v>
      </c>
      <c r="I17" s="306">
        <f t="shared" si="1"/>
        <v>707.59680748908534</v>
      </c>
      <c r="J17" s="306">
        <f t="shared" si="2"/>
        <v>702.02187269942181</v>
      </c>
      <c r="K17" s="306">
        <f t="shared" si="3"/>
        <v>2.9781273005781941</v>
      </c>
      <c r="L17" s="307">
        <f t="shared" si="4"/>
        <v>4.2242940433733249E-3</v>
      </c>
      <c r="M17" s="308">
        <f t="shared" si="5"/>
        <v>1.0042422144044125</v>
      </c>
      <c r="N17" s="292">
        <f t="shared" si="6"/>
        <v>1.0214644111511644</v>
      </c>
      <c r="O17" s="292">
        <f t="shared" si="7"/>
        <v>0.9831396996716284</v>
      </c>
    </row>
    <row r="18" spans="1:15" s="303" customFormat="1" x14ac:dyDescent="0.35">
      <c r="A18" s="304" t="s">
        <v>462</v>
      </c>
      <c r="B18" s="304">
        <v>1080</v>
      </c>
      <c r="C18" s="304">
        <v>16</v>
      </c>
      <c r="D18" s="305"/>
      <c r="E18" s="305"/>
      <c r="F18" s="286"/>
      <c r="G18" s="305">
        <f>$E$30</f>
        <v>1.4824973078469241</v>
      </c>
      <c r="H18" s="305">
        <f t="shared" si="0"/>
        <v>728.50047975366431</v>
      </c>
      <c r="I18" s="306">
        <f t="shared" si="1"/>
        <v>716.86999753534349</v>
      </c>
      <c r="J18" s="306">
        <f t="shared" si="2"/>
        <v>1062.7578414223779</v>
      </c>
      <c r="K18" s="306">
        <f t="shared" si="3"/>
        <v>17.242158577622149</v>
      </c>
      <c r="L18" s="307">
        <f t="shared" si="4"/>
        <v>1.5964961645946435E-2</v>
      </c>
      <c r="M18" s="308">
        <f t="shared" si="5"/>
        <v>1.0162239768135191</v>
      </c>
      <c r="N18" s="309"/>
      <c r="O18" s="308"/>
    </row>
    <row r="19" spans="1:15" x14ac:dyDescent="0.35">
      <c r="G19" s="310" t="s">
        <v>480</v>
      </c>
      <c r="H19" s="311">
        <f>INTERCEPT(H3:H18,C3:C18)</f>
        <v>568.49895679521308</v>
      </c>
      <c r="I19" s="312"/>
      <c r="K19" s="313">
        <f>AVERAGE(K3:K18)</f>
        <v>14.461149346178324</v>
      </c>
      <c r="L19" s="314">
        <f>AVERAGE(L3:L18)</f>
        <v>2.2897071814677032E-2</v>
      </c>
      <c r="M19" s="315">
        <f>AVERAGE(M3:M18)</f>
        <v>1.0000363563689345</v>
      </c>
      <c r="N19" s="315">
        <f>AVERAGE(N4:N17)</f>
        <v>0.99738904314538679</v>
      </c>
      <c r="O19" s="315">
        <f>AVERAGE(O4:O17)</f>
        <v>0.99955968097665804</v>
      </c>
    </row>
    <row r="20" spans="1:15" x14ac:dyDescent="0.35">
      <c r="G20" s="310" t="s">
        <v>481</v>
      </c>
      <c r="H20" s="311">
        <f>SLOPE(H3:H18,C3:C18)</f>
        <v>9.2731900462581489</v>
      </c>
      <c r="I20" s="312"/>
      <c r="K20" s="316" t="s">
        <v>368</v>
      </c>
      <c r="L20" s="313" t="s">
        <v>369</v>
      </c>
    </row>
    <row r="21" spans="1:15" x14ac:dyDescent="0.35">
      <c r="G21" s="310" t="s">
        <v>482</v>
      </c>
      <c r="H21" s="310" t="s">
        <v>483</v>
      </c>
    </row>
    <row r="22" spans="1:15" x14ac:dyDescent="0.35">
      <c r="G22" s="438" t="s">
        <v>524</v>
      </c>
      <c r="H22" s="438"/>
      <c r="J22">
        <f>1245+8.5*(22)</f>
        <v>1432</v>
      </c>
    </row>
    <row r="23" spans="1:15" ht="47" customHeight="1" x14ac:dyDescent="0.35">
      <c r="A23" s="317" t="s">
        <v>484</v>
      </c>
      <c r="B23" s="433" t="s">
        <v>485</v>
      </c>
      <c r="C23" s="433"/>
      <c r="D23" s="433"/>
      <c r="E23" s="433"/>
      <c r="G23" s="436" t="s">
        <v>486</v>
      </c>
      <c r="H23" s="437"/>
      <c r="J23" s="343">
        <f>(1433.75+1376.25)/2</f>
        <v>1405</v>
      </c>
    </row>
    <row r="24" spans="1:15" x14ac:dyDescent="0.35">
      <c r="A24" s="319" t="s">
        <v>487</v>
      </c>
      <c r="B24" s="318" t="s">
        <v>488</v>
      </c>
      <c r="C24" s="318" t="s">
        <v>489</v>
      </c>
      <c r="D24" s="318" t="s">
        <v>490</v>
      </c>
      <c r="E24" s="318" t="s">
        <v>491</v>
      </c>
      <c r="L24" s="340"/>
    </row>
    <row r="25" spans="1:15" x14ac:dyDescent="0.35">
      <c r="A25" s="320" t="s">
        <v>492</v>
      </c>
      <c r="B25" s="318"/>
      <c r="C25" s="318"/>
      <c r="D25" s="321">
        <f>F5</f>
        <v>0.98942917547568709</v>
      </c>
      <c r="E25" s="321">
        <f>F6</f>
        <v>1.4453781512605042</v>
      </c>
    </row>
    <row r="26" spans="1:15" x14ac:dyDescent="0.35">
      <c r="A26" s="322" t="s">
        <v>493</v>
      </c>
      <c r="B26" s="323">
        <f>F7</f>
        <v>0.62874870734229571</v>
      </c>
      <c r="C26" s="323">
        <f>F8</f>
        <v>0.89421157684630737</v>
      </c>
      <c r="D26" s="323">
        <f>F9</f>
        <v>1.0136452241715399</v>
      </c>
      <c r="E26" s="323">
        <f>F10</f>
        <v>1.4995169082125603</v>
      </c>
      <c r="J26" s="434" t="s">
        <v>494</v>
      </c>
      <c r="K26" s="434"/>
      <c r="N26" s="435" t="s">
        <v>495</v>
      </c>
      <c r="O26" s="435"/>
    </row>
    <row r="27" spans="1:15" x14ac:dyDescent="0.35">
      <c r="A27" s="324" t="s">
        <v>496</v>
      </c>
      <c r="B27" s="325">
        <f>F11</f>
        <v>0.6</v>
      </c>
      <c r="C27" s="325">
        <f>F12</f>
        <v>0.91100478468899526</v>
      </c>
      <c r="D27" s="325">
        <f>F13</f>
        <v>0.97061611374407586</v>
      </c>
      <c r="E27" s="325">
        <f>F14</f>
        <v>1.4986020503261883</v>
      </c>
      <c r="J27" s="434"/>
      <c r="K27" s="434"/>
      <c r="N27" s="435"/>
      <c r="O27" s="435"/>
    </row>
    <row r="28" spans="1:15" x14ac:dyDescent="0.35">
      <c r="A28" s="326" t="s">
        <v>497</v>
      </c>
      <c r="B28" s="327">
        <f>F15</f>
        <v>0.58855585831062673</v>
      </c>
      <c r="C28" s="327">
        <f>F16</f>
        <v>0.94951284322409213</v>
      </c>
      <c r="D28" s="318"/>
      <c r="E28" s="318"/>
      <c r="J28" s="434"/>
      <c r="K28" s="434"/>
      <c r="N28" s="435"/>
      <c r="O28" s="435"/>
    </row>
    <row r="29" spans="1:15" x14ac:dyDescent="0.35">
      <c r="A29" s="319" t="s">
        <v>498</v>
      </c>
      <c r="B29" s="328">
        <f>AVERAGE(B25:B28)</f>
        <v>0.60576818855097414</v>
      </c>
      <c r="C29" s="328">
        <f t="shared" ref="C29:E29" si="11">AVERAGE(C25:C28)</f>
        <v>0.91824306825313162</v>
      </c>
      <c r="D29" s="328">
        <f t="shared" si="11"/>
        <v>0.99123017113043443</v>
      </c>
      <c r="E29" s="328">
        <f t="shared" si="11"/>
        <v>1.4811657032664176</v>
      </c>
      <c r="F29" t="s">
        <v>499</v>
      </c>
      <c r="G29" s="329">
        <f>SUM(B29:E29)</f>
        <v>3.9964071312009581</v>
      </c>
    </row>
    <row r="30" spans="1:15" ht="29" x14ac:dyDescent="0.35">
      <c r="A30" s="317" t="s">
        <v>500</v>
      </c>
      <c r="B30" s="330">
        <f>B29*(4/$G$29)</f>
        <v>0.60631278912660236</v>
      </c>
      <c r="C30" s="330">
        <f t="shared" ref="C30:E30" si="12">C29*(4/$G$29)</f>
        <v>0.91906859146974929</v>
      </c>
      <c r="D30" s="330">
        <f t="shared" si="12"/>
        <v>0.99212131155672356</v>
      </c>
      <c r="E30" s="330">
        <f t="shared" si="12"/>
        <v>1.4824973078469241</v>
      </c>
    </row>
    <row r="54" spans="14:19" x14ac:dyDescent="0.35">
      <c r="N54" s="437" t="s">
        <v>501</v>
      </c>
      <c r="O54" s="437"/>
      <c r="P54" s="437"/>
      <c r="Q54" s="437"/>
      <c r="R54" s="437"/>
      <c r="S54" s="123"/>
    </row>
    <row r="55" spans="14:19" x14ac:dyDescent="0.35">
      <c r="N55" s="437"/>
      <c r="O55" s="437"/>
      <c r="P55" s="437"/>
      <c r="Q55" s="437"/>
      <c r="R55" s="437"/>
    </row>
    <row r="56" spans="14:19" x14ac:dyDescent="0.35">
      <c r="N56" s="437"/>
      <c r="O56" s="437"/>
      <c r="P56" s="437"/>
      <c r="Q56" s="437"/>
      <c r="R56" s="437"/>
    </row>
    <row r="57" spans="14:19" x14ac:dyDescent="0.35">
      <c r="N57" s="437"/>
      <c r="O57" s="437"/>
      <c r="P57" s="437"/>
      <c r="Q57" s="437"/>
      <c r="R57" s="437"/>
    </row>
    <row r="58" spans="14:19" x14ac:dyDescent="0.35">
      <c r="N58" s="437"/>
      <c r="O58" s="437"/>
      <c r="P58" s="437"/>
      <c r="Q58" s="437"/>
      <c r="R58" s="437"/>
    </row>
    <row r="59" spans="14:19" x14ac:dyDescent="0.35">
      <c r="N59" s="437"/>
      <c r="O59" s="437"/>
      <c r="P59" s="437"/>
      <c r="Q59" s="437"/>
      <c r="R59" s="437"/>
    </row>
    <row r="60" spans="14:19" x14ac:dyDescent="0.35">
      <c r="N60" s="437"/>
      <c r="O60" s="437"/>
      <c r="P60" s="437"/>
      <c r="Q60" s="437"/>
      <c r="R60" s="437"/>
    </row>
    <row r="61" spans="14:19" x14ac:dyDescent="0.35">
      <c r="N61" s="437"/>
      <c r="O61" s="437"/>
      <c r="P61" s="437"/>
      <c r="Q61" s="437"/>
      <c r="R61" s="437"/>
    </row>
    <row r="62" spans="14:19" x14ac:dyDescent="0.35">
      <c r="N62" s="437"/>
      <c r="O62" s="437"/>
      <c r="P62" s="437"/>
      <c r="Q62" s="437"/>
      <c r="R62" s="437"/>
    </row>
    <row r="63" spans="14:19" x14ac:dyDescent="0.35">
      <c r="N63" s="437"/>
      <c r="O63" s="437"/>
      <c r="P63" s="437"/>
      <c r="Q63" s="437"/>
      <c r="R63" s="437"/>
    </row>
    <row r="71" spans="1:5" ht="21" x14ac:dyDescent="0.5">
      <c r="A71" s="427" t="s">
        <v>502</v>
      </c>
      <c r="B71" s="428"/>
      <c r="C71" s="428"/>
      <c r="D71" s="428"/>
      <c r="E71" s="429"/>
    </row>
    <row r="72" spans="1:5" ht="43.5" x14ac:dyDescent="0.35">
      <c r="A72" s="331" t="s">
        <v>503</v>
      </c>
      <c r="B72" s="331" t="s">
        <v>504</v>
      </c>
      <c r="C72" s="331" t="s">
        <v>505</v>
      </c>
      <c r="D72" s="331" t="s">
        <v>506</v>
      </c>
      <c r="E72" s="331" t="s">
        <v>507</v>
      </c>
    </row>
    <row r="73" spans="1:5" x14ac:dyDescent="0.35">
      <c r="A73" s="332" t="s">
        <v>508</v>
      </c>
      <c r="B73" s="333">
        <v>17</v>
      </c>
      <c r="C73" s="334">
        <f>($H$20*B73)+568.5</f>
        <v>726.14423078638856</v>
      </c>
      <c r="D73" s="335">
        <f>B30</f>
        <v>0.60631278912660236</v>
      </c>
      <c r="E73" s="336">
        <f>C73*D73</f>
        <v>440.27053387628649</v>
      </c>
    </row>
    <row r="74" spans="1:5" x14ac:dyDescent="0.35">
      <c r="A74" s="332" t="s">
        <v>509</v>
      </c>
      <c r="B74" s="333">
        <v>18</v>
      </c>
      <c r="C74" s="334">
        <f t="shared" ref="C74:C76" si="13">($H$20*B74)+568.5</f>
        <v>735.41742083264671</v>
      </c>
      <c r="D74" s="335">
        <f>C30</f>
        <v>0.91906859146974929</v>
      </c>
      <c r="E74" s="336">
        <f t="shared" ref="E74:E76" si="14">C74*D74</f>
        <v>675.89905310697645</v>
      </c>
    </row>
    <row r="75" spans="1:5" x14ac:dyDescent="0.35">
      <c r="A75" s="332" t="s">
        <v>510</v>
      </c>
      <c r="B75" s="333">
        <v>19</v>
      </c>
      <c r="C75" s="334">
        <f t="shared" si="13"/>
        <v>744.69061087890486</v>
      </c>
      <c r="D75" s="335">
        <f>D30</f>
        <v>0.99212131155672356</v>
      </c>
      <c r="E75" s="336">
        <f t="shared" si="14"/>
        <v>738.82342556915671</v>
      </c>
    </row>
    <row r="76" spans="1:5" x14ac:dyDescent="0.35">
      <c r="A76" s="332" t="s">
        <v>511</v>
      </c>
      <c r="B76" s="333">
        <v>20</v>
      </c>
      <c r="C76" s="334">
        <f t="shared" si="13"/>
        <v>753.96380092516301</v>
      </c>
      <c r="D76" s="335">
        <f>E30</f>
        <v>1.4824973078469241</v>
      </c>
      <c r="E76" s="336">
        <f t="shared" si="14"/>
        <v>1117.7493050855885</v>
      </c>
    </row>
    <row r="84" spans="6:6" x14ac:dyDescent="0.35">
      <c r="F84" s="343"/>
    </row>
  </sheetData>
  <mergeCells count="11">
    <mergeCell ref="M1:O1"/>
    <mergeCell ref="A71:E71"/>
    <mergeCell ref="A1:C1"/>
    <mergeCell ref="D1:H1"/>
    <mergeCell ref="I1:L1"/>
    <mergeCell ref="B23:E23"/>
    <mergeCell ref="J26:K28"/>
    <mergeCell ref="N26:O28"/>
    <mergeCell ref="G23:H23"/>
    <mergeCell ref="N54:R63"/>
    <mergeCell ref="G22:H22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MM1-MG1-MD1 template</vt:lpstr>
      <vt:lpstr>MM1-MG1-MD1</vt:lpstr>
      <vt:lpstr>L3 MM1</vt:lpstr>
      <vt:lpstr>L3 MG1</vt:lpstr>
      <vt:lpstr>L3 MD1</vt:lpstr>
      <vt:lpstr>L3 MMk (2)</vt:lpstr>
      <vt:lpstr>L3 MMk</vt:lpstr>
      <vt:lpstr>MMk (L4 WS PS (IKEA) Part 1)</vt:lpstr>
      <vt:lpstr>Shortest Path (Example)</vt:lpstr>
      <vt:lpstr>Shortest Path (Activity 1)</vt:lpstr>
      <vt:lpstr>Maximum Flow</vt:lpstr>
      <vt:lpstr>Shortest Path</vt:lpstr>
      <vt:lpstr>Shortest Path (2024 ESE Q8)</vt:lpstr>
      <vt:lpstr>Maximum Flow (2)</vt:lpstr>
      <vt:lpstr>NN</vt:lpstr>
      <vt:lpstr>CWS</vt:lpstr>
      <vt:lpstr>CWS VehCap</vt:lpstr>
      <vt:lpstr>L20 MCF (WO arc cap)</vt:lpstr>
      <vt:lpstr>L20 MCF (with arc cap)</vt:lpstr>
      <vt:lpstr>L20 MCF (6a, S&lt;D)</vt:lpstr>
      <vt:lpstr>L20 MCF (6b, S&gt;D)</vt:lpstr>
      <vt:lpstr>Sheet1</vt:lpstr>
      <vt:lpstr>MA</vt:lpstr>
      <vt:lpstr>WMA</vt:lpstr>
      <vt:lpstr>SES</vt:lpstr>
      <vt:lpstr>Product B</vt:lpstr>
      <vt:lpstr>LR</vt:lpstr>
      <vt:lpstr>Holt's &amp; LR</vt:lpstr>
      <vt:lpstr>Holt's &amp; LR (HC)</vt:lpstr>
      <vt:lpstr>Decomposition</vt:lpstr>
      <vt:lpstr>Solutions</vt:lpstr>
    </vt:vector>
  </TitlesOfParts>
  <Manager/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Fui Long</dc:creator>
  <cp:keywords/>
  <dc:description/>
  <cp:lastModifiedBy>KOH WEI XUAN CELEST</cp:lastModifiedBy>
  <dcterms:created xsi:type="dcterms:W3CDTF">2015-11-23T05:20:14Z</dcterms:created>
  <dcterms:modified xsi:type="dcterms:W3CDTF">2026-03-10T08:40:25Z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2022-01-03T07:57:04Z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4a2137fe-ffad-4bc1-a637-1dbf40db30ae</vt:lpwstr>
  </property>
  <property fmtid="{D5CDD505-2E9C-101B-9397-08002B2CF9AE}" pid="8" name="MSIP_Label_b70f6a2e-9a0b-44bc-9fcb-55781401e2f0_ContentBits">
    <vt:lpwstr>1</vt:lpwstr>
  </property>
  <property fmtid="{D5CDD505-2E9C-101B-9397-08002B2CF9AE}" pid="9" name="WorkbookGuid">
    <vt:lpwstr>2e5935fb-12cc-453c-a039-62fbc9db3ee9</vt:lpwstr>
  </property>
</Properties>
</file>