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mchon\Downloads\"/>
    </mc:Choice>
  </mc:AlternateContent>
  <bookViews>
    <workbookView xWindow="0" yWindow="0" windowWidth="21570" windowHeight="8160" activeTab="3"/>
  </bookViews>
  <sheets>
    <sheet name="Model Figure" sheetId="1" r:id="rId1"/>
    <sheet name="Analysis" sheetId="3" r:id="rId2"/>
    <sheet name="Life tables" sheetId="4" r:id="rId3"/>
    <sheet name="PH" sheetId="5" r:id="rId4"/>
  </sheets>
  <externalReferences>
    <externalReference r:id="rId5"/>
  </externalReferences>
  <definedNames>
    <definedName name="age">[1]Parameters!$B$8</definedName>
    <definedName name="ageC">[1]Parameters!$B$23</definedName>
    <definedName name="cDR">[1]Parameters!$B$11</definedName>
    <definedName name="cons">[1]Parameters!$B$22</definedName>
    <definedName name="cPrimary">[1]Parameters!$B$32</definedName>
    <definedName name="cRevision">[1]Parameters!$B$33</definedName>
    <definedName name="cStandard">[1]Parameters!$B$35</definedName>
    <definedName name="cSuccess">[1]Parameters!$B$34</definedName>
    <definedName name="gamma">[1]Parameters!$B$26</definedName>
    <definedName name="lambda">[1]Parameters!$B$25</definedName>
    <definedName name="Lifetable">'Life tables'!$C$15:$E$20</definedName>
    <definedName name="male">[1]Parameters!$B$9</definedName>
    <definedName name="maleC">[1]Parameters!$B$24</definedName>
    <definedName name="mr">PH!$E$7:$E$66</definedName>
    <definedName name="oDR">[1]Parameters!$B$12</definedName>
    <definedName name="omrPTHR">[1]Parameters!$B$16</definedName>
    <definedName name="omrRTHR">[1]Parameters!$B$17</definedName>
    <definedName name="rrr">[1]Parameters!$B$18</definedName>
    <definedName name="standardRR">PH!$C$7:$C$66</definedName>
    <definedName name="uRevision">[1]Parameters!$B$43</definedName>
    <definedName name="uSuccessP">[1]Parameters!$B$41</definedName>
    <definedName name="uSuccessR">[1]Parameters!$B$42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5" l="1"/>
  <c r="M6" i="5"/>
  <c r="E8" i="5"/>
  <c r="E10" i="5"/>
  <c r="E11" i="5"/>
  <c r="E12" i="5"/>
  <c r="E14" i="5"/>
  <c r="E15" i="5"/>
  <c r="E16" i="5"/>
  <c r="E18" i="5"/>
  <c r="E19" i="5"/>
  <c r="E20" i="5"/>
  <c r="E22" i="5"/>
  <c r="E23" i="5"/>
  <c r="E24" i="5"/>
  <c r="E26" i="5"/>
  <c r="E27" i="5"/>
  <c r="E28" i="5"/>
  <c r="E30" i="5"/>
  <c r="E31" i="5"/>
  <c r="E32" i="5"/>
  <c r="E34" i="5"/>
  <c r="E35" i="5"/>
  <c r="E36" i="5"/>
  <c r="E38" i="5"/>
  <c r="E39" i="5"/>
  <c r="E40" i="5"/>
  <c r="E42" i="5"/>
  <c r="E43" i="5"/>
  <c r="E44" i="5"/>
  <c r="E46" i="5"/>
  <c r="E47" i="5"/>
  <c r="E48" i="5"/>
  <c r="E50" i="5"/>
  <c r="E51" i="5"/>
  <c r="E52" i="5"/>
  <c r="E54" i="5"/>
  <c r="E55" i="5"/>
  <c r="E56" i="5"/>
  <c r="E57" i="5"/>
  <c r="E58" i="5"/>
  <c r="E59" i="5"/>
  <c r="E60" i="5"/>
  <c r="E61" i="5"/>
  <c r="E62" i="5"/>
  <c r="E63" i="5"/>
  <c r="E64" i="5"/>
  <c r="E65" i="5"/>
  <c r="E66" i="5"/>
  <c r="D15" i="4"/>
  <c r="E15" i="4"/>
  <c r="D16" i="4"/>
  <c r="E16" i="4"/>
  <c r="D17" i="4"/>
  <c r="E17" i="4"/>
  <c r="D18" i="4"/>
  <c r="E18" i="4"/>
  <c r="D19" i="4"/>
  <c r="E19" i="4"/>
  <c r="D20" i="4"/>
  <c r="E20" i="4"/>
  <c r="D15" i="3"/>
  <c r="E15" i="3"/>
  <c r="E9" i="5"/>
  <c r="E7" i="5" l="1"/>
  <c r="E53" i="5"/>
  <c r="E49" i="5"/>
  <c r="E45" i="5"/>
  <c r="E41" i="5"/>
  <c r="E37" i="5"/>
  <c r="E33" i="5"/>
  <c r="E29" i="5"/>
  <c r="E25" i="5"/>
  <c r="E21" i="5"/>
  <c r="E17" i="5"/>
  <c r="E13" i="5"/>
  <c r="C12" i="5" l="1"/>
  <c r="C28" i="5"/>
  <c r="C40" i="5"/>
  <c r="C56" i="5"/>
  <c r="C64" i="5"/>
  <c r="C17" i="5"/>
  <c r="C37" i="5"/>
  <c r="C53" i="5"/>
  <c r="C65" i="5"/>
  <c r="C10" i="5"/>
  <c r="C14" i="5"/>
  <c r="C18" i="5"/>
  <c r="C22" i="5"/>
  <c r="C26" i="5"/>
  <c r="C30" i="5"/>
  <c r="C34" i="5"/>
  <c r="C38" i="5"/>
  <c r="C42" i="5"/>
  <c r="C46" i="5"/>
  <c r="C50" i="5"/>
  <c r="C54" i="5"/>
  <c r="C58" i="5"/>
  <c r="C62" i="5"/>
  <c r="C66" i="5"/>
  <c r="C7" i="5"/>
  <c r="C8" i="5"/>
  <c r="C24" i="5"/>
  <c r="C36" i="5"/>
  <c r="C48" i="5"/>
  <c r="C21" i="5"/>
  <c r="C41" i="5"/>
  <c r="C49" i="5"/>
  <c r="C11" i="5"/>
  <c r="C15" i="5"/>
  <c r="C19" i="5"/>
  <c r="C23" i="5"/>
  <c r="C27" i="5"/>
  <c r="C31" i="5"/>
  <c r="C35" i="5"/>
  <c r="C39" i="5"/>
  <c r="C43" i="5"/>
  <c r="C47" i="5"/>
  <c r="C51" i="5"/>
  <c r="C55" i="5"/>
  <c r="C59" i="5"/>
  <c r="C63" i="5"/>
  <c r="C16" i="5"/>
  <c r="C20" i="5"/>
  <c r="C32" i="5"/>
  <c r="C44" i="5"/>
  <c r="C52" i="5"/>
  <c r="C60" i="5"/>
  <c r="C9" i="5"/>
  <c r="C13" i="5"/>
  <c r="C25" i="5"/>
  <c r="C29" i="5"/>
  <c r="C33" i="5"/>
  <c r="C45" i="5"/>
  <c r="C57" i="5"/>
  <c r="C61" i="5"/>
  <c r="J7" i="5"/>
  <c r="K7" i="5"/>
  <c r="I7" i="5" l="1"/>
  <c r="J8" i="5" s="1"/>
  <c r="H7" i="5"/>
  <c r="N7" i="5" l="1"/>
  <c r="I8" i="5"/>
  <c r="J9" i="5" s="1"/>
  <c r="H8" i="5"/>
  <c r="L7" i="5"/>
  <c r="K8" i="5"/>
  <c r="M7" i="5"/>
  <c r="O7" i="5"/>
  <c r="N8" i="5"/>
  <c r="H9" i="5" l="1"/>
  <c r="L8" i="5"/>
  <c r="M8" i="5"/>
  <c r="O8" i="5"/>
  <c r="I9" i="5"/>
  <c r="K9" i="5"/>
  <c r="L9" i="5" s="1"/>
  <c r="M9" i="5" l="1"/>
  <c r="J10" i="5"/>
  <c r="N9" i="5"/>
  <c r="H10" i="5"/>
  <c r="O9" i="5"/>
  <c r="I10" i="5"/>
  <c r="J11" i="5" s="1"/>
  <c r="K10" i="5"/>
  <c r="N10" i="5" l="1"/>
  <c r="K11" i="5"/>
  <c r="M10" i="5"/>
  <c r="L10" i="5"/>
  <c r="O10" i="5"/>
  <c r="H11" i="5"/>
  <c r="I11" i="5"/>
  <c r="J12" i="5" s="1"/>
  <c r="O11" i="5" l="1"/>
  <c r="L11" i="5"/>
  <c r="M11" i="5"/>
  <c r="K12" i="5"/>
  <c r="H12" i="5"/>
  <c r="I12" i="5"/>
  <c r="J13" i="5" s="1"/>
  <c r="N11" i="5"/>
  <c r="L12" i="5" l="1"/>
  <c r="O12" i="5"/>
  <c r="M12" i="5"/>
  <c r="K13" i="5"/>
  <c r="H13" i="5"/>
  <c r="I13" i="5"/>
  <c r="J14" i="5" s="1"/>
  <c r="N12" i="5"/>
  <c r="L13" i="5" l="1"/>
  <c r="M13" i="5"/>
  <c r="K14" i="5"/>
  <c r="I14" i="5"/>
  <c r="J15" i="5" s="1"/>
  <c r="O13" i="5"/>
  <c r="H14" i="5"/>
  <c r="N13" i="5"/>
  <c r="N14" i="5" l="1"/>
  <c r="O14" i="5"/>
  <c r="H15" i="5"/>
  <c r="L14" i="5"/>
  <c r="K15" i="5"/>
  <c r="I15" i="5"/>
  <c r="J16" i="5" s="1"/>
  <c r="M14" i="5"/>
  <c r="N15" i="5" l="1"/>
  <c r="L15" i="5"/>
  <c r="M15" i="5"/>
  <c r="K16" i="5"/>
  <c r="H16" i="5"/>
  <c r="O15" i="5"/>
  <c r="I16" i="5"/>
  <c r="J17" i="5" s="1"/>
  <c r="K17" i="5" l="1"/>
  <c r="O16" i="5"/>
  <c r="H17" i="5"/>
  <c r="I17" i="5"/>
  <c r="J18" i="5" s="1"/>
  <c r="L16" i="5"/>
  <c r="M16" i="5"/>
  <c r="N16" i="5"/>
  <c r="N17" i="5" l="1"/>
  <c r="N18" i="5"/>
  <c r="L17" i="5"/>
  <c r="O17" i="5"/>
  <c r="M17" i="5"/>
  <c r="K18" i="5"/>
  <c r="H18" i="5"/>
  <c r="I18" i="5"/>
  <c r="J19" i="5" s="1"/>
  <c r="M18" i="5" l="1"/>
  <c r="I19" i="5"/>
  <c r="J20" i="5" s="1"/>
  <c r="L18" i="5"/>
  <c r="K19" i="5"/>
  <c r="O18" i="5"/>
  <c r="H19" i="5"/>
  <c r="N19" i="5" l="1"/>
  <c r="M19" i="5"/>
  <c r="K20" i="5"/>
  <c r="O19" i="5"/>
  <c r="L19" i="5"/>
  <c r="H20" i="5"/>
  <c r="I20" i="5"/>
  <c r="J21" i="5" s="1"/>
  <c r="I21" i="5" l="1"/>
  <c r="J22" i="5" s="1"/>
  <c r="O20" i="5"/>
  <c r="H21" i="5"/>
  <c r="L20" i="5"/>
  <c r="M20" i="5"/>
  <c r="K21" i="5"/>
  <c r="N20" i="5"/>
  <c r="N21" i="5" l="1"/>
  <c r="O21" i="5"/>
  <c r="K22" i="5"/>
  <c r="I22" i="5"/>
  <c r="J23" i="5" s="1"/>
  <c r="H22" i="5"/>
  <c r="L21" i="5"/>
  <c r="M21" i="5"/>
  <c r="N22" i="5" l="1"/>
  <c r="H23" i="5"/>
  <c r="I23" i="5"/>
  <c r="J24" i="5" s="1"/>
  <c r="L22" i="5"/>
  <c r="M22" i="5"/>
  <c r="K23" i="5"/>
  <c r="O22" i="5"/>
  <c r="N23" i="5"/>
  <c r="M23" i="5" l="1"/>
  <c r="K24" i="5"/>
  <c r="H24" i="5"/>
  <c r="O23" i="5"/>
  <c r="L23" i="5"/>
  <c r="I24" i="5"/>
  <c r="J25" i="5" s="1"/>
  <c r="N25" i="5" l="1"/>
  <c r="L24" i="5"/>
  <c r="O24" i="5"/>
  <c r="H25" i="5"/>
  <c r="I25" i="5"/>
  <c r="J26" i="5" s="1"/>
  <c r="M24" i="5"/>
  <c r="K25" i="5"/>
  <c r="N24" i="5"/>
  <c r="H26" i="5" l="1"/>
  <c r="L25" i="5"/>
  <c r="K26" i="5"/>
  <c r="I26" i="5"/>
  <c r="J27" i="5" s="1"/>
  <c r="M25" i="5"/>
  <c r="O25" i="5"/>
  <c r="H27" i="5" l="1"/>
  <c r="L26" i="5"/>
  <c r="M26" i="5"/>
  <c r="K27" i="5"/>
  <c r="O26" i="5"/>
  <c r="I27" i="5"/>
  <c r="J28" i="5" s="1"/>
  <c r="N26" i="5"/>
  <c r="M27" i="5" l="1"/>
  <c r="K28" i="5"/>
  <c r="H28" i="5"/>
  <c r="O27" i="5"/>
  <c r="L27" i="5"/>
  <c r="I28" i="5"/>
  <c r="J29" i="5" s="1"/>
  <c r="N27" i="5"/>
  <c r="N28" i="5" l="1"/>
  <c r="N29" i="5"/>
  <c r="L28" i="5"/>
  <c r="O28" i="5"/>
  <c r="M28" i="5"/>
  <c r="K29" i="5"/>
  <c r="H29" i="5"/>
  <c r="I29" i="5"/>
  <c r="J30" i="5" s="1"/>
  <c r="O29" i="5" l="1"/>
  <c r="K30" i="5"/>
  <c r="I30" i="5"/>
  <c r="J31" i="5" s="1"/>
  <c r="H30" i="5"/>
  <c r="L29" i="5"/>
  <c r="M29" i="5"/>
  <c r="L30" i="5" l="1"/>
  <c r="M30" i="5"/>
  <c r="I31" i="5"/>
  <c r="J32" i="5" s="1"/>
  <c r="O30" i="5"/>
  <c r="H31" i="5"/>
  <c r="K31" i="5"/>
  <c r="N31" i="5"/>
  <c r="N30" i="5"/>
  <c r="M31" i="5" l="1"/>
  <c r="I32" i="5"/>
  <c r="J33" i="5" s="1"/>
  <c r="L31" i="5"/>
  <c r="K32" i="5"/>
  <c r="H32" i="5"/>
  <c r="O31" i="5"/>
  <c r="N32" i="5" l="1"/>
  <c r="L32" i="5"/>
  <c r="I33" i="5"/>
  <c r="J34" i="5" s="1"/>
  <c r="M32" i="5"/>
  <c r="H33" i="5"/>
  <c r="O32" i="5"/>
  <c r="K33" i="5"/>
  <c r="N33" i="5"/>
  <c r="L33" i="5" l="1"/>
  <c r="M33" i="5"/>
  <c r="O33" i="5"/>
  <c r="H34" i="5"/>
  <c r="I34" i="5"/>
  <c r="J35" i="5" s="1"/>
  <c r="K34" i="5"/>
  <c r="N34" i="5"/>
  <c r="M34" i="5" l="1"/>
  <c r="I35" i="5"/>
  <c r="J36" i="5" s="1"/>
  <c r="K35" i="5"/>
  <c r="O34" i="5"/>
  <c r="H35" i="5"/>
  <c r="L34" i="5"/>
  <c r="N36" i="5" l="1"/>
  <c r="N35" i="5"/>
  <c r="L35" i="5"/>
  <c r="M35" i="5"/>
  <c r="K36" i="5"/>
  <c r="H36" i="5"/>
  <c r="I36" i="5"/>
  <c r="J37" i="5" s="1"/>
  <c r="O35" i="5"/>
  <c r="L36" i="5" l="1"/>
  <c r="M36" i="5"/>
  <c r="O36" i="5"/>
  <c r="K37" i="5"/>
  <c r="H37" i="5"/>
  <c r="I37" i="5"/>
  <c r="J38" i="5" s="1"/>
  <c r="K38" i="5" l="1"/>
  <c r="H38" i="5"/>
  <c r="L37" i="5"/>
  <c r="M37" i="5"/>
  <c r="O37" i="5"/>
  <c r="I38" i="5"/>
  <c r="J39" i="5" s="1"/>
  <c r="N37" i="5"/>
  <c r="N39" i="5" l="1"/>
  <c r="O38" i="5"/>
  <c r="H39" i="5"/>
  <c r="I39" i="5"/>
  <c r="J40" i="5" s="1"/>
  <c r="M38" i="5"/>
  <c r="L38" i="5"/>
  <c r="K39" i="5"/>
  <c r="N38" i="5"/>
  <c r="N40" i="5" l="1"/>
  <c r="M39" i="5"/>
  <c r="K40" i="5"/>
  <c r="L39" i="5"/>
  <c r="H40" i="5"/>
  <c r="I40" i="5"/>
  <c r="J41" i="5" s="1"/>
  <c r="O39" i="5"/>
  <c r="H41" i="5" l="1"/>
  <c r="N41" i="5" s="1"/>
  <c r="I41" i="5"/>
  <c r="J42" i="5" s="1"/>
  <c r="L40" i="5"/>
  <c r="M40" i="5"/>
  <c r="O40" i="5"/>
  <c r="K41" i="5"/>
  <c r="N42" i="5" l="1"/>
  <c r="K42" i="5"/>
  <c r="O41" i="5"/>
  <c r="H42" i="5"/>
  <c r="I42" i="5"/>
  <c r="J43" i="5" s="1"/>
  <c r="L41" i="5"/>
  <c r="M41" i="5"/>
  <c r="L42" i="5" l="1"/>
  <c r="I43" i="5"/>
  <c r="J44" i="5" s="1"/>
  <c r="K43" i="5"/>
  <c r="M42" i="5"/>
  <c r="O42" i="5"/>
  <c r="H43" i="5"/>
  <c r="N43" i="5" l="1"/>
  <c r="H44" i="5"/>
  <c r="I44" i="5"/>
  <c r="J45" i="5" s="1"/>
  <c r="O43" i="5"/>
  <c r="L43" i="5"/>
  <c r="M43" i="5"/>
  <c r="K44" i="5"/>
  <c r="I45" i="5" l="1"/>
  <c r="J46" i="5" s="1"/>
  <c r="L44" i="5"/>
  <c r="M44" i="5"/>
  <c r="H45" i="5"/>
  <c r="O44" i="5"/>
  <c r="K45" i="5"/>
  <c r="N44" i="5"/>
  <c r="N45" i="5" l="1"/>
  <c r="H46" i="5"/>
  <c r="K46" i="5"/>
  <c r="L45" i="5"/>
  <c r="M45" i="5"/>
  <c r="I46" i="5"/>
  <c r="J47" i="5" s="1"/>
  <c r="O45" i="5"/>
  <c r="M46" i="5" l="1"/>
  <c r="I47" i="5"/>
  <c r="J48" i="5" s="1"/>
  <c r="K47" i="5"/>
  <c r="O46" i="5"/>
  <c r="H47" i="5"/>
  <c r="L46" i="5"/>
  <c r="N46" i="5"/>
  <c r="L47" i="5" l="1"/>
  <c r="K48" i="5"/>
  <c r="H48" i="5"/>
  <c r="I48" i="5"/>
  <c r="J49" i="5" s="1"/>
  <c r="O47" i="5"/>
  <c r="M47" i="5"/>
  <c r="N48" i="5"/>
  <c r="N47" i="5"/>
  <c r="H49" i="5" l="1"/>
  <c r="I49" i="5"/>
  <c r="J50" i="5" s="1"/>
  <c r="K49" i="5"/>
  <c r="M48" i="5"/>
  <c r="O48" i="5"/>
  <c r="L48" i="5"/>
  <c r="N49" i="5" l="1"/>
  <c r="L49" i="5"/>
  <c r="M49" i="5"/>
  <c r="K50" i="5"/>
  <c r="I50" i="5"/>
  <c r="J51" i="5" s="1"/>
  <c r="O49" i="5"/>
  <c r="H50" i="5"/>
  <c r="O50" i="5" l="1"/>
  <c r="H51" i="5"/>
  <c r="L50" i="5"/>
  <c r="M50" i="5"/>
  <c r="K51" i="5"/>
  <c r="I51" i="5"/>
  <c r="J52" i="5" s="1"/>
  <c r="N51" i="5"/>
  <c r="N50" i="5"/>
  <c r="N52" i="5" l="1"/>
  <c r="L51" i="5"/>
  <c r="M51" i="5"/>
  <c r="K52" i="5"/>
  <c r="H52" i="5"/>
  <c r="I52" i="5"/>
  <c r="J53" i="5" s="1"/>
  <c r="O51" i="5"/>
  <c r="H53" i="5" l="1"/>
  <c r="I53" i="5"/>
  <c r="J54" i="5" s="1"/>
  <c r="L52" i="5"/>
  <c r="M52" i="5"/>
  <c r="O52" i="5"/>
  <c r="K53" i="5"/>
  <c r="N53" i="5" l="1"/>
  <c r="L53" i="5"/>
  <c r="M53" i="5"/>
  <c r="I54" i="5"/>
  <c r="J55" i="5" s="1"/>
  <c r="K54" i="5"/>
  <c r="O53" i="5"/>
  <c r="H54" i="5"/>
  <c r="L54" i="5" l="1"/>
  <c r="K55" i="5"/>
  <c r="M54" i="5"/>
  <c r="O54" i="5"/>
  <c r="H55" i="5"/>
  <c r="I55" i="5"/>
  <c r="J56" i="5" s="1"/>
  <c r="N55" i="5"/>
  <c r="N54" i="5"/>
  <c r="K56" i="5" l="1"/>
  <c r="I56" i="5"/>
  <c r="J57" i="5" s="1"/>
  <c r="O55" i="5"/>
  <c r="L55" i="5"/>
  <c r="M55" i="5"/>
  <c r="H56" i="5"/>
  <c r="N56" i="5" l="1"/>
  <c r="H57" i="5"/>
  <c r="N57" i="5" s="1"/>
  <c r="I57" i="5"/>
  <c r="J58" i="5" s="1"/>
  <c r="L56" i="5"/>
  <c r="K57" i="5"/>
  <c r="M56" i="5"/>
  <c r="O56" i="5"/>
  <c r="N58" i="5" l="1"/>
  <c r="L57" i="5"/>
  <c r="M57" i="5"/>
  <c r="I58" i="5"/>
  <c r="J59" i="5" s="1"/>
  <c r="O57" i="5"/>
  <c r="H58" i="5"/>
  <c r="K58" i="5"/>
  <c r="L58" i="5" l="1"/>
  <c r="M58" i="5"/>
  <c r="I59" i="5"/>
  <c r="J60" i="5" s="1"/>
  <c r="K59" i="5"/>
  <c r="O58" i="5"/>
  <c r="H59" i="5"/>
  <c r="N59" i="5"/>
  <c r="L59" i="5" l="1"/>
  <c r="K60" i="5"/>
  <c r="H60" i="5"/>
  <c r="I60" i="5"/>
  <c r="J61" i="5" s="1"/>
  <c r="O59" i="5"/>
  <c r="M59" i="5"/>
  <c r="K61" i="5" l="1"/>
  <c r="M60" i="5"/>
  <c r="O60" i="5"/>
  <c r="H61" i="5"/>
  <c r="I61" i="5"/>
  <c r="J62" i="5" s="1"/>
  <c r="L60" i="5"/>
  <c r="N60" i="5"/>
  <c r="M61" i="5" l="1"/>
  <c r="I62" i="5"/>
  <c r="J63" i="5" s="1"/>
  <c r="O61" i="5"/>
  <c r="H62" i="5"/>
  <c r="K62" i="5"/>
  <c r="L61" i="5"/>
  <c r="N61" i="5"/>
  <c r="N62" i="5" l="1"/>
  <c r="H63" i="5"/>
  <c r="L62" i="5"/>
  <c r="I63" i="5"/>
  <c r="J64" i="5" s="1"/>
  <c r="M62" i="5"/>
  <c r="K63" i="5"/>
  <c r="O62" i="5"/>
  <c r="L63" i="5" l="1"/>
  <c r="M63" i="5"/>
  <c r="H64" i="5"/>
  <c r="I64" i="5"/>
  <c r="J65" i="5" s="1"/>
  <c r="O63" i="5"/>
  <c r="K64" i="5"/>
  <c r="N63" i="5"/>
  <c r="I65" i="5" l="1"/>
  <c r="J66" i="5" s="1"/>
  <c r="L64" i="5"/>
  <c r="M64" i="5"/>
  <c r="O64" i="5"/>
  <c r="K65" i="5"/>
  <c r="H65" i="5"/>
  <c r="N64" i="5"/>
  <c r="N65" i="5" l="1"/>
  <c r="L65" i="5"/>
  <c r="M65" i="5"/>
  <c r="I66" i="5"/>
  <c r="K66" i="5"/>
  <c r="O65" i="5"/>
  <c r="H66" i="5"/>
  <c r="O66" i="5" l="1"/>
  <c r="O68" i="5" s="1"/>
  <c r="E14" i="3" s="1"/>
  <c r="E16" i="3" s="1"/>
  <c r="L66" i="5"/>
  <c r="M66" i="5"/>
  <c r="M68" i="5" s="1"/>
  <c r="D14" i="3" s="1"/>
  <c r="D16" i="3" s="1"/>
  <c r="D19" i="3" s="1"/>
  <c r="N66" i="5"/>
  <c r="N68" i="5" s="1"/>
  <c r="D23" i="3" l="1"/>
</calcChain>
</file>

<file path=xl/comments1.xml><?xml version="1.0" encoding="utf-8"?>
<comments xmlns="http://schemas.openxmlformats.org/spreadsheetml/2006/main">
  <authors>
    <author>Andrew Briggs</author>
  </authors>
  <commentList>
    <comment ref="G1" authorId="0" shapeId="0">
      <text>
        <r>
          <rPr>
            <sz val="8"/>
            <color indexed="81"/>
            <rFont val="Tahoma"/>
            <family val="2"/>
          </rPr>
          <t>Taken from "Health Statistics Quarterly 09", published Spring 1999 by the Office of National Statistics (www.statistics.gov.uk)</t>
        </r>
      </text>
    </comment>
  </commentList>
</comments>
</file>

<file path=xl/sharedStrings.xml><?xml version="1.0" encoding="utf-8"?>
<sst xmlns="http://schemas.openxmlformats.org/spreadsheetml/2006/main" count="64" uniqueCount="50">
  <si>
    <t>Diagrammatic representation of the Markov Model</t>
  </si>
  <si>
    <t>States of the model in the represented by the ovals, transitions between states represented by the arrows</t>
  </si>
  <si>
    <r>
      <t xml:space="preserve">State utility variables shown in </t>
    </r>
    <r>
      <rPr>
        <b/>
        <sz val="10"/>
        <color indexed="17"/>
        <rFont val="Arial"/>
      </rPr>
      <t>green</t>
    </r>
  </si>
  <si>
    <r>
      <t xml:space="preserve">See </t>
    </r>
    <r>
      <rPr>
        <b/>
        <i/>
        <sz val="10"/>
        <rFont val="Arial"/>
      </rPr>
      <t>&lt;Parameters&gt;</t>
    </r>
    <r>
      <rPr>
        <sz val="10"/>
        <rFont val="Arial"/>
      </rPr>
      <t xml:space="preserve"> page for definitions</t>
    </r>
  </si>
  <si>
    <r>
      <t xml:space="preserve">All transisition probability variables shown in </t>
    </r>
    <r>
      <rPr>
        <b/>
        <sz val="10"/>
        <color indexed="56"/>
        <rFont val="Arial"/>
        <family val="2"/>
      </rPr>
      <t xml:space="preserve">blue </t>
    </r>
    <r>
      <rPr>
        <b/>
        <sz val="10"/>
        <rFont val="Arial"/>
        <family val="2"/>
      </rPr>
      <t>and</t>
    </r>
    <r>
      <rPr>
        <b/>
        <sz val="10"/>
        <color indexed="56"/>
        <rFont val="Arial"/>
        <family val="2"/>
      </rPr>
      <t xml:space="preserve"> </t>
    </r>
    <r>
      <rPr>
        <b/>
        <sz val="10"/>
        <color rgb="FFFF0000"/>
        <rFont val="Arial"/>
        <family val="2"/>
      </rPr>
      <t>red</t>
    </r>
  </si>
  <si>
    <r>
      <t xml:space="preserve">State cost variables shown in </t>
    </r>
    <r>
      <rPr>
        <sz val="11"/>
        <color theme="5"/>
        <rFont val="Calibri"/>
        <family val="2"/>
        <scheme val="minor"/>
      </rPr>
      <t>orange</t>
    </r>
  </si>
  <si>
    <t>per QALY</t>
  </si>
  <si>
    <t>NP1vStd</t>
  </si>
  <si>
    <t>WTP</t>
  </si>
  <si>
    <t>INMB:</t>
  </si>
  <si>
    <t>ICERs:</t>
  </si>
  <si>
    <t>difference</t>
  </si>
  <si>
    <t>NP1</t>
  </si>
  <si>
    <t>Standard</t>
  </si>
  <si>
    <t>QALYs</t>
  </si>
  <si>
    <t>Cost</t>
  </si>
  <si>
    <t>Prosthesis</t>
  </si>
  <si>
    <t>Results</t>
  </si>
  <si>
    <t>(enter value between 40 and 90 years)</t>
  </si>
  <si>
    <t>Patient age</t>
  </si>
  <si>
    <t>Step 2: Enter age of patient</t>
  </si>
  <si>
    <t>Step 1: Choose male or female</t>
  </si>
  <si>
    <t>Cost-effectiveness of Total Hip Replacement</t>
  </si>
  <si>
    <t>85 and over</t>
  </si>
  <si>
    <t>75-84</t>
  </si>
  <si>
    <t>65-74</t>
  </si>
  <si>
    <t>55-64</t>
  </si>
  <si>
    <t>45-54</t>
  </si>
  <si>
    <t>35-44</t>
  </si>
  <si>
    <t>Females</t>
  </si>
  <si>
    <t>Males</t>
  </si>
  <si>
    <t>Index</t>
  </si>
  <si>
    <t>Age</t>
  </si>
  <si>
    <t>Yearly transition probabilities by age and sex</t>
  </si>
  <si>
    <t>Death Rates (per 1000 population per year) by age and sex</t>
  </si>
  <si>
    <t>STDqalys</t>
  </si>
  <si>
    <t>STDlys</t>
  </si>
  <si>
    <t>STDcost</t>
  </si>
  <si>
    <t>Life-years</t>
  </si>
  <si>
    <t>Check</t>
  </si>
  <si>
    <t>Death</t>
  </si>
  <si>
    <t>SuccessR</t>
  </si>
  <si>
    <t>RevisionTHR</t>
  </si>
  <si>
    <t>SuccessP</t>
  </si>
  <si>
    <t>PrimaryTHR</t>
  </si>
  <si>
    <t>Death risk</t>
  </si>
  <si>
    <t>Revision risk</t>
  </si>
  <si>
    <t>Cycle</t>
  </si>
  <si>
    <t>Usual Care</t>
  </si>
  <si>
    <t>Model for Usual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</si>
</sst>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6" formatCode="_-&quot;£&quot;* #,##0.00_-;\-&quot;£&quot;* #,##0.00_-;_-&quot;£&quot;* &quot;-&quot;??_-;_-@_-"/>
    <numFmt numFmtId="167" formatCode="_-* #,##0.00_-;\-* #,##0.00_-;_-* &quot;-&quot;??_-;_-@_-"/>
    <numFmt numFmtId="169" formatCode="0.000"/>
    <numFmt numFmtId="171" formatCode="0.00000"/>
    <numFmt numFmtId="172" formatCode="0.0000"/>
    <numFmt numFmtId="173" formatCode="_-* #,##0_-;\-* #,##0_-;_-* &quot;-&quot;??_-;_-@_-"/>
    <numFmt numFmtId="174" formatCode="_-&quot;£&quot;* #,##0_-;\-&quot;£&quot;* #,##0_-;_-&quot;£&quot;* &quot;-&quot;??_-;_-@_-"/>
    <numFmt numFmtId="175" formatCode="_-* #,##0.0000_-;\-* #,##0.0000_-;_-* &quot;-&quot;??_-;_-@_-"/>
  </numFmts>
  <fonts count="19" x14ac:knownFonts="1">
    <font>
      <sz val="11"/>
      <color theme="1"/>
      <name val="Calibri"/>
      <family val="2"/>
      <scheme val="minor"/>
    </font>
    <font>
      <sz val="10"/>
      <name val="Arial"/>
    </font>
    <font>
      <b/>
      <i/>
      <sz val="10"/>
      <name val="Arial"/>
    </font>
    <font>
      <b/>
      <sz val="12"/>
      <color indexed="18"/>
      <name val="Arial"/>
      <family val="2"/>
    </font>
    <font>
      <i/>
      <sz val="10"/>
      <color indexed="18"/>
      <name val="Arial"/>
    </font>
    <font>
      <b/>
      <sz val="10"/>
      <color indexed="17"/>
      <name val="Arial"/>
    </font>
    <font>
      <b/>
      <sz val="12"/>
      <color indexed="32"/>
      <name val="Arial"/>
      <family val="2"/>
    </font>
    <font>
      <b/>
      <sz val="10"/>
      <color indexed="56"/>
      <name val="Arial"/>
      <family val="2"/>
    </font>
    <font>
      <b/>
      <sz val="10"/>
      <name val="Arial"/>
      <family val="2"/>
    </font>
    <font>
      <b/>
      <sz val="12"/>
      <name val="Arial"/>
      <family val="2"/>
    </font>
    <font>
      <b/>
      <sz val="10"/>
      <color indexed="9"/>
      <name val="Arial"/>
      <family val="2"/>
    </font>
    <font>
      <sz val="10"/>
      <name val="Arial"/>
      <family val="2"/>
    </font>
    <font>
      <sz val="8"/>
      <name val="Tahoma"/>
      <family val="2"/>
    </font>
    <font>
      <sz val="8"/>
      <name val="Arial"/>
      <family val="2"/>
    </font>
    <font>
      <i/>
      <sz val="8"/>
      <name val="Arial"/>
      <family val="2"/>
    </font>
    <font>
      <sz val="8"/>
      <color indexed="81"/>
      <name val="Tahoma"/>
      <family val="2"/>
    </font>
    <font>
      <b/>
      <sz val="10"/>
      <color rgb="FFFF0000"/>
      <name val="Arial"/>
      <family val="2"/>
    </font>
    <font>
      <sz val="11"/>
      <color theme="5"/>
      <name val="Calibri"/>
      <family val="2"/>
      <scheme val="minor"/>
    </font>
    <font>
      <sz val="10"/>
      <color indexed="9"/>
      <name val="Arial"/>
      <family val="2"/>
    </font>
  </fonts>
  <fills count="10">
    <fill>
      <patternFill patternType="none"/>
    </fill>
    <fill>
      <patternFill patternType="gray125"/>
    </fill>
    <fill>
      <patternFill patternType="solid">
        <fgColor indexed="45"/>
        <bgColor indexed="64"/>
      </patternFill>
    </fill>
    <fill>
      <patternFill patternType="solid">
        <fgColor indexed="17"/>
        <bgColor indexed="64"/>
      </patternFill>
    </fill>
    <fill>
      <patternFill patternType="solid">
        <fgColor indexed="42"/>
        <bgColor indexed="64"/>
      </patternFill>
    </fill>
    <fill>
      <patternFill patternType="solid">
        <fgColor indexed="9"/>
        <bgColor indexed="64"/>
      </patternFill>
    </fill>
    <fill>
      <patternFill patternType="solid">
        <fgColor indexed="16"/>
        <bgColor indexed="64"/>
      </patternFill>
    </fill>
    <fill>
      <patternFill patternType="solid">
        <fgColor indexed="18"/>
        <bgColor indexed="64"/>
      </patternFill>
    </fill>
    <fill>
      <patternFill patternType="solid">
        <fgColor indexed="44"/>
        <bgColor indexed="64"/>
      </patternFill>
    </fill>
    <fill>
      <patternFill patternType="solid">
        <fgColor indexed="43"/>
        <bgColor indexed="64"/>
      </patternFill>
    </fill>
  </fills>
  <borders count="4">
    <border>
      <left/>
      <right/>
      <top/>
      <bottom/>
      <diagonal/>
    </border>
    <border>
      <left/>
      <right/>
      <top/>
      <bottom style="thin">
        <color indexed="64"/>
      </bottom>
      <diagonal/>
    </border>
    <border>
      <left style="thin">
        <color indexed="17"/>
      </left>
      <right style="thin">
        <color indexed="17"/>
      </right>
      <top style="thin">
        <color indexed="17"/>
      </top>
      <bottom style="thin">
        <color indexed="17"/>
      </bottom>
      <diagonal/>
    </border>
    <border>
      <left style="thin">
        <color indexed="22"/>
      </left>
      <right style="thin">
        <color indexed="22"/>
      </right>
      <top style="thin">
        <color indexed="22"/>
      </top>
      <bottom style="thin">
        <color indexed="22"/>
      </bottom>
      <diagonal/>
    </border>
  </borders>
  <cellStyleXfs count="10">
    <xf numFmtId="0" fontId="0" fillId="0" borderId="0"/>
    <xf numFmtId="0" fontId="1" fillId="0" borderId="0"/>
    <xf numFmtId="167" fontId="1" fillId="0" borderId="0" applyFont="0" applyFill="0" applyBorder="0" applyAlignment="0" applyProtection="0"/>
    <xf numFmtId="166" fontId="1" fillId="0" borderId="0" applyFont="0" applyFill="0" applyBorder="0" applyAlignment="0" applyProtection="0"/>
    <xf numFmtId="2" fontId="1" fillId="0" borderId="0" applyFont="0" applyFill="0" applyBorder="0" applyAlignment="0" applyProtection="0"/>
    <xf numFmtId="9" fontId="1" fillId="0" borderId="0" applyFont="0" applyFill="0" applyBorder="0" applyAlignment="0" applyProtection="0"/>
    <xf numFmtId="0" fontId="11" fillId="0" borderId="0"/>
    <xf numFmtId="166" fontId="11" fillId="0" borderId="0" applyFont="0" applyFill="0" applyBorder="0" applyAlignment="0" applyProtection="0"/>
    <xf numFmtId="9" fontId="11" fillId="0" borderId="0" applyFont="0" applyFill="0" applyBorder="0" applyAlignment="0" applyProtection="0"/>
    <xf numFmtId="167" fontId="11" fillId="0" borderId="0" applyFont="0" applyFill="0" applyBorder="0" applyAlignment="0" applyProtection="0"/>
  </cellStyleXfs>
  <cellXfs count="54">
    <xf numFmtId="0" fontId="0" fillId="0" borderId="0" xfId="0"/>
    <xf numFmtId="0" fontId="3" fillId="0" borderId="0" xfId="1" applyFont="1"/>
    <xf numFmtId="0" fontId="4" fillId="0" borderId="0" xfId="1" applyFont="1"/>
    <xf numFmtId="0" fontId="1" fillId="0" borderId="0" xfId="0" applyFont="1"/>
    <xf numFmtId="0" fontId="11" fillId="0" borderId="0" xfId="6"/>
    <xf numFmtId="0" fontId="11" fillId="8" borderId="0" xfId="6" applyFill="1" applyBorder="1"/>
    <xf numFmtId="174" fontId="0" fillId="8" borderId="0" xfId="7" applyNumberFormat="1" applyFont="1" applyFill="1" applyBorder="1"/>
    <xf numFmtId="0" fontId="11" fillId="8" borderId="0" xfId="6" applyFill="1" applyBorder="1" applyAlignment="1">
      <alignment horizontal="right"/>
    </xf>
    <xf numFmtId="174" fontId="0" fillId="9" borderId="3" xfId="7" applyNumberFormat="1" applyFont="1" applyFill="1" applyBorder="1" applyAlignment="1">
      <alignment horizontal="right"/>
    </xf>
    <xf numFmtId="2" fontId="11" fillId="8" borderId="0" xfId="6" applyNumberFormat="1" applyFill="1" applyBorder="1" applyAlignment="1">
      <alignment horizontal="right"/>
    </xf>
    <xf numFmtId="174" fontId="0" fillId="8" borderId="0" xfId="7" applyNumberFormat="1" applyFont="1" applyFill="1" applyBorder="1" applyAlignment="1">
      <alignment horizontal="right"/>
    </xf>
    <xf numFmtId="2" fontId="11" fillId="8" borderId="0" xfId="6" applyNumberFormat="1" applyFill="1" applyBorder="1"/>
    <xf numFmtId="2" fontId="11" fillId="9" borderId="3" xfId="6" applyNumberFormat="1" applyFill="1" applyBorder="1" applyAlignment="1">
      <alignment horizontal="right"/>
    </xf>
    <xf numFmtId="0" fontId="11" fillId="7" borderId="0" xfId="6" applyFill="1" applyBorder="1"/>
    <xf numFmtId="0" fontId="10" fillId="7" borderId="0" xfId="6" applyFont="1" applyFill="1" applyBorder="1"/>
    <xf numFmtId="0" fontId="11" fillId="4" borderId="0" xfId="6" applyFill="1" applyBorder="1"/>
    <xf numFmtId="0" fontId="11" fillId="2" borderId="0" xfId="6" applyFill="1" applyBorder="1"/>
    <xf numFmtId="0" fontId="14" fillId="4" borderId="0" xfId="6" applyFont="1" applyFill="1" applyBorder="1"/>
    <xf numFmtId="0" fontId="13" fillId="4" borderId="0" xfId="6" applyFont="1" applyFill="1" applyBorder="1"/>
    <xf numFmtId="0" fontId="11" fillId="5" borderId="2" xfId="6" applyFill="1" applyBorder="1"/>
    <xf numFmtId="0" fontId="11" fillId="3" borderId="0" xfId="6" applyFill="1" applyBorder="1"/>
    <xf numFmtId="0" fontId="10" fillId="3" borderId="0" xfId="6" applyFont="1" applyFill="1" applyBorder="1"/>
    <xf numFmtId="0" fontId="10" fillId="6" borderId="0" xfId="6" applyFont="1" applyFill="1" applyBorder="1"/>
    <xf numFmtId="0" fontId="9" fillId="0" borderId="0" xfId="6" applyFont="1"/>
    <xf numFmtId="172" fontId="11" fillId="0" borderId="0" xfId="6" applyNumberFormat="1"/>
    <xf numFmtId="0" fontId="11" fillId="0" borderId="0" xfId="6" applyAlignment="1">
      <alignment horizontal="right"/>
    </xf>
    <xf numFmtId="0" fontId="8" fillId="0" borderId="0" xfId="6" applyFont="1"/>
    <xf numFmtId="171" fontId="11" fillId="0" borderId="0" xfId="6" applyNumberFormat="1"/>
    <xf numFmtId="169" fontId="11" fillId="0" borderId="0" xfId="6" applyNumberFormat="1"/>
    <xf numFmtId="0" fontId="8" fillId="0" borderId="0" xfId="6" applyFont="1" applyAlignment="1">
      <alignment horizontal="left"/>
    </xf>
    <xf numFmtId="0" fontId="11" fillId="0" borderId="0" xfId="6" applyFill="1"/>
    <xf numFmtId="0" fontId="18" fillId="0" borderId="0" xfId="6" applyFont="1" applyFill="1" applyBorder="1"/>
    <xf numFmtId="0" fontId="8" fillId="0" borderId="0" xfId="6" applyFont="1" applyAlignment="1">
      <alignment horizontal="right"/>
    </xf>
    <xf numFmtId="0" fontId="8" fillId="0" borderId="0" xfId="6" applyFont="1" applyAlignment="1">
      <alignment horizontal="center"/>
    </xf>
    <xf numFmtId="0" fontId="8" fillId="0" borderId="0" xfId="6" quotePrefix="1" applyFont="1" applyAlignment="1">
      <alignment horizontal="center"/>
    </xf>
    <xf numFmtId="10" fontId="0" fillId="0" borderId="0" xfId="8" applyNumberFormat="1" applyFont="1"/>
    <xf numFmtId="173" fontId="11" fillId="0" borderId="0" xfId="6" applyNumberFormat="1"/>
    <xf numFmtId="167" fontId="11" fillId="9" borderId="3" xfId="6" applyNumberFormat="1" applyFill="1" applyBorder="1" applyAlignment="1">
      <alignment horizontal="right"/>
    </xf>
    <xf numFmtId="174" fontId="11" fillId="9" borderId="3" xfId="6" applyNumberFormat="1" applyFill="1" applyBorder="1" applyAlignment="1">
      <alignment horizontal="right"/>
    </xf>
    <xf numFmtId="1" fontId="11" fillId="9" borderId="3" xfId="6" applyNumberFormat="1" applyFill="1" applyBorder="1"/>
    <xf numFmtId="173" fontId="11" fillId="9" borderId="3" xfId="6" applyNumberFormat="1" applyFill="1" applyBorder="1"/>
    <xf numFmtId="174" fontId="0" fillId="9" borderId="3" xfId="7" applyNumberFormat="1" applyFont="1" applyFill="1" applyBorder="1"/>
    <xf numFmtId="173" fontId="0" fillId="9" borderId="3" xfId="9" applyNumberFormat="1" applyFont="1" applyFill="1" applyBorder="1"/>
    <xf numFmtId="173" fontId="0" fillId="0" borderId="0" xfId="9" applyNumberFormat="1" applyFont="1"/>
    <xf numFmtId="10" fontId="0" fillId="9" borderId="3" xfId="8" applyNumberFormat="1" applyFont="1" applyFill="1" applyBorder="1"/>
    <xf numFmtId="175" fontId="0" fillId="0" borderId="0" xfId="9" applyNumberFormat="1" applyFont="1"/>
    <xf numFmtId="1" fontId="11" fillId="0" borderId="0" xfId="6" applyNumberFormat="1"/>
    <xf numFmtId="10" fontId="11" fillId="0" borderId="0" xfId="6" applyNumberFormat="1"/>
    <xf numFmtId="10" fontId="8" fillId="0" borderId="0" xfId="8" applyNumberFormat="1" applyFont="1"/>
    <xf numFmtId="10" fontId="8" fillId="0" borderId="0" xfId="8" applyNumberFormat="1" applyFont="1" applyAlignment="1">
      <alignment horizontal="center"/>
    </xf>
    <xf numFmtId="0" fontId="11" fillId="0" borderId="1" xfId="6" applyBorder="1" applyAlignment="1">
      <alignment horizontal="centerContinuous"/>
    </xf>
    <xf numFmtId="0" fontId="8" fillId="0" borderId="1" xfId="6" applyFont="1" applyBorder="1" applyAlignment="1">
      <alignment horizontal="centerContinuous"/>
    </xf>
    <xf numFmtId="10" fontId="0" fillId="0" borderId="0" xfId="8" applyNumberFormat="1" applyFont="1" applyBorder="1"/>
    <xf numFmtId="0" fontId="6" fillId="0" borderId="0" xfId="6" applyFont="1"/>
  </cellXfs>
  <cellStyles count="10">
    <cellStyle name="Comma 2" xfId="2"/>
    <cellStyle name="Comma 3" xfId="9"/>
    <cellStyle name="Currency 2" xfId="3"/>
    <cellStyle name="Currency 3" xfId="7"/>
    <cellStyle name="Fixed" xfId="4"/>
    <cellStyle name="Normal" xfId="0" builtinId="0"/>
    <cellStyle name="Normal 2" xfId="1"/>
    <cellStyle name="Normal 3" xfId="6"/>
    <cellStyle name="Percent 2" xfId="5"/>
    <cellStyle name="Percent 3"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1]Parameters!$B$3" lockText="1" noThreeD="1"/>
</file>

<file path=xl/ctrlProps/ctrlProp3.xml><?xml version="1.0" encoding="utf-8"?>
<formControlPr xmlns="http://schemas.microsoft.com/office/spreadsheetml/2009/9/main" objectType="Radio" checked="Checked" lockText="1" noThreeD="1"/>
</file>

<file path=xl/drawings/drawing1.xml><?xml version="1.0" encoding="utf-8"?>
<xdr:wsDr xmlns:xdr="http://schemas.openxmlformats.org/drawingml/2006/spreadsheetDrawing" xmlns:a="http://schemas.openxmlformats.org/drawingml/2006/main">
  <xdr:twoCellAnchor>
    <xdr:from>
      <xdr:col>0</xdr:col>
      <xdr:colOff>47625</xdr:colOff>
      <xdr:row>3</xdr:row>
      <xdr:rowOff>114298</xdr:rowOff>
    </xdr:from>
    <xdr:to>
      <xdr:col>13</xdr:col>
      <xdr:colOff>467501</xdr:colOff>
      <xdr:row>22</xdr:row>
      <xdr:rowOff>112934</xdr:rowOff>
    </xdr:to>
    <xdr:grpSp>
      <xdr:nvGrpSpPr>
        <xdr:cNvPr id="70" name="Group 69"/>
        <xdr:cNvGrpSpPr/>
      </xdr:nvGrpSpPr>
      <xdr:grpSpPr>
        <a:xfrm>
          <a:off x="47625" y="695323"/>
          <a:ext cx="8344676" cy="3618136"/>
          <a:chOff x="845975" y="386145"/>
          <a:chExt cx="10447402" cy="5564642"/>
        </a:xfrm>
      </xdr:grpSpPr>
      <xdr:sp macro="" textlink="">
        <xdr:nvSpPr>
          <xdr:cNvPr id="71" name="Oval 70"/>
          <xdr:cNvSpPr/>
        </xdr:nvSpPr>
        <xdr:spPr>
          <a:xfrm>
            <a:off x="7237702" y="4715112"/>
            <a:ext cx="2051222" cy="1235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solidFill>
                  <a:schemeClr val="tx1"/>
                </a:solidFill>
              </a:rPr>
              <a:t>Asthma-Related mortality </a:t>
            </a:r>
          </a:p>
        </xdr:txBody>
      </xdr:sp>
      <xdr:sp macro="" textlink="">
        <xdr:nvSpPr>
          <xdr:cNvPr id="72" name="Oval 71"/>
          <xdr:cNvSpPr/>
        </xdr:nvSpPr>
        <xdr:spPr>
          <a:xfrm>
            <a:off x="4470052" y="4715112"/>
            <a:ext cx="2051222" cy="1235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solidFill>
                  <a:schemeClr val="tx1"/>
                </a:solidFill>
              </a:rPr>
              <a:t>Other-Cause mortality </a:t>
            </a:r>
          </a:p>
        </xdr:txBody>
      </xdr:sp>
      <xdr:grpSp>
        <xdr:nvGrpSpPr>
          <xdr:cNvPr id="73" name="Group 72"/>
          <xdr:cNvGrpSpPr/>
        </xdr:nvGrpSpPr>
        <xdr:grpSpPr>
          <a:xfrm rot="10800000">
            <a:off x="1480037" y="2758351"/>
            <a:ext cx="800794" cy="575169"/>
            <a:chOff x="5468432" y="5743907"/>
            <a:chExt cx="800794" cy="738966"/>
          </a:xfrm>
        </xdr:grpSpPr>
        <xdr:sp macro="" textlink="">
          <xdr:nvSpPr>
            <xdr:cNvPr id="109" name="Oval 108"/>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10" name="Straight Arrow Connector 109"/>
            <xdr:cNvCxnSpPr/>
          </xdr:nvCxnSpPr>
          <xdr:spPr>
            <a:xfrm rot="10800000" flipH="1">
              <a:off x="5577688" y="5764171"/>
              <a:ext cx="74645" cy="1026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1" name="Rectangle 110"/>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74" name="Oval 73"/>
          <xdr:cNvSpPr/>
        </xdr:nvSpPr>
        <xdr:spPr>
          <a:xfrm>
            <a:off x="845975" y="3290620"/>
            <a:ext cx="2051222" cy="1235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solidFill>
                  <a:schemeClr val="tx1"/>
                </a:solidFill>
              </a:rPr>
              <a:t>Non Exacerbation State</a:t>
            </a:r>
          </a:p>
        </xdr:txBody>
      </xdr:sp>
      <xdr:cxnSp macro="">
        <xdr:nvCxnSpPr>
          <xdr:cNvPr id="75" name="Straight Arrow Connector 74"/>
          <xdr:cNvCxnSpPr>
            <a:stCxn id="74" idx="7"/>
            <a:endCxn id="83" idx="3"/>
          </xdr:cNvCxnSpPr>
        </xdr:nvCxnSpPr>
        <xdr:spPr>
          <a:xfrm flipV="1">
            <a:off x="2596802" y="1680132"/>
            <a:ext cx="785601" cy="17914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6" name="Straight Arrow Connector 75"/>
          <xdr:cNvCxnSpPr>
            <a:stCxn id="74" idx="7"/>
            <a:endCxn id="84" idx="3"/>
          </xdr:cNvCxnSpPr>
        </xdr:nvCxnSpPr>
        <xdr:spPr>
          <a:xfrm flipV="1">
            <a:off x="2596802" y="1680132"/>
            <a:ext cx="3835457" cy="17914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7" name="Straight Arrow Connector 76"/>
          <xdr:cNvCxnSpPr>
            <a:stCxn id="74" idx="7"/>
            <a:endCxn id="85" idx="3"/>
          </xdr:cNvCxnSpPr>
        </xdr:nvCxnSpPr>
        <xdr:spPr>
          <a:xfrm flipV="1">
            <a:off x="2596802" y="1687395"/>
            <a:ext cx="6985667" cy="1784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8" name="Straight Arrow Connector 77"/>
          <xdr:cNvCxnSpPr>
            <a:stCxn id="83" idx="4"/>
            <a:endCxn id="72" idx="0"/>
          </xdr:cNvCxnSpPr>
        </xdr:nvCxnSpPr>
        <xdr:spPr>
          <a:xfrm>
            <a:off x="4046232" y="1840320"/>
            <a:ext cx="1449432" cy="28747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9" name="Straight Arrow Connector 78"/>
          <xdr:cNvCxnSpPr>
            <a:stCxn id="84" idx="4"/>
            <a:endCxn id="72" idx="0"/>
          </xdr:cNvCxnSpPr>
        </xdr:nvCxnSpPr>
        <xdr:spPr>
          <a:xfrm flipH="1">
            <a:off x="5495664" y="1840320"/>
            <a:ext cx="1617903" cy="28747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0" name="Straight Arrow Connector 79"/>
          <xdr:cNvCxnSpPr>
            <a:stCxn id="85" idx="4"/>
            <a:endCxn id="72" idx="0"/>
          </xdr:cNvCxnSpPr>
        </xdr:nvCxnSpPr>
        <xdr:spPr>
          <a:xfrm flipH="1">
            <a:off x="5495664" y="1841855"/>
            <a:ext cx="4795487" cy="28732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 name="Straight Arrow Connector 80"/>
          <xdr:cNvCxnSpPr>
            <a:stCxn id="85" idx="4"/>
            <a:endCxn id="71" idx="0"/>
          </xdr:cNvCxnSpPr>
        </xdr:nvCxnSpPr>
        <xdr:spPr>
          <a:xfrm flipH="1">
            <a:off x="8263314" y="1841855"/>
            <a:ext cx="2027837" cy="28732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2" name="Straight Arrow Connector 81"/>
          <xdr:cNvCxnSpPr>
            <a:stCxn id="74" idx="5"/>
            <a:endCxn id="72" idx="0"/>
          </xdr:cNvCxnSpPr>
        </xdr:nvCxnSpPr>
        <xdr:spPr>
          <a:xfrm>
            <a:off x="2596802" y="4345334"/>
            <a:ext cx="2898862" cy="3697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3" name="Oval 82"/>
          <xdr:cNvSpPr/>
        </xdr:nvSpPr>
        <xdr:spPr>
          <a:xfrm>
            <a:off x="3107437" y="746497"/>
            <a:ext cx="1877589" cy="1093823"/>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solidFill>
                  <a:schemeClr val="tx1"/>
                </a:solidFill>
              </a:rPr>
              <a:t>Oral Steroid Burst Exacerbation</a:t>
            </a:r>
          </a:p>
        </xdr:txBody>
      </xdr:sp>
      <xdr:sp macro="" textlink="">
        <xdr:nvSpPr>
          <xdr:cNvPr id="84" name="Oval 83"/>
          <xdr:cNvSpPr/>
        </xdr:nvSpPr>
        <xdr:spPr>
          <a:xfrm>
            <a:off x="6150054" y="746497"/>
            <a:ext cx="1927025" cy="1093823"/>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solidFill>
                  <a:schemeClr val="tx1"/>
                </a:solidFill>
              </a:rPr>
              <a:t>Emergency Room Exacerbation</a:t>
            </a:r>
          </a:p>
        </xdr:txBody>
      </xdr:sp>
      <xdr:sp macro="" textlink="">
        <xdr:nvSpPr>
          <xdr:cNvPr id="85" name="Oval 84"/>
          <xdr:cNvSpPr/>
        </xdr:nvSpPr>
        <xdr:spPr>
          <a:xfrm>
            <a:off x="9288924" y="787140"/>
            <a:ext cx="2004453" cy="105471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300">
                <a:solidFill>
                  <a:schemeClr val="tx1"/>
                </a:solidFill>
              </a:rPr>
              <a:t>Hospitalization Exacerbation</a:t>
            </a:r>
          </a:p>
        </xdr:txBody>
      </xdr:sp>
      <xdr:cxnSp macro="">
        <xdr:nvCxnSpPr>
          <xdr:cNvPr id="86" name="Straight Arrow Connector 85"/>
          <xdr:cNvCxnSpPr>
            <a:stCxn id="83" idx="3"/>
            <a:endCxn id="74" idx="7"/>
          </xdr:cNvCxnSpPr>
        </xdr:nvCxnSpPr>
        <xdr:spPr>
          <a:xfrm flipH="1">
            <a:off x="2596802" y="1680132"/>
            <a:ext cx="785601" cy="179144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84" idx="3"/>
            <a:endCxn id="74" idx="7"/>
          </xdr:cNvCxnSpPr>
        </xdr:nvCxnSpPr>
        <xdr:spPr>
          <a:xfrm flipH="1">
            <a:off x="2596802" y="1680132"/>
            <a:ext cx="3835457" cy="179144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8" name="Straight Arrow Connector 87"/>
          <xdr:cNvCxnSpPr>
            <a:stCxn id="85" idx="3"/>
            <a:endCxn id="74" idx="7"/>
          </xdr:cNvCxnSpPr>
        </xdr:nvCxnSpPr>
        <xdr:spPr>
          <a:xfrm flipH="1">
            <a:off x="2596802" y="1687395"/>
            <a:ext cx="6985667" cy="178418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 name="Text 42"/>
          <xdr:cNvSpPr txBox="1">
            <a:spLocks noChangeArrowheads="1"/>
          </xdr:cNvSpPr>
        </xdr:nvSpPr>
        <xdr:spPr bwMode="auto">
          <a:xfrm>
            <a:off x="3614938" y="4584104"/>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b="0" i="0" u="none" strike="noStrike" baseline="0">
                <a:solidFill>
                  <a:srgbClr val="3333CC"/>
                </a:solidFill>
                <a:latin typeface="Arial"/>
                <a:cs typeface="Arial"/>
              </a:rPr>
              <a:t>mr[age]</a:t>
            </a:r>
          </a:p>
        </xdr:txBody>
      </xdr:sp>
      <xdr:sp macro="" textlink="">
        <xdr:nvSpPr>
          <xdr:cNvPr id="90" name="Text 42"/>
          <xdr:cNvSpPr txBox="1">
            <a:spLocks noChangeArrowheads="1"/>
          </xdr:cNvSpPr>
        </xdr:nvSpPr>
        <xdr:spPr bwMode="auto">
          <a:xfrm>
            <a:off x="9093366" y="3631916"/>
            <a:ext cx="437603" cy="14585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amr</a:t>
            </a:r>
            <a:r>
              <a:rPr lang="en-US" sz="600" b="0" i="0" u="none" strike="noStrike" baseline="0">
                <a:solidFill>
                  <a:srgbClr val="3333CC"/>
                </a:solidFill>
                <a:latin typeface="Arial"/>
                <a:cs typeface="Arial"/>
              </a:rPr>
              <a:t>Hosp</a:t>
            </a:r>
          </a:p>
        </xdr:txBody>
      </xdr:sp>
      <xdr:sp macro="" textlink="">
        <xdr:nvSpPr>
          <xdr:cNvPr id="91" name="Text 42"/>
          <xdr:cNvSpPr txBox="1">
            <a:spLocks noChangeArrowheads="1"/>
          </xdr:cNvSpPr>
        </xdr:nvSpPr>
        <xdr:spPr bwMode="auto">
          <a:xfrm>
            <a:off x="2670431" y="1820532"/>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rrOSEX</a:t>
            </a:r>
            <a:endParaRPr lang="en-US" sz="600" b="0" i="0" u="none" strike="noStrike" baseline="0">
              <a:solidFill>
                <a:srgbClr val="3333CC"/>
              </a:solidFill>
              <a:latin typeface="Arial"/>
              <a:cs typeface="Arial"/>
            </a:endParaRPr>
          </a:p>
        </xdr:txBody>
      </xdr:sp>
      <xdr:sp macro="" textlink="">
        <xdr:nvSpPr>
          <xdr:cNvPr id="92" name="Text 42"/>
          <xdr:cNvSpPr txBox="1">
            <a:spLocks noChangeArrowheads="1"/>
          </xdr:cNvSpPr>
        </xdr:nvSpPr>
        <xdr:spPr bwMode="auto">
          <a:xfrm>
            <a:off x="5666015" y="2084249"/>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rrEREX</a:t>
            </a:r>
            <a:endParaRPr lang="en-US" sz="600" b="0" i="0" u="none" strike="noStrike" baseline="0">
              <a:solidFill>
                <a:srgbClr val="3333CC"/>
              </a:solidFill>
              <a:latin typeface="Arial"/>
              <a:cs typeface="Arial"/>
            </a:endParaRPr>
          </a:p>
        </xdr:txBody>
      </xdr:sp>
      <xdr:sp macro="" textlink="">
        <xdr:nvSpPr>
          <xdr:cNvPr id="93" name="Text 42"/>
          <xdr:cNvSpPr txBox="1">
            <a:spLocks noChangeArrowheads="1"/>
          </xdr:cNvSpPr>
        </xdr:nvSpPr>
        <xdr:spPr bwMode="auto">
          <a:xfrm>
            <a:off x="8347774" y="1680133"/>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rrHOEX</a:t>
            </a:r>
            <a:endParaRPr lang="en-US" sz="600" b="0" i="0" u="none" strike="noStrike" baseline="0">
              <a:solidFill>
                <a:srgbClr val="3333CC"/>
              </a:solidFill>
              <a:latin typeface="Arial"/>
              <a:cs typeface="Arial"/>
            </a:endParaRPr>
          </a:p>
        </xdr:txBody>
      </xdr:sp>
      <xdr:sp macro="" textlink="">
        <xdr:nvSpPr>
          <xdr:cNvPr id="94" name="Text 42"/>
          <xdr:cNvSpPr txBox="1">
            <a:spLocks noChangeArrowheads="1"/>
          </xdr:cNvSpPr>
        </xdr:nvSpPr>
        <xdr:spPr bwMode="auto">
          <a:xfrm>
            <a:off x="3133869" y="2278382"/>
            <a:ext cx="1116765" cy="87618"/>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FF0000"/>
                </a:solidFill>
                <a:latin typeface="Arial"/>
                <a:cs typeface="Arial"/>
              </a:rPr>
              <a:t>1-omrOSEX</a:t>
            </a:r>
            <a:endParaRPr lang="en-US" sz="600" b="0" i="0" u="none" strike="noStrike" baseline="0">
              <a:solidFill>
                <a:srgbClr val="FF0000"/>
              </a:solidFill>
              <a:latin typeface="Arial"/>
              <a:cs typeface="Arial"/>
            </a:endParaRPr>
          </a:p>
        </xdr:txBody>
      </xdr:sp>
      <xdr:sp macro="" textlink="">
        <xdr:nvSpPr>
          <xdr:cNvPr id="95" name="Text 42"/>
          <xdr:cNvSpPr txBox="1">
            <a:spLocks noChangeArrowheads="1"/>
          </xdr:cNvSpPr>
        </xdr:nvSpPr>
        <xdr:spPr bwMode="auto">
          <a:xfrm>
            <a:off x="7598372" y="2226522"/>
            <a:ext cx="1329882" cy="18642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FF0000"/>
                </a:solidFill>
                <a:latin typeface="Arial"/>
                <a:cs typeface="Arial"/>
              </a:rPr>
              <a:t>1-(omrHosp+amrHosp)</a:t>
            </a:r>
            <a:endParaRPr lang="en-US" sz="600" b="0" i="0" u="none" strike="noStrike" baseline="0">
              <a:solidFill>
                <a:srgbClr val="FF0000"/>
              </a:solidFill>
              <a:latin typeface="Arial"/>
              <a:cs typeface="Arial"/>
            </a:endParaRPr>
          </a:p>
        </xdr:txBody>
      </xdr:sp>
      <xdr:sp macro="" textlink="">
        <xdr:nvSpPr>
          <xdr:cNvPr id="96" name="Text 42"/>
          <xdr:cNvSpPr txBox="1">
            <a:spLocks noChangeArrowheads="1"/>
          </xdr:cNvSpPr>
        </xdr:nvSpPr>
        <xdr:spPr bwMode="auto">
          <a:xfrm>
            <a:off x="5579706" y="3290620"/>
            <a:ext cx="579785" cy="115053"/>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omrEREX</a:t>
            </a:r>
            <a:endParaRPr lang="en-US" sz="600" b="0" i="0" u="none" strike="noStrike" baseline="0">
              <a:solidFill>
                <a:srgbClr val="3333CC"/>
              </a:solidFill>
              <a:latin typeface="Arial"/>
              <a:cs typeface="Arial"/>
            </a:endParaRPr>
          </a:p>
        </xdr:txBody>
      </xdr:sp>
      <xdr:sp macro="" textlink="">
        <xdr:nvSpPr>
          <xdr:cNvPr id="97" name="Text 42"/>
          <xdr:cNvSpPr txBox="1">
            <a:spLocks noChangeArrowheads="1"/>
          </xdr:cNvSpPr>
        </xdr:nvSpPr>
        <xdr:spPr bwMode="auto">
          <a:xfrm>
            <a:off x="4250634" y="3631916"/>
            <a:ext cx="526930" cy="14511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omrOSEX</a:t>
            </a:r>
            <a:endParaRPr lang="en-US" sz="600" b="0" i="0" u="none" strike="noStrike" baseline="0">
              <a:solidFill>
                <a:srgbClr val="3333CC"/>
              </a:solidFill>
              <a:latin typeface="Arial"/>
              <a:cs typeface="Arial"/>
            </a:endParaRPr>
          </a:p>
        </xdr:txBody>
      </xdr:sp>
      <xdr:sp macro="" textlink="">
        <xdr:nvSpPr>
          <xdr:cNvPr id="98" name="Text 42"/>
          <xdr:cNvSpPr txBox="1">
            <a:spLocks noChangeArrowheads="1"/>
          </xdr:cNvSpPr>
        </xdr:nvSpPr>
        <xdr:spPr bwMode="auto">
          <a:xfrm>
            <a:off x="7312383" y="3631916"/>
            <a:ext cx="519283" cy="10879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omr</a:t>
            </a:r>
            <a:r>
              <a:rPr lang="en-US" sz="600" b="0" i="0" u="none" strike="noStrike" baseline="0">
                <a:solidFill>
                  <a:srgbClr val="3333CC"/>
                </a:solidFill>
                <a:latin typeface="Arial"/>
                <a:cs typeface="Arial"/>
              </a:rPr>
              <a:t>Hosp</a:t>
            </a:r>
          </a:p>
        </xdr:txBody>
      </xdr:sp>
      <xdr:sp macro="" textlink="">
        <xdr:nvSpPr>
          <xdr:cNvPr id="99" name="Text 42"/>
          <xdr:cNvSpPr txBox="1">
            <a:spLocks noChangeArrowheads="1"/>
          </xdr:cNvSpPr>
        </xdr:nvSpPr>
        <xdr:spPr bwMode="auto">
          <a:xfrm>
            <a:off x="885894" y="2497179"/>
            <a:ext cx="1834552" cy="50818"/>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b="0" i="0" u="none" strike="noStrike" baseline="0">
                <a:solidFill>
                  <a:srgbClr val="3333CC"/>
                </a:solidFill>
                <a:latin typeface="Arial"/>
                <a:cs typeface="Arial"/>
              </a:rPr>
              <a:t>1- (mr[age]+rrOSEX+rrEREX+rrHOEX)</a:t>
            </a:r>
          </a:p>
        </xdr:txBody>
      </xdr:sp>
      <xdr:sp macro="" textlink="">
        <xdr:nvSpPr>
          <xdr:cNvPr id="100" name="Text 42"/>
          <xdr:cNvSpPr txBox="1">
            <a:spLocks noChangeArrowheads="1"/>
          </xdr:cNvSpPr>
        </xdr:nvSpPr>
        <xdr:spPr bwMode="auto">
          <a:xfrm>
            <a:off x="4844164" y="1743340"/>
            <a:ext cx="1116765" cy="146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FF0000"/>
                </a:solidFill>
                <a:latin typeface="Arial"/>
                <a:cs typeface="Arial"/>
              </a:rPr>
              <a:t>1-omrEREX</a:t>
            </a:r>
            <a:endParaRPr lang="en-US" sz="600" b="0" i="0" u="none" strike="noStrike" baseline="0">
              <a:solidFill>
                <a:srgbClr val="FF0000"/>
              </a:solidFill>
              <a:latin typeface="Arial"/>
              <a:cs typeface="Arial"/>
            </a:endParaRPr>
          </a:p>
        </xdr:txBody>
      </xdr:sp>
      <xdr:sp macro="" textlink="">
        <xdr:nvSpPr>
          <xdr:cNvPr id="101" name="Text 51"/>
          <xdr:cNvSpPr txBox="1">
            <a:spLocks noChangeArrowheads="1"/>
          </xdr:cNvSpPr>
        </xdr:nvSpPr>
        <xdr:spPr bwMode="auto">
          <a:xfrm>
            <a:off x="1573186" y="4609939"/>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600" b="0" i="0" u="none" strike="noStrike" baseline="0">
                <a:solidFill>
                  <a:schemeClr val="accent2"/>
                </a:solidFill>
                <a:latin typeface="Arial"/>
                <a:cs typeface="Arial"/>
              </a:rPr>
              <a:t>cNES</a:t>
            </a:r>
          </a:p>
        </xdr:txBody>
      </xdr:sp>
      <xdr:sp macro="" textlink="">
        <xdr:nvSpPr>
          <xdr:cNvPr id="102" name="Text 51"/>
          <xdr:cNvSpPr txBox="1">
            <a:spLocks noChangeArrowheads="1"/>
          </xdr:cNvSpPr>
        </xdr:nvSpPr>
        <xdr:spPr bwMode="auto">
          <a:xfrm>
            <a:off x="3829823" y="5284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600" b="0" i="0" u="none" strike="noStrike" baseline="0">
                <a:solidFill>
                  <a:schemeClr val="accent2"/>
                </a:solidFill>
                <a:latin typeface="Arial"/>
                <a:cs typeface="Arial"/>
              </a:rPr>
              <a:t>cOSEX</a:t>
            </a:r>
          </a:p>
        </xdr:txBody>
      </xdr:sp>
      <xdr:sp macro="" textlink="">
        <xdr:nvSpPr>
          <xdr:cNvPr id="103" name="Text 51"/>
          <xdr:cNvSpPr txBox="1">
            <a:spLocks noChangeArrowheads="1"/>
          </xdr:cNvSpPr>
        </xdr:nvSpPr>
        <xdr:spPr bwMode="auto">
          <a:xfrm>
            <a:off x="6808766" y="5284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b="0" i="0" u="none" strike="noStrike" baseline="0">
                <a:solidFill>
                  <a:schemeClr val="accent2"/>
                </a:solidFill>
                <a:latin typeface="Arial"/>
                <a:cs typeface="Arial"/>
              </a:rPr>
              <a:t>cEREX</a:t>
            </a:r>
          </a:p>
        </xdr:txBody>
      </xdr:sp>
      <xdr:sp macro="" textlink="">
        <xdr:nvSpPr>
          <xdr:cNvPr id="104" name="Text 51"/>
          <xdr:cNvSpPr txBox="1">
            <a:spLocks noChangeArrowheads="1"/>
          </xdr:cNvSpPr>
        </xdr:nvSpPr>
        <xdr:spPr bwMode="auto">
          <a:xfrm>
            <a:off x="9986350" y="5284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b="0" i="0" u="none" strike="noStrike" baseline="0">
                <a:solidFill>
                  <a:schemeClr val="accent2"/>
                </a:solidFill>
                <a:latin typeface="Arial"/>
                <a:cs typeface="Arial"/>
              </a:rPr>
              <a:t>cHOEX</a:t>
            </a:r>
          </a:p>
        </xdr:txBody>
      </xdr:sp>
      <xdr:sp macro="" textlink="">
        <xdr:nvSpPr>
          <xdr:cNvPr id="105" name="Text 51"/>
          <xdr:cNvSpPr txBox="1">
            <a:spLocks noChangeArrowheads="1"/>
          </xdr:cNvSpPr>
        </xdr:nvSpPr>
        <xdr:spPr bwMode="auto">
          <a:xfrm>
            <a:off x="1573186" y="4769783"/>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600">
                <a:solidFill>
                  <a:schemeClr val="accent6"/>
                </a:solidFill>
                <a:latin typeface="Arial"/>
                <a:cs typeface="Arial"/>
              </a:rPr>
              <a:t>u</a:t>
            </a:r>
            <a:r>
              <a:rPr lang="en-US" sz="600" b="0" i="0" u="none" strike="noStrike" baseline="0">
                <a:solidFill>
                  <a:schemeClr val="accent6"/>
                </a:solidFill>
                <a:latin typeface="Arial"/>
                <a:cs typeface="Arial"/>
              </a:rPr>
              <a:t>NES</a:t>
            </a:r>
          </a:p>
        </xdr:txBody>
      </xdr:sp>
      <xdr:sp macro="" textlink="">
        <xdr:nvSpPr>
          <xdr:cNvPr id="106" name="Text 51"/>
          <xdr:cNvSpPr txBox="1">
            <a:spLocks noChangeArrowheads="1"/>
          </xdr:cNvSpPr>
        </xdr:nvSpPr>
        <xdr:spPr bwMode="auto">
          <a:xfrm>
            <a:off x="3829823" y="3861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600">
                <a:solidFill>
                  <a:schemeClr val="accent6"/>
                </a:solidFill>
                <a:latin typeface="Arial"/>
                <a:cs typeface="Arial"/>
              </a:rPr>
              <a:t>uOS</a:t>
            </a:r>
            <a:r>
              <a:rPr lang="en-US" sz="600" b="0" i="0" u="none" strike="noStrike" baseline="0">
                <a:solidFill>
                  <a:schemeClr val="accent6"/>
                </a:solidFill>
                <a:latin typeface="Arial"/>
                <a:cs typeface="Arial"/>
              </a:rPr>
              <a:t>EX</a:t>
            </a:r>
          </a:p>
        </xdr:txBody>
      </xdr:sp>
      <xdr:sp macro="" textlink="">
        <xdr:nvSpPr>
          <xdr:cNvPr id="107" name="Text 51"/>
          <xdr:cNvSpPr txBox="1">
            <a:spLocks noChangeArrowheads="1"/>
          </xdr:cNvSpPr>
        </xdr:nvSpPr>
        <xdr:spPr bwMode="auto">
          <a:xfrm>
            <a:off x="6808766" y="3861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a:solidFill>
                  <a:schemeClr val="accent6"/>
                </a:solidFill>
                <a:latin typeface="Arial"/>
                <a:cs typeface="Arial"/>
              </a:rPr>
              <a:t>uER</a:t>
            </a:r>
            <a:r>
              <a:rPr lang="en-US" sz="800" b="0" i="0" u="none" strike="noStrike" baseline="0">
                <a:solidFill>
                  <a:schemeClr val="accent6"/>
                </a:solidFill>
                <a:latin typeface="Arial"/>
                <a:cs typeface="Arial"/>
              </a:rPr>
              <a:t>EX</a:t>
            </a:r>
          </a:p>
        </xdr:txBody>
      </xdr:sp>
      <xdr:sp macro="" textlink="">
        <xdr:nvSpPr>
          <xdr:cNvPr id="108" name="Text 51"/>
          <xdr:cNvSpPr txBox="1">
            <a:spLocks noChangeArrowheads="1"/>
          </xdr:cNvSpPr>
        </xdr:nvSpPr>
        <xdr:spPr bwMode="auto">
          <a:xfrm>
            <a:off x="9986350" y="3861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a:solidFill>
                  <a:schemeClr val="accent6"/>
                </a:solidFill>
                <a:latin typeface="Arial"/>
                <a:cs typeface="Arial"/>
              </a:rPr>
              <a:t>uHO</a:t>
            </a:r>
            <a:r>
              <a:rPr lang="en-US" sz="800" b="0" i="0" u="none" strike="noStrike" baseline="0">
                <a:solidFill>
                  <a:schemeClr val="accent6"/>
                </a:solidFill>
                <a:latin typeface="Arial"/>
                <a:cs typeface="Arial"/>
              </a:rPr>
              <a:t>EX</a:t>
            </a: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xdr:col>
          <xdr:colOff>371475</xdr:colOff>
          <xdr:row>4</xdr:row>
          <xdr:rowOff>28575</xdr:rowOff>
        </xdr:from>
        <xdr:ext cx="1571625" cy="542925"/>
        <xdr:sp macro="" textlink="">
          <xdr:nvSpPr>
            <xdr:cNvPr id="2049" name="Group Box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495300</xdr:colOff>
          <xdr:row>4</xdr:row>
          <xdr:rowOff>66675</xdr:rowOff>
        </xdr:from>
        <xdr:ext cx="1000125" cy="209550"/>
        <xdr:sp macro="" textlink="">
          <xdr:nvSpPr>
            <xdr:cNvPr id="2050" name="Option Button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oneCellAnchor>
    </mc:Choice>
    <mc:Fallback/>
  </mc:AlternateContent>
  <mc:AlternateContent xmlns:mc="http://schemas.openxmlformats.org/markup-compatibility/2006">
    <mc:Choice xmlns:a14="http://schemas.microsoft.com/office/drawing/2010/main" Requires="a14">
      <xdr:oneCellAnchor>
        <xdr:from>
          <xdr:col>1</xdr:col>
          <xdr:colOff>495300</xdr:colOff>
          <xdr:row>5</xdr:row>
          <xdr:rowOff>142875</xdr:rowOff>
        </xdr:from>
        <xdr:ext cx="1000125" cy="209550"/>
        <xdr:sp macro="" textlink="">
          <xdr:nvSpPr>
            <xdr:cNvPr id="2051" name="Option Button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Female</a:t>
              </a:r>
            </a:p>
          </xdr:txBody>
        </xdr:sp>
        <xdr:clientData/>
      </xdr:one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2_Example_3.5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Figure"/>
      <sheetName val="Parameters"/>
      <sheetName val="Hazard function"/>
      <sheetName val="NP1"/>
      <sheetName val="Macros"/>
    </sheetNames>
    <sheetDataSet>
      <sheetData sheetId="0"/>
      <sheetData sheetId="1">
        <row r="8">
          <cell r="B8">
            <v>60</v>
          </cell>
        </row>
        <row r="9">
          <cell r="B9">
            <v>0</v>
          </cell>
        </row>
        <row r="11">
          <cell r="B11">
            <v>0.06</v>
          </cell>
        </row>
        <row r="12">
          <cell r="B12">
            <v>1.4999999999999999E-2</v>
          </cell>
        </row>
        <row r="16">
          <cell r="B16">
            <v>0.02</v>
          </cell>
        </row>
        <row r="17">
          <cell r="B17">
            <v>0.02</v>
          </cell>
        </row>
        <row r="18">
          <cell r="B18">
            <v>0.04</v>
          </cell>
        </row>
        <row r="22">
          <cell r="B22">
            <v>-5.4909350000000003</v>
          </cell>
        </row>
        <row r="23">
          <cell r="B23">
            <v>-3.6702199999999997E-2</v>
          </cell>
        </row>
        <row r="24">
          <cell r="B24">
            <v>0.768536</v>
          </cell>
        </row>
        <row r="25">
          <cell r="B25">
            <v>4.5597754184620288E-4</v>
          </cell>
        </row>
        <row r="26">
          <cell r="B26">
            <v>1.4536778596632325</v>
          </cell>
        </row>
        <row r="32">
          <cell r="B32">
            <v>0</v>
          </cell>
        </row>
        <row r="33">
          <cell r="B33">
            <v>5294</v>
          </cell>
        </row>
        <row r="34">
          <cell r="B34">
            <v>0</v>
          </cell>
        </row>
        <row r="35">
          <cell r="B35">
            <v>394</v>
          </cell>
        </row>
        <row r="41">
          <cell r="B41">
            <v>0.85</v>
          </cell>
        </row>
        <row r="42">
          <cell r="B42">
            <v>0.75</v>
          </cell>
        </row>
        <row r="43">
          <cell r="B43">
            <v>0.3</v>
          </cell>
        </row>
      </sheetData>
      <sheetData sheetId="2"/>
      <sheetData sheetId="3">
        <row r="68">
          <cell r="M68">
            <v>610.31181775758273</v>
          </cell>
          <cell r="O68">
            <v>14.697709857306155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opLeftCell="A7" workbookViewId="0">
      <selection activeCell="O19" sqref="O19"/>
    </sheetView>
  </sheetViews>
  <sheetFormatPr defaultRowHeight="15" x14ac:dyDescent="0.25"/>
  <sheetData>
    <row r="1" spans="1:1" ht="15.75" x14ac:dyDescent="0.25">
      <c r="A1" s="1" t="s">
        <v>0</v>
      </c>
    </row>
    <row r="2" spans="1:1" x14ac:dyDescent="0.25">
      <c r="A2" s="2" t="s">
        <v>1</v>
      </c>
    </row>
    <row r="26" spans="1:1" x14ac:dyDescent="0.25">
      <c r="A26" t="s">
        <v>4</v>
      </c>
    </row>
    <row r="27" spans="1:1" x14ac:dyDescent="0.25">
      <c r="A27" t="s">
        <v>5</v>
      </c>
    </row>
    <row r="28" spans="1:1" x14ac:dyDescent="0.25">
      <c r="A28" t="s">
        <v>2</v>
      </c>
    </row>
    <row r="29" spans="1:1" x14ac:dyDescent="0.25">
      <c r="A29" s="3" t="s">
        <v>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L24"/>
  <sheetViews>
    <sheetView workbookViewId="0">
      <selection activeCell="F15" sqref="F15"/>
    </sheetView>
  </sheetViews>
  <sheetFormatPr defaultRowHeight="12.75" x14ac:dyDescent="0.2"/>
  <cols>
    <col min="1" max="1" width="5.85546875" style="4" customWidth="1"/>
    <col min="2" max="2" width="4.7109375" style="4" customWidth="1"/>
    <col min="3" max="3" width="9.140625" style="4"/>
    <col min="4" max="4" width="9.7109375" style="4" bestFit="1" customWidth="1"/>
    <col min="5" max="5" width="9.140625" style="4"/>
    <col min="6" max="6" width="4" style="4" customWidth="1"/>
    <col min="7" max="7" width="5" style="4" customWidth="1"/>
    <col min="8" max="8" width="5.28515625" style="4" customWidth="1"/>
    <col min="9" max="11" width="9.140625" style="4"/>
    <col min="12" max="12" width="5.140625" style="4" customWidth="1"/>
    <col min="13" max="16384" width="9.140625" style="4"/>
  </cols>
  <sheetData>
    <row r="1" spans="1:12" ht="15.75" x14ac:dyDescent="0.25">
      <c r="A1" s="23" t="s">
        <v>22</v>
      </c>
    </row>
    <row r="4" spans="1:12" x14ac:dyDescent="0.2">
      <c r="B4" s="22" t="s">
        <v>21</v>
      </c>
      <c r="C4" s="22"/>
      <c r="D4" s="22"/>
      <c r="E4" s="22"/>
      <c r="F4" s="22"/>
      <c r="H4" s="21" t="s">
        <v>20</v>
      </c>
      <c r="I4" s="20"/>
      <c r="J4" s="20"/>
      <c r="K4" s="20"/>
      <c r="L4" s="20"/>
    </row>
    <row r="5" spans="1:12" x14ac:dyDescent="0.2">
      <c r="B5" s="16"/>
      <c r="C5" s="16"/>
      <c r="D5" s="16"/>
      <c r="E5" s="16"/>
      <c r="F5" s="16"/>
      <c r="H5" s="15"/>
      <c r="I5" s="15"/>
      <c r="J5" s="15"/>
      <c r="K5" s="15"/>
      <c r="L5" s="15"/>
    </row>
    <row r="6" spans="1:12" x14ac:dyDescent="0.2">
      <c r="B6" s="16"/>
      <c r="C6" s="16"/>
      <c r="D6" s="16"/>
      <c r="E6" s="16"/>
      <c r="F6" s="16"/>
      <c r="H6" s="15"/>
      <c r="I6" s="19">
        <v>60</v>
      </c>
      <c r="J6" s="18" t="s">
        <v>19</v>
      </c>
      <c r="K6" s="18"/>
      <c r="L6" s="15"/>
    </row>
    <row r="7" spans="1:12" x14ac:dyDescent="0.2">
      <c r="B7" s="16"/>
      <c r="C7" s="16"/>
      <c r="D7" s="16"/>
      <c r="E7" s="16"/>
      <c r="F7" s="16"/>
      <c r="H7" s="15"/>
      <c r="I7" s="17" t="s">
        <v>18</v>
      </c>
      <c r="J7" s="15"/>
      <c r="K7" s="15"/>
      <c r="L7" s="15"/>
    </row>
    <row r="8" spans="1:12" x14ac:dyDescent="0.2">
      <c r="B8" s="16"/>
      <c r="C8" s="16"/>
      <c r="D8" s="16"/>
      <c r="E8" s="16"/>
      <c r="F8" s="16"/>
      <c r="H8" s="15"/>
      <c r="I8" s="15"/>
      <c r="J8" s="15"/>
      <c r="K8" s="15"/>
      <c r="L8" s="15"/>
    </row>
    <row r="10" spans="1:12" x14ac:dyDescent="0.2">
      <c r="B10" s="14" t="s">
        <v>17</v>
      </c>
      <c r="C10" s="13"/>
      <c r="D10" s="13"/>
      <c r="E10" s="13"/>
      <c r="F10" s="13"/>
    </row>
    <row r="11" spans="1:12" x14ac:dyDescent="0.2">
      <c r="B11" s="5"/>
      <c r="C11" s="5"/>
      <c r="D11" s="5"/>
      <c r="E11" s="5"/>
      <c r="F11" s="5"/>
    </row>
    <row r="12" spans="1:12" x14ac:dyDescent="0.2">
      <c r="B12" s="5"/>
      <c r="C12" s="7" t="s">
        <v>16</v>
      </c>
      <c r="D12" s="7" t="s">
        <v>15</v>
      </c>
      <c r="E12" s="7" t="s">
        <v>14</v>
      </c>
      <c r="F12" s="5"/>
    </row>
    <row r="13" spans="1:12" x14ac:dyDescent="0.2">
      <c r="B13" s="5"/>
      <c r="C13" s="5"/>
      <c r="D13" s="5"/>
      <c r="E13" s="5"/>
      <c r="F13" s="5"/>
    </row>
    <row r="14" spans="1:12" ht="15" x14ac:dyDescent="0.25">
      <c r="B14" s="5"/>
      <c r="C14" s="5" t="s">
        <v>13</v>
      </c>
      <c r="D14" s="8">
        <f>PH!M68</f>
        <v>512.43465834364304</v>
      </c>
      <c r="E14" s="12">
        <f>PH!O68</f>
        <v>14.653189614825321</v>
      </c>
      <c r="F14" s="11"/>
    </row>
    <row r="15" spans="1:12" ht="15" x14ac:dyDescent="0.25">
      <c r="B15" s="5"/>
      <c r="C15" s="5" t="s">
        <v>12</v>
      </c>
      <c r="D15" s="8">
        <f>[1]NP1!M68</f>
        <v>610.31181775758273</v>
      </c>
      <c r="E15" s="12">
        <f>[1]NP1!O68</f>
        <v>14.697709857306155</v>
      </c>
      <c r="F15" s="11"/>
    </row>
    <row r="16" spans="1:12" ht="15" x14ac:dyDescent="0.25">
      <c r="B16" s="5"/>
      <c r="C16" s="5" t="s">
        <v>11</v>
      </c>
      <c r="D16" s="8">
        <f>D15-D14</f>
        <v>97.877159413939694</v>
      </c>
      <c r="E16" s="12">
        <f>E15-E14</f>
        <v>4.4520242480833971E-2</v>
      </c>
      <c r="F16" s="11"/>
    </row>
    <row r="17" spans="2:6" ht="15" x14ac:dyDescent="0.25">
      <c r="B17" s="5"/>
      <c r="C17" s="5"/>
      <c r="D17" s="10"/>
      <c r="E17" s="9"/>
      <c r="F17" s="11"/>
    </row>
    <row r="18" spans="2:6" ht="15" x14ac:dyDescent="0.25">
      <c r="B18" s="5"/>
      <c r="C18" s="5" t="s">
        <v>10</v>
      </c>
      <c r="D18" s="10"/>
      <c r="E18" s="9"/>
      <c r="F18" s="11"/>
    </row>
    <row r="19" spans="2:6" ht="15" x14ac:dyDescent="0.25">
      <c r="B19" s="5"/>
      <c r="C19" s="5" t="s">
        <v>7</v>
      </c>
      <c r="D19" s="8">
        <f>D16/E16</f>
        <v>2198.486664938448</v>
      </c>
      <c r="E19" s="7" t="s">
        <v>6</v>
      </c>
      <c r="F19" s="5"/>
    </row>
    <row r="20" spans="2:6" ht="15" x14ac:dyDescent="0.25">
      <c r="B20" s="5"/>
      <c r="C20" s="5"/>
      <c r="D20" s="6"/>
      <c r="E20" s="5"/>
      <c r="F20" s="5"/>
    </row>
    <row r="21" spans="2:6" ht="15" x14ac:dyDescent="0.25">
      <c r="B21" s="5"/>
      <c r="C21" s="5" t="s">
        <v>9</v>
      </c>
      <c r="D21" s="10"/>
      <c r="E21" s="9"/>
      <c r="F21" s="5"/>
    </row>
    <row r="22" spans="2:6" ht="15" x14ac:dyDescent="0.25">
      <c r="B22" s="5"/>
      <c r="C22" s="5" t="s">
        <v>8</v>
      </c>
      <c r="D22" s="8">
        <v>50000</v>
      </c>
      <c r="E22" s="7" t="s">
        <v>6</v>
      </c>
      <c r="F22" s="5"/>
    </row>
    <row r="23" spans="2:6" ht="15" x14ac:dyDescent="0.25">
      <c r="B23" s="5"/>
      <c r="C23" s="5" t="s">
        <v>7</v>
      </c>
      <c r="D23" s="8">
        <f>D22*E16-D16</f>
        <v>2128.1349646277586</v>
      </c>
      <c r="E23" s="7" t="s">
        <v>6</v>
      </c>
      <c r="F23" s="5"/>
    </row>
    <row r="24" spans="2:6" ht="15" x14ac:dyDescent="0.25">
      <c r="B24" s="5"/>
      <c r="C24" s="5"/>
      <c r="D24" s="6"/>
      <c r="E24" s="5"/>
      <c r="F24" s="5"/>
    </row>
  </sheetData>
  <conditionalFormatting sqref="I6">
    <cfRule type="cellIs" priority="1" stopIfTrue="1" operator="between">
      <formula>40</formula>
      <formula>90</formula>
    </cfRule>
  </conditionalFormatting>
  <dataValidations count="1">
    <dataValidation type="whole" allowBlank="1" showInputMessage="1" showErrorMessage="1" sqref="I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2 JE65542 TA65542 ACW65542 AMS65542 AWO65542 BGK65542 BQG65542 CAC65542 CJY65542 CTU65542 DDQ65542 DNM65542 DXI65542 EHE65542 ERA65542 FAW65542 FKS65542 FUO65542 GEK65542 GOG65542 GYC65542 HHY65542 HRU65542 IBQ65542 ILM65542 IVI65542 JFE65542 JPA65542 JYW65542 KIS65542 KSO65542 LCK65542 LMG65542 LWC65542 MFY65542 MPU65542 MZQ65542 NJM65542 NTI65542 ODE65542 ONA65542 OWW65542 PGS65542 PQO65542 QAK65542 QKG65542 QUC65542 RDY65542 RNU65542 RXQ65542 SHM65542 SRI65542 TBE65542 TLA65542 TUW65542 UES65542 UOO65542 UYK65542 VIG65542 VSC65542 WBY65542 WLU65542 WVQ65542 I131078 JE131078 TA131078 ACW131078 AMS131078 AWO131078 BGK131078 BQG131078 CAC131078 CJY131078 CTU131078 DDQ131078 DNM131078 DXI131078 EHE131078 ERA131078 FAW131078 FKS131078 FUO131078 GEK131078 GOG131078 GYC131078 HHY131078 HRU131078 IBQ131078 ILM131078 IVI131078 JFE131078 JPA131078 JYW131078 KIS131078 KSO131078 LCK131078 LMG131078 LWC131078 MFY131078 MPU131078 MZQ131078 NJM131078 NTI131078 ODE131078 ONA131078 OWW131078 PGS131078 PQO131078 QAK131078 QKG131078 QUC131078 RDY131078 RNU131078 RXQ131078 SHM131078 SRI131078 TBE131078 TLA131078 TUW131078 UES131078 UOO131078 UYK131078 VIG131078 VSC131078 WBY131078 WLU131078 WVQ131078 I196614 JE196614 TA196614 ACW196614 AMS196614 AWO196614 BGK196614 BQG196614 CAC196614 CJY196614 CTU196614 DDQ196614 DNM196614 DXI196614 EHE196614 ERA196614 FAW196614 FKS196614 FUO196614 GEK196614 GOG196614 GYC196614 HHY196614 HRU196614 IBQ196614 ILM196614 IVI196614 JFE196614 JPA196614 JYW196614 KIS196614 KSO196614 LCK196614 LMG196614 LWC196614 MFY196614 MPU196614 MZQ196614 NJM196614 NTI196614 ODE196614 ONA196614 OWW196614 PGS196614 PQO196614 QAK196614 QKG196614 QUC196614 RDY196614 RNU196614 RXQ196614 SHM196614 SRI196614 TBE196614 TLA196614 TUW196614 UES196614 UOO196614 UYK196614 VIG196614 VSC196614 WBY196614 WLU196614 WVQ196614 I262150 JE262150 TA262150 ACW262150 AMS262150 AWO262150 BGK262150 BQG262150 CAC262150 CJY262150 CTU262150 DDQ262150 DNM262150 DXI262150 EHE262150 ERA262150 FAW262150 FKS262150 FUO262150 GEK262150 GOG262150 GYC262150 HHY262150 HRU262150 IBQ262150 ILM262150 IVI262150 JFE262150 JPA262150 JYW262150 KIS262150 KSO262150 LCK262150 LMG262150 LWC262150 MFY262150 MPU262150 MZQ262150 NJM262150 NTI262150 ODE262150 ONA262150 OWW262150 PGS262150 PQO262150 QAK262150 QKG262150 QUC262150 RDY262150 RNU262150 RXQ262150 SHM262150 SRI262150 TBE262150 TLA262150 TUW262150 UES262150 UOO262150 UYK262150 VIG262150 VSC262150 WBY262150 WLU262150 WVQ262150 I327686 JE327686 TA327686 ACW327686 AMS327686 AWO327686 BGK327686 BQG327686 CAC327686 CJY327686 CTU327686 DDQ327686 DNM327686 DXI327686 EHE327686 ERA327686 FAW327686 FKS327686 FUO327686 GEK327686 GOG327686 GYC327686 HHY327686 HRU327686 IBQ327686 ILM327686 IVI327686 JFE327686 JPA327686 JYW327686 KIS327686 KSO327686 LCK327686 LMG327686 LWC327686 MFY327686 MPU327686 MZQ327686 NJM327686 NTI327686 ODE327686 ONA327686 OWW327686 PGS327686 PQO327686 QAK327686 QKG327686 QUC327686 RDY327686 RNU327686 RXQ327686 SHM327686 SRI327686 TBE327686 TLA327686 TUW327686 UES327686 UOO327686 UYK327686 VIG327686 VSC327686 WBY327686 WLU327686 WVQ327686 I393222 JE393222 TA393222 ACW393222 AMS393222 AWO393222 BGK393222 BQG393222 CAC393222 CJY393222 CTU393222 DDQ393222 DNM393222 DXI393222 EHE393222 ERA393222 FAW393222 FKS393222 FUO393222 GEK393222 GOG393222 GYC393222 HHY393222 HRU393222 IBQ393222 ILM393222 IVI393222 JFE393222 JPA393222 JYW393222 KIS393222 KSO393222 LCK393222 LMG393222 LWC393222 MFY393222 MPU393222 MZQ393222 NJM393222 NTI393222 ODE393222 ONA393222 OWW393222 PGS393222 PQO393222 QAK393222 QKG393222 QUC393222 RDY393222 RNU393222 RXQ393222 SHM393222 SRI393222 TBE393222 TLA393222 TUW393222 UES393222 UOO393222 UYK393222 VIG393222 VSC393222 WBY393222 WLU393222 WVQ393222 I458758 JE458758 TA458758 ACW458758 AMS458758 AWO458758 BGK458758 BQG458758 CAC458758 CJY458758 CTU458758 DDQ458758 DNM458758 DXI458758 EHE458758 ERA458758 FAW458758 FKS458758 FUO458758 GEK458758 GOG458758 GYC458758 HHY458758 HRU458758 IBQ458758 ILM458758 IVI458758 JFE458758 JPA458758 JYW458758 KIS458758 KSO458758 LCK458758 LMG458758 LWC458758 MFY458758 MPU458758 MZQ458758 NJM458758 NTI458758 ODE458758 ONA458758 OWW458758 PGS458758 PQO458758 QAK458758 QKG458758 QUC458758 RDY458758 RNU458758 RXQ458758 SHM458758 SRI458758 TBE458758 TLA458758 TUW458758 UES458758 UOO458758 UYK458758 VIG458758 VSC458758 WBY458758 WLU458758 WVQ458758 I524294 JE524294 TA524294 ACW524294 AMS524294 AWO524294 BGK524294 BQG524294 CAC524294 CJY524294 CTU524294 DDQ524294 DNM524294 DXI524294 EHE524294 ERA524294 FAW524294 FKS524294 FUO524294 GEK524294 GOG524294 GYC524294 HHY524294 HRU524294 IBQ524294 ILM524294 IVI524294 JFE524294 JPA524294 JYW524294 KIS524294 KSO524294 LCK524294 LMG524294 LWC524294 MFY524294 MPU524294 MZQ524294 NJM524294 NTI524294 ODE524294 ONA524294 OWW524294 PGS524294 PQO524294 QAK524294 QKG524294 QUC524294 RDY524294 RNU524294 RXQ524294 SHM524294 SRI524294 TBE524294 TLA524294 TUW524294 UES524294 UOO524294 UYK524294 VIG524294 VSC524294 WBY524294 WLU524294 WVQ524294 I589830 JE589830 TA589830 ACW589830 AMS589830 AWO589830 BGK589830 BQG589830 CAC589830 CJY589830 CTU589830 DDQ589830 DNM589830 DXI589830 EHE589830 ERA589830 FAW589830 FKS589830 FUO589830 GEK589830 GOG589830 GYC589830 HHY589830 HRU589830 IBQ589830 ILM589830 IVI589830 JFE589830 JPA589830 JYW589830 KIS589830 KSO589830 LCK589830 LMG589830 LWC589830 MFY589830 MPU589830 MZQ589830 NJM589830 NTI589830 ODE589830 ONA589830 OWW589830 PGS589830 PQO589830 QAK589830 QKG589830 QUC589830 RDY589830 RNU589830 RXQ589830 SHM589830 SRI589830 TBE589830 TLA589830 TUW589830 UES589830 UOO589830 UYK589830 VIG589830 VSC589830 WBY589830 WLU589830 WVQ589830 I655366 JE655366 TA655366 ACW655366 AMS655366 AWO655366 BGK655366 BQG655366 CAC655366 CJY655366 CTU655366 DDQ655366 DNM655366 DXI655366 EHE655366 ERA655366 FAW655366 FKS655366 FUO655366 GEK655366 GOG655366 GYC655366 HHY655366 HRU655366 IBQ655366 ILM655366 IVI655366 JFE655366 JPA655366 JYW655366 KIS655366 KSO655366 LCK655366 LMG655366 LWC655366 MFY655366 MPU655366 MZQ655366 NJM655366 NTI655366 ODE655366 ONA655366 OWW655366 PGS655366 PQO655366 QAK655366 QKG655366 QUC655366 RDY655366 RNU655366 RXQ655366 SHM655366 SRI655366 TBE655366 TLA655366 TUW655366 UES655366 UOO655366 UYK655366 VIG655366 VSC655366 WBY655366 WLU655366 WVQ655366 I720902 JE720902 TA720902 ACW720902 AMS720902 AWO720902 BGK720902 BQG720902 CAC720902 CJY720902 CTU720902 DDQ720902 DNM720902 DXI720902 EHE720902 ERA720902 FAW720902 FKS720902 FUO720902 GEK720902 GOG720902 GYC720902 HHY720902 HRU720902 IBQ720902 ILM720902 IVI720902 JFE720902 JPA720902 JYW720902 KIS720902 KSO720902 LCK720902 LMG720902 LWC720902 MFY720902 MPU720902 MZQ720902 NJM720902 NTI720902 ODE720902 ONA720902 OWW720902 PGS720902 PQO720902 QAK720902 QKG720902 QUC720902 RDY720902 RNU720902 RXQ720902 SHM720902 SRI720902 TBE720902 TLA720902 TUW720902 UES720902 UOO720902 UYK720902 VIG720902 VSC720902 WBY720902 WLU720902 WVQ720902 I786438 JE786438 TA786438 ACW786438 AMS786438 AWO786438 BGK786438 BQG786438 CAC786438 CJY786438 CTU786438 DDQ786438 DNM786438 DXI786438 EHE786438 ERA786438 FAW786438 FKS786438 FUO786438 GEK786438 GOG786438 GYC786438 HHY786438 HRU786438 IBQ786438 ILM786438 IVI786438 JFE786438 JPA786438 JYW786438 KIS786438 KSO786438 LCK786438 LMG786438 LWC786438 MFY786438 MPU786438 MZQ786438 NJM786438 NTI786438 ODE786438 ONA786438 OWW786438 PGS786438 PQO786438 QAK786438 QKG786438 QUC786438 RDY786438 RNU786438 RXQ786438 SHM786438 SRI786438 TBE786438 TLA786438 TUW786438 UES786438 UOO786438 UYK786438 VIG786438 VSC786438 WBY786438 WLU786438 WVQ786438 I851974 JE851974 TA851974 ACW851974 AMS851974 AWO851974 BGK851974 BQG851974 CAC851974 CJY851974 CTU851974 DDQ851974 DNM851974 DXI851974 EHE851974 ERA851974 FAW851974 FKS851974 FUO851974 GEK851974 GOG851974 GYC851974 HHY851974 HRU851974 IBQ851974 ILM851974 IVI851974 JFE851974 JPA851974 JYW851974 KIS851974 KSO851974 LCK851974 LMG851974 LWC851974 MFY851974 MPU851974 MZQ851974 NJM851974 NTI851974 ODE851974 ONA851974 OWW851974 PGS851974 PQO851974 QAK851974 QKG851974 QUC851974 RDY851974 RNU851974 RXQ851974 SHM851974 SRI851974 TBE851974 TLA851974 TUW851974 UES851974 UOO851974 UYK851974 VIG851974 VSC851974 WBY851974 WLU851974 WVQ851974 I917510 JE917510 TA917510 ACW917510 AMS917510 AWO917510 BGK917510 BQG917510 CAC917510 CJY917510 CTU917510 DDQ917510 DNM917510 DXI917510 EHE917510 ERA917510 FAW917510 FKS917510 FUO917510 GEK917510 GOG917510 GYC917510 HHY917510 HRU917510 IBQ917510 ILM917510 IVI917510 JFE917510 JPA917510 JYW917510 KIS917510 KSO917510 LCK917510 LMG917510 LWC917510 MFY917510 MPU917510 MZQ917510 NJM917510 NTI917510 ODE917510 ONA917510 OWW917510 PGS917510 PQO917510 QAK917510 QKG917510 QUC917510 RDY917510 RNU917510 RXQ917510 SHM917510 SRI917510 TBE917510 TLA917510 TUW917510 UES917510 UOO917510 UYK917510 VIG917510 VSC917510 WBY917510 WLU917510 WVQ917510 I983046 JE983046 TA983046 ACW983046 AMS983046 AWO983046 BGK983046 BQG983046 CAC983046 CJY983046 CTU983046 DDQ983046 DNM983046 DXI983046 EHE983046 ERA983046 FAW983046 FKS983046 FUO983046 GEK983046 GOG983046 GYC983046 HHY983046 HRU983046 IBQ983046 ILM983046 IVI983046 JFE983046 JPA983046 JYW983046 KIS983046 KSO983046 LCK983046 LMG983046 LWC983046 MFY983046 MPU983046 MZQ983046 NJM983046 NTI983046 ODE983046 ONA983046 OWW983046 PGS983046 PQO983046 QAK983046 QKG983046 QUC983046 RDY983046 RNU983046 RXQ983046 SHM983046 SRI983046 TBE983046 TLA983046 TUW983046 UES983046 UOO983046 UYK983046 VIG983046 VSC983046 WBY983046 WLU983046 WVQ983046">
      <formula1>40</formula1>
      <formula2>90</formula2>
    </dataValidation>
  </dataValidations>
  <pageMargins left="0.75" right="0.75" top="1" bottom="1" header="0.5" footer="0.5"/>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Group Box 1">
              <controlPr defaultSize="0" autoFill="0" autoPict="0">
                <anchor moveWithCells="1">
                  <from>
                    <xdr:col>1</xdr:col>
                    <xdr:colOff>371475</xdr:colOff>
                    <xdr:row>4</xdr:row>
                    <xdr:rowOff>28575</xdr:rowOff>
                  </from>
                  <to>
                    <xdr:col>4</xdr:col>
                    <xdr:colOff>314325</xdr:colOff>
                    <xdr:row>7</xdr:row>
                    <xdr:rowOff>85725</xdr:rowOff>
                  </to>
                </anchor>
              </controlPr>
            </control>
          </mc:Choice>
        </mc:AlternateContent>
        <mc:AlternateContent xmlns:mc="http://schemas.openxmlformats.org/markup-compatibility/2006">
          <mc:Choice Requires="x14">
            <control shapeId="2050" r:id="rId5" name="Option Button 2">
              <controlPr defaultSize="0" autoFill="0" autoLine="0" autoPict="0">
                <anchor moveWithCells="1">
                  <from>
                    <xdr:col>1</xdr:col>
                    <xdr:colOff>495300</xdr:colOff>
                    <xdr:row>4</xdr:row>
                    <xdr:rowOff>66675</xdr:rowOff>
                  </from>
                  <to>
                    <xdr:col>3</xdr:col>
                    <xdr:colOff>390525</xdr:colOff>
                    <xdr:row>5</xdr:row>
                    <xdr:rowOff>114300</xdr:rowOff>
                  </to>
                </anchor>
              </controlPr>
            </control>
          </mc:Choice>
        </mc:AlternateContent>
        <mc:AlternateContent xmlns:mc="http://schemas.openxmlformats.org/markup-compatibility/2006">
          <mc:Choice Requires="x14">
            <control shapeId="2051" r:id="rId6" name="Option Button 3">
              <controlPr defaultSize="0" autoFill="0" autoLine="0" autoPict="0">
                <anchor moveWithCells="1">
                  <from>
                    <xdr:col>1</xdr:col>
                    <xdr:colOff>495300</xdr:colOff>
                    <xdr:row>5</xdr:row>
                    <xdr:rowOff>142875</xdr:rowOff>
                  </from>
                  <to>
                    <xdr:col>3</xdr:col>
                    <xdr:colOff>390525</xdr:colOff>
                    <xdr:row>7</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T59"/>
  <sheetViews>
    <sheetView workbookViewId="0">
      <selection activeCell="E25" sqref="E25"/>
    </sheetView>
  </sheetViews>
  <sheetFormatPr defaultRowHeight="12.75" x14ac:dyDescent="0.2"/>
  <cols>
    <col min="1" max="1" width="6.85546875" style="4" customWidth="1"/>
    <col min="2" max="2" width="12.42578125" style="4" customWidth="1"/>
    <col min="3" max="16384" width="9.140625" style="4"/>
  </cols>
  <sheetData>
    <row r="1" spans="1:20" ht="15.75" x14ac:dyDescent="0.25">
      <c r="A1" s="23" t="s">
        <v>34</v>
      </c>
      <c r="G1" s="33"/>
    </row>
    <row r="2" spans="1:20" ht="15.75" x14ac:dyDescent="0.25">
      <c r="A2" s="23"/>
    </row>
    <row r="3" spans="1:20" x14ac:dyDescent="0.2">
      <c r="B3" s="29" t="s">
        <v>32</v>
      </c>
      <c r="C3" s="32" t="s">
        <v>30</v>
      </c>
      <c r="D3" s="32" t="s">
        <v>29</v>
      </c>
    </row>
    <row r="4" spans="1:20" x14ac:dyDescent="0.2">
      <c r="B4" s="29" t="s">
        <v>28</v>
      </c>
      <c r="C4" s="4">
        <v>1.51</v>
      </c>
      <c r="D4" s="4">
        <v>0.99</v>
      </c>
      <c r="E4" s="34"/>
      <c r="F4" s="34"/>
      <c r="H4" s="33"/>
      <c r="I4" s="33"/>
      <c r="J4" s="33"/>
      <c r="K4" s="33"/>
      <c r="L4" s="33"/>
      <c r="M4" s="33"/>
      <c r="N4" s="33"/>
      <c r="O4" s="33"/>
    </row>
    <row r="5" spans="1:20" x14ac:dyDescent="0.2">
      <c r="B5" s="29" t="s">
        <v>27</v>
      </c>
      <c r="C5" s="4">
        <v>3.93</v>
      </c>
      <c r="D5" s="4">
        <v>2.6</v>
      </c>
    </row>
    <row r="6" spans="1:20" x14ac:dyDescent="0.2">
      <c r="B6" s="29" t="s">
        <v>26</v>
      </c>
      <c r="C6" s="4">
        <v>10.9</v>
      </c>
      <c r="D6" s="4">
        <v>6.7</v>
      </c>
      <c r="E6" s="34"/>
      <c r="F6" s="34"/>
      <c r="G6" s="33"/>
      <c r="H6" s="33"/>
      <c r="I6" s="33"/>
      <c r="J6" s="33"/>
      <c r="K6" s="33"/>
      <c r="L6" s="33"/>
      <c r="M6" s="33"/>
      <c r="N6" s="33"/>
      <c r="O6" s="33"/>
    </row>
    <row r="7" spans="1:20" x14ac:dyDescent="0.2">
      <c r="B7" s="29" t="s">
        <v>25</v>
      </c>
      <c r="C7" s="4">
        <v>31.6</v>
      </c>
      <c r="D7" s="4">
        <v>19.3</v>
      </c>
      <c r="P7" s="31"/>
      <c r="Q7" s="31"/>
      <c r="R7" s="31"/>
      <c r="S7" s="31"/>
      <c r="T7" s="31"/>
    </row>
    <row r="8" spans="1:20" x14ac:dyDescent="0.2">
      <c r="B8" s="29" t="s">
        <v>24</v>
      </c>
      <c r="C8" s="4">
        <v>80.099999999999994</v>
      </c>
      <c r="D8" s="4">
        <v>53.5</v>
      </c>
      <c r="P8" s="31"/>
      <c r="Q8" s="31"/>
      <c r="R8" s="31"/>
      <c r="S8" s="31"/>
      <c r="T8" s="31"/>
    </row>
    <row r="9" spans="1:20" x14ac:dyDescent="0.2">
      <c r="B9" s="29" t="s">
        <v>23</v>
      </c>
      <c r="C9" s="4">
        <v>187.9</v>
      </c>
      <c r="D9" s="4">
        <v>154.80000000000001</v>
      </c>
      <c r="P9" s="31"/>
      <c r="Q9" s="31"/>
      <c r="R9" s="31"/>
      <c r="S9" s="31"/>
      <c r="T9" s="31"/>
    </row>
    <row r="10" spans="1:20" x14ac:dyDescent="0.2">
      <c r="P10" s="31"/>
      <c r="Q10" s="31"/>
      <c r="R10" s="31"/>
      <c r="S10" s="31"/>
      <c r="T10" s="31"/>
    </row>
    <row r="11" spans="1:20" x14ac:dyDescent="0.2">
      <c r="P11" s="31"/>
      <c r="Q11" s="31"/>
      <c r="R11" s="31"/>
      <c r="S11" s="31"/>
      <c r="T11" s="31"/>
    </row>
    <row r="12" spans="1:20" ht="15.75" x14ac:dyDescent="0.25">
      <c r="A12" s="23" t="s">
        <v>33</v>
      </c>
      <c r="P12" s="31"/>
      <c r="Q12" s="30"/>
    </row>
    <row r="13" spans="1:20" x14ac:dyDescent="0.2">
      <c r="P13" s="31"/>
      <c r="Q13" s="30"/>
    </row>
    <row r="14" spans="1:20" x14ac:dyDescent="0.2">
      <c r="B14" s="29" t="s">
        <v>32</v>
      </c>
      <c r="C14" s="32" t="s">
        <v>31</v>
      </c>
      <c r="D14" s="32" t="s">
        <v>30</v>
      </c>
      <c r="E14" s="32" t="s">
        <v>29</v>
      </c>
      <c r="P14" s="31"/>
      <c r="Q14" s="30"/>
    </row>
    <row r="15" spans="1:20" x14ac:dyDescent="0.2">
      <c r="B15" s="29" t="s">
        <v>28</v>
      </c>
      <c r="C15" s="4">
        <v>35</v>
      </c>
      <c r="D15" s="4">
        <f>C4/1000</f>
        <v>1.5100000000000001E-3</v>
      </c>
      <c r="E15" s="4">
        <f>D4/1000</f>
        <v>9.8999999999999999E-4</v>
      </c>
      <c r="P15" s="31"/>
      <c r="Q15" s="30"/>
    </row>
    <row r="16" spans="1:20" x14ac:dyDescent="0.2">
      <c r="B16" s="29" t="s">
        <v>27</v>
      </c>
      <c r="C16" s="4">
        <v>45</v>
      </c>
      <c r="D16" s="4">
        <f>C5/1000</f>
        <v>3.9300000000000003E-3</v>
      </c>
      <c r="E16" s="4">
        <f>D5/1000</f>
        <v>2.5999999999999999E-3</v>
      </c>
      <c r="P16" s="31"/>
      <c r="Q16" s="30"/>
    </row>
    <row r="17" spans="1:17" x14ac:dyDescent="0.2">
      <c r="B17" s="29" t="s">
        <v>26</v>
      </c>
      <c r="C17" s="4">
        <v>55</v>
      </c>
      <c r="D17" s="4">
        <f>C6/1000</f>
        <v>1.09E-2</v>
      </c>
      <c r="E17" s="4">
        <f>D6/1000</f>
        <v>6.7000000000000002E-3</v>
      </c>
      <c r="P17" s="31"/>
      <c r="Q17" s="30"/>
    </row>
    <row r="18" spans="1:17" x14ac:dyDescent="0.2">
      <c r="B18" s="29" t="s">
        <v>25</v>
      </c>
      <c r="C18" s="4">
        <v>65</v>
      </c>
      <c r="D18" s="4">
        <f>C7/1000</f>
        <v>3.1600000000000003E-2</v>
      </c>
      <c r="E18" s="4">
        <f>D7/1000</f>
        <v>1.9300000000000001E-2</v>
      </c>
    </row>
    <row r="19" spans="1:17" x14ac:dyDescent="0.2">
      <c r="B19" s="29" t="s">
        <v>24</v>
      </c>
      <c r="C19" s="4">
        <v>75</v>
      </c>
      <c r="D19" s="4">
        <f>C8/1000</f>
        <v>8.0099999999999991E-2</v>
      </c>
      <c r="E19" s="4">
        <f>D8/1000</f>
        <v>5.3499999999999999E-2</v>
      </c>
    </row>
    <row r="20" spans="1:17" x14ac:dyDescent="0.2">
      <c r="B20" s="29" t="s">
        <v>23</v>
      </c>
      <c r="C20" s="4">
        <v>85</v>
      </c>
      <c r="D20" s="4">
        <f>C9/1000</f>
        <v>0.18790000000000001</v>
      </c>
      <c r="E20" s="4">
        <f>D9/1000</f>
        <v>0.15480000000000002</v>
      </c>
    </row>
    <row r="26" spans="1:17" ht="15.75" x14ac:dyDescent="0.25">
      <c r="A26" s="23"/>
    </row>
    <row r="31" spans="1:17" x14ac:dyDescent="0.2">
      <c r="B31" s="28"/>
      <c r="C31" s="28"/>
      <c r="D31" s="28"/>
      <c r="E31" s="28"/>
      <c r="F31" s="28"/>
      <c r="G31" s="28"/>
      <c r="H31" s="28"/>
      <c r="I31" s="28"/>
      <c r="J31" s="28"/>
      <c r="K31" s="28"/>
      <c r="L31" s="28"/>
      <c r="M31" s="28"/>
      <c r="N31" s="28"/>
      <c r="O31" s="28"/>
    </row>
    <row r="32" spans="1:17" x14ac:dyDescent="0.2">
      <c r="B32" s="28"/>
      <c r="C32" s="28"/>
      <c r="D32" s="28"/>
      <c r="E32" s="28"/>
      <c r="F32" s="28"/>
      <c r="G32" s="28"/>
      <c r="H32" s="28"/>
      <c r="I32" s="28"/>
      <c r="J32" s="28"/>
      <c r="K32" s="28"/>
      <c r="L32" s="28"/>
      <c r="M32" s="28"/>
      <c r="N32" s="28"/>
      <c r="O32" s="28"/>
    </row>
    <row r="33" spans="2:15" x14ac:dyDescent="0.2">
      <c r="B33" s="28"/>
      <c r="C33" s="28"/>
      <c r="D33" s="28"/>
      <c r="E33" s="28"/>
      <c r="F33" s="28"/>
      <c r="G33" s="28"/>
      <c r="H33" s="28"/>
      <c r="I33" s="28"/>
      <c r="J33" s="28"/>
      <c r="K33" s="28"/>
      <c r="L33" s="28"/>
      <c r="M33" s="28"/>
      <c r="N33" s="28"/>
      <c r="O33" s="28"/>
    </row>
    <row r="34" spans="2:15" x14ac:dyDescent="0.2">
      <c r="B34" s="28"/>
      <c r="C34" s="28"/>
      <c r="D34" s="28"/>
      <c r="E34" s="28"/>
      <c r="F34" s="28"/>
      <c r="G34" s="28"/>
      <c r="H34" s="28"/>
      <c r="I34" s="28"/>
      <c r="J34" s="28"/>
      <c r="K34" s="28"/>
      <c r="L34" s="28"/>
      <c r="M34" s="28"/>
      <c r="N34" s="28"/>
      <c r="O34" s="28"/>
    </row>
    <row r="35" spans="2:15" x14ac:dyDescent="0.2">
      <c r="B35" s="28"/>
      <c r="C35" s="28"/>
      <c r="D35" s="28"/>
      <c r="E35" s="28"/>
      <c r="F35" s="28"/>
      <c r="G35" s="28"/>
      <c r="H35" s="28"/>
      <c r="I35" s="28"/>
      <c r="J35" s="28"/>
      <c r="K35" s="28"/>
      <c r="L35" s="28"/>
      <c r="M35" s="28"/>
      <c r="N35" s="28"/>
      <c r="O35" s="28"/>
    </row>
    <row r="36" spans="2:15" x14ac:dyDescent="0.2">
      <c r="B36" s="28"/>
      <c r="C36" s="28"/>
      <c r="D36" s="28"/>
      <c r="E36" s="28"/>
      <c r="F36" s="28"/>
      <c r="G36" s="28"/>
      <c r="H36" s="28"/>
      <c r="I36" s="28"/>
      <c r="J36" s="28"/>
      <c r="K36" s="28"/>
      <c r="L36" s="28"/>
      <c r="M36" s="28"/>
      <c r="N36" s="28"/>
      <c r="O36" s="28"/>
    </row>
    <row r="37" spans="2:15" x14ac:dyDescent="0.2">
      <c r="B37" s="28"/>
      <c r="C37" s="28"/>
      <c r="D37" s="28"/>
      <c r="E37" s="28"/>
      <c r="F37" s="28"/>
      <c r="G37" s="28"/>
      <c r="H37" s="28"/>
      <c r="I37" s="28"/>
      <c r="J37" s="27"/>
      <c r="K37" s="27"/>
      <c r="L37" s="27"/>
      <c r="M37" s="27"/>
      <c r="N37" s="27"/>
      <c r="O37" s="27"/>
    </row>
    <row r="38" spans="2:15" x14ac:dyDescent="0.2">
      <c r="B38" s="28"/>
      <c r="C38" s="28"/>
      <c r="D38" s="28"/>
      <c r="E38" s="28"/>
      <c r="F38" s="28"/>
      <c r="G38" s="28"/>
      <c r="H38" s="28"/>
      <c r="I38" s="28"/>
      <c r="J38" s="28"/>
      <c r="K38" s="28"/>
      <c r="L38" s="28"/>
      <c r="M38" s="28"/>
      <c r="N38" s="28"/>
      <c r="O38" s="28"/>
    </row>
    <row r="39" spans="2:15" x14ac:dyDescent="0.2">
      <c r="B39" s="28"/>
      <c r="C39" s="28"/>
      <c r="D39" s="28"/>
      <c r="E39" s="28"/>
      <c r="F39" s="28"/>
      <c r="G39" s="28"/>
      <c r="H39" s="28"/>
      <c r="I39" s="28"/>
      <c r="J39" s="28"/>
      <c r="K39" s="28"/>
      <c r="L39" s="28"/>
      <c r="M39" s="28"/>
      <c r="N39" s="28"/>
      <c r="O39" s="28"/>
    </row>
    <row r="40" spans="2:15" x14ac:dyDescent="0.2">
      <c r="B40" s="28"/>
      <c r="C40" s="28"/>
      <c r="D40" s="28"/>
      <c r="E40" s="28"/>
      <c r="F40" s="28"/>
      <c r="G40" s="28"/>
      <c r="H40" s="28"/>
      <c r="I40" s="28"/>
      <c r="J40" s="28"/>
      <c r="K40" s="28"/>
      <c r="L40" s="28"/>
      <c r="M40" s="28"/>
      <c r="N40" s="28"/>
      <c r="O40" s="28"/>
    </row>
    <row r="41" spans="2:15" x14ac:dyDescent="0.2">
      <c r="B41" s="28"/>
      <c r="C41" s="28"/>
      <c r="D41" s="28"/>
      <c r="E41" s="28"/>
      <c r="F41" s="28"/>
      <c r="G41" s="28"/>
      <c r="H41" s="28"/>
      <c r="I41" s="28"/>
      <c r="J41" s="28"/>
      <c r="K41" s="28"/>
      <c r="L41" s="28"/>
      <c r="M41" s="28"/>
      <c r="N41" s="28"/>
      <c r="O41" s="28"/>
    </row>
    <row r="42" spans="2:15" x14ac:dyDescent="0.2">
      <c r="B42" s="28"/>
      <c r="C42" s="28"/>
      <c r="D42" s="28"/>
      <c r="E42" s="28"/>
      <c r="F42" s="28"/>
      <c r="G42" s="28"/>
      <c r="H42" s="28"/>
      <c r="I42" s="28"/>
      <c r="J42" s="28"/>
      <c r="K42" s="28"/>
      <c r="L42" s="28"/>
      <c r="M42" s="28"/>
      <c r="N42" s="28"/>
      <c r="O42" s="28"/>
    </row>
    <row r="43" spans="2:15" x14ac:dyDescent="0.2">
      <c r="B43" s="28"/>
      <c r="C43" s="28"/>
      <c r="D43" s="28"/>
      <c r="E43" s="28"/>
      <c r="F43" s="28"/>
      <c r="G43" s="28"/>
      <c r="H43" s="28"/>
      <c r="I43" s="28"/>
      <c r="J43" s="28"/>
      <c r="K43" s="28"/>
      <c r="L43" s="28"/>
      <c r="M43" s="28"/>
      <c r="N43" s="28"/>
      <c r="O43" s="28"/>
    </row>
    <row r="44" spans="2:15" x14ac:dyDescent="0.2">
      <c r="B44" s="28"/>
      <c r="C44" s="28"/>
      <c r="D44" s="28"/>
      <c r="E44" s="28"/>
      <c r="F44" s="28"/>
      <c r="G44" s="28"/>
      <c r="H44" s="28"/>
      <c r="I44" s="28"/>
      <c r="J44" s="28"/>
      <c r="K44" s="28"/>
      <c r="L44" s="28"/>
      <c r="M44" s="28"/>
      <c r="N44" s="28"/>
      <c r="O44" s="28"/>
    </row>
    <row r="45" spans="2:15" x14ac:dyDescent="0.2">
      <c r="B45" s="28"/>
      <c r="C45" s="28"/>
      <c r="D45" s="28"/>
      <c r="E45" s="28"/>
      <c r="F45" s="28"/>
      <c r="G45" s="28"/>
      <c r="H45" s="28"/>
      <c r="I45" s="28"/>
      <c r="J45" s="28"/>
      <c r="K45" s="28"/>
      <c r="L45" s="28"/>
      <c r="M45" s="28"/>
      <c r="N45" s="28"/>
      <c r="O45" s="28"/>
    </row>
    <row r="46" spans="2:15" x14ac:dyDescent="0.2">
      <c r="B46" s="28"/>
      <c r="C46" s="28"/>
      <c r="D46" s="28"/>
      <c r="E46" s="28"/>
      <c r="F46" s="28"/>
      <c r="G46" s="28"/>
      <c r="H46" s="28"/>
      <c r="I46" s="28"/>
      <c r="J46" s="27"/>
      <c r="K46" s="27"/>
      <c r="L46" s="27"/>
      <c r="M46" s="27"/>
      <c r="N46" s="27"/>
      <c r="O46" s="27"/>
    </row>
    <row r="49" spans="1:15" x14ac:dyDescent="0.2">
      <c r="A49" s="26"/>
    </row>
    <row r="51" spans="1:15" x14ac:dyDescent="0.2">
      <c r="A51" s="26"/>
    </row>
    <row r="52" spans="1:15" x14ac:dyDescent="0.2">
      <c r="A52" s="25"/>
      <c r="B52" s="24"/>
      <c r="C52" s="24"/>
      <c r="D52" s="24"/>
      <c r="E52" s="24"/>
      <c r="F52" s="24"/>
      <c r="G52" s="24"/>
      <c r="H52" s="24"/>
      <c r="I52" s="24"/>
      <c r="J52" s="24"/>
      <c r="K52" s="24"/>
      <c r="L52" s="24"/>
      <c r="M52" s="24"/>
      <c r="N52" s="24"/>
      <c r="O52" s="24"/>
    </row>
    <row r="53" spans="1:15" x14ac:dyDescent="0.2">
      <c r="A53" s="25"/>
      <c r="B53" s="24"/>
      <c r="C53" s="24"/>
      <c r="D53" s="24"/>
      <c r="E53" s="24"/>
      <c r="F53" s="24"/>
      <c r="G53" s="24"/>
      <c r="H53" s="24"/>
      <c r="I53" s="24"/>
      <c r="J53" s="24"/>
      <c r="K53" s="24"/>
      <c r="L53" s="24"/>
      <c r="M53" s="24"/>
      <c r="N53" s="24"/>
      <c r="O53" s="24"/>
    </row>
    <row r="54" spans="1:15" x14ac:dyDescent="0.2">
      <c r="A54" s="25"/>
      <c r="B54" s="24"/>
      <c r="C54" s="24"/>
      <c r="D54" s="24"/>
      <c r="E54" s="24"/>
      <c r="F54" s="24"/>
      <c r="G54" s="24"/>
      <c r="H54" s="24"/>
      <c r="I54" s="24"/>
      <c r="J54" s="24"/>
      <c r="K54" s="24"/>
      <c r="L54" s="24"/>
      <c r="M54" s="24"/>
      <c r="N54" s="24"/>
      <c r="O54" s="24"/>
    </row>
    <row r="56" spans="1:15" x14ac:dyDescent="0.2">
      <c r="A56" s="26"/>
    </row>
    <row r="57" spans="1:15" x14ac:dyDescent="0.2">
      <c r="A57" s="25"/>
      <c r="B57" s="24"/>
      <c r="C57" s="24"/>
      <c r="D57" s="24"/>
      <c r="E57" s="24"/>
      <c r="F57" s="24"/>
      <c r="G57" s="24"/>
      <c r="H57" s="24"/>
      <c r="I57" s="24"/>
      <c r="J57" s="24"/>
      <c r="K57" s="24"/>
      <c r="L57" s="24"/>
      <c r="M57" s="24"/>
      <c r="N57" s="24"/>
      <c r="O57" s="24"/>
    </row>
    <row r="58" spans="1:15" x14ac:dyDescent="0.2">
      <c r="A58" s="25"/>
      <c r="B58" s="24"/>
      <c r="C58" s="24"/>
      <c r="D58" s="24"/>
      <c r="E58" s="24"/>
      <c r="F58" s="24"/>
      <c r="G58" s="24"/>
      <c r="H58" s="24"/>
      <c r="I58" s="24"/>
      <c r="J58" s="24"/>
      <c r="K58" s="24"/>
      <c r="L58" s="24"/>
      <c r="M58" s="24"/>
      <c r="N58" s="24"/>
      <c r="O58" s="24"/>
    </row>
    <row r="59" spans="1:15" x14ac:dyDescent="0.2">
      <c r="A59" s="25"/>
      <c r="B59" s="24"/>
      <c r="C59" s="24"/>
      <c r="D59" s="24"/>
      <c r="E59" s="24"/>
      <c r="F59" s="24"/>
      <c r="G59" s="24"/>
      <c r="H59" s="24"/>
      <c r="I59" s="24"/>
      <c r="J59" s="24"/>
      <c r="K59" s="24"/>
      <c r="L59" s="24"/>
      <c r="M59" s="24"/>
      <c r="N59" s="24"/>
      <c r="O59" s="24"/>
    </row>
  </sheetData>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9"/>
  <sheetViews>
    <sheetView tabSelected="1" workbookViewId="0">
      <selection activeCell="G4" sqref="G4"/>
    </sheetView>
  </sheetViews>
  <sheetFormatPr defaultRowHeight="15" x14ac:dyDescent="0.25"/>
  <cols>
    <col min="1" max="1" width="9.140625" style="4"/>
    <col min="2" max="2" width="4.7109375" style="4" customWidth="1"/>
    <col min="3" max="3" width="8.85546875" style="35" customWidth="1"/>
    <col min="4" max="4" width="4.7109375" style="35" customWidth="1"/>
    <col min="5" max="5" width="8.85546875" style="35" customWidth="1"/>
    <col min="6" max="6" width="9.140625" style="4"/>
    <col min="7" max="15" width="12.7109375" style="4" customWidth="1"/>
    <col min="16" max="17" width="4.7109375" style="4" customWidth="1"/>
    <col min="18" max="16384" width="9.140625" style="4"/>
  </cols>
  <sheetData>
    <row r="1" spans="1:17" ht="15.75" x14ac:dyDescent="0.25">
      <c r="A1" s="53" t="s">
        <v>49</v>
      </c>
      <c r="B1" s="53"/>
    </row>
    <row r="2" spans="1:17" ht="15.75" x14ac:dyDescent="0.25">
      <c r="A2" s="53"/>
      <c r="B2" s="53"/>
    </row>
    <row r="3" spans="1:17" x14ac:dyDescent="0.25">
      <c r="D3" s="52"/>
      <c r="G3" s="51" t="s">
        <v>48</v>
      </c>
      <c r="H3" s="51"/>
      <c r="I3" s="50"/>
      <c r="J3" s="50"/>
      <c r="K3" s="51"/>
      <c r="L3" s="51"/>
      <c r="M3" s="50"/>
      <c r="N3" s="50"/>
      <c r="O3" s="50"/>
    </row>
    <row r="4" spans="1:17" ht="12.75" x14ac:dyDescent="0.2">
      <c r="A4" s="26" t="s">
        <v>47</v>
      </c>
      <c r="B4" s="26"/>
      <c r="C4" s="49" t="s">
        <v>46</v>
      </c>
      <c r="D4" s="48"/>
      <c r="E4" s="48" t="s">
        <v>45</v>
      </c>
      <c r="G4" s="26" t="s">
        <v>44</v>
      </c>
      <c r="H4" s="26" t="s">
        <v>43</v>
      </c>
      <c r="I4" s="26" t="s">
        <v>42</v>
      </c>
      <c r="J4" s="26" t="s">
        <v>41</v>
      </c>
      <c r="K4" s="26" t="s">
        <v>40</v>
      </c>
      <c r="L4" s="26" t="s">
        <v>39</v>
      </c>
      <c r="M4" s="26" t="s">
        <v>15</v>
      </c>
      <c r="N4" s="26" t="s">
        <v>38</v>
      </c>
      <c r="O4" s="26" t="s">
        <v>14</v>
      </c>
    </row>
    <row r="5" spans="1:17" ht="12.75" x14ac:dyDescent="0.2">
      <c r="C5" s="4"/>
      <c r="D5" s="4"/>
      <c r="E5" s="47"/>
    </row>
    <row r="6" spans="1:17" x14ac:dyDescent="0.25">
      <c r="A6" s="4">
        <v>0</v>
      </c>
      <c r="G6" s="43">
        <v>1000</v>
      </c>
      <c r="H6" s="43"/>
      <c r="I6" s="43"/>
      <c r="J6" s="43"/>
      <c r="K6" s="43"/>
      <c r="L6" s="42">
        <f>SUM(G6:K6)</f>
        <v>1000</v>
      </c>
      <c r="M6" s="41">
        <f>(cStandard+cPrimary)*G6</f>
        <v>394000</v>
      </c>
      <c r="N6" s="36"/>
      <c r="O6" s="46"/>
      <c r="P6" s="36"/>
      <c r="Q6" s="36"/>
    </row>
    <row r="7" spans="1:17" x14ac:dyDescent="0.25">
      <c r="A7" s="4">
        <v>1</v>
      </c>
      <c r="C7" s="44">
        <f>1-EXP(lambda*(A6^gamma-A7^gamma))</f>
        <v>4.5587359988585874E-4</v>
      </c>
      <c r="E7" s="44">
        <f>IF(male=0,VLOOKUP(A$5:A$65536+age,Lifetable,3,1),IF(male=1,VLOOKUP(A$5:A$65536+age,Lifetable,2,1),"error"))</f>
        <v>6.7000000000000002E-3</v>
      </c>
      <c r="G7" s="43"/>
      <c r="H7" s="42">
        <f>G6*(1-omrPTHR)+H6*(1-standardRR-mr)</f>
        <v>980</v>
      </c>
      <c r="I7" s="42">
        <f>H6*standardRR+J6*rrr</f>
        <v>0</v>
      </c>
      <c r="J7" s="42">
        <f>I6*(1-mr-omrRTHR)+J6*(1-mr-rrr)</f>
        <v>0</v>
      </c>
      <c r="K7" s="42">
        <f>H6*mr+(I6+J6)*mr+G6*omrPTHR+I6*omrRTHR+K6</f>
        <v>20</v>
      </c>
      <c r="L7" s="42">
        <f>SUM(G7:K7)</f>
        <v>1000</v>
      </c>
      <c r="M7" s="41">
        <f>(cPrimary*G7+cSuccess*H7+cRevision*I7+cSuccess*J7)/(1+cDR)^A$5:A$65536</f>
        <v>0</v>
      </c>
      <c r="N7" s="40">
        <f>(J7+I7+H7)</f>
        <v>980</v>
      </c>
      <c r="O7" s="39">
        <f>(uSuccessP*H7+uRevision*PH!I7+uSuccessR*PH!J7)/(1+oDR)^A$5:A$65536</f>
        <v>820.68965517241384</v>
      </c>
      <c r="P7" s="36"/>
      <c r="Q7" s="36"/>
    </row>
    <row r="8" spans="1:17" x14ac:dyDescent="0.25">
      <c r="A8" s="4">
        <v>2</v>
      </c>
      <c r="C8" s="44">
        <f>1-EXP(lambda*(A7^gamma-A8^gamma))</f>
        <v>7.9265538125916635E-4</v>
      </c>
      <c r="E8" s="44">
        <f>IF(male=0,VLOOKUP(A$5:A$65536+age,Lifetable,3,1),IF(male=1,VLOOKUP(A$5:A$65536+age,Lifetable,2,1),"error"))</f>
        <v>6.7000000000000002E-3</v>
      </c>
      <c r="G8" s="45"/>
      <c r="H8" s="42">
        <f>G7*(1-omrPTHR)+H7*(1-standardRR-mr)</f>
        <v>972.65719772636601</v>
      </c>
      <c r="I8" s="42">
        <f>H7*standardRR+J7*rrr</f>
        <v>0.77680227363398302</v>
      </c>
      <c r="J8" s="42">
        <f>I7*(1-mr-omrRTHR)+J7*(1-mr-rrr)</f>
        <v>0</v>
      </c>
      <c r="K8" s="42">
        <f>H7*mr+(I7+J7)*mr+G7*omrPTHR+I7*omrRTHR+K7</f>
        <v>26.565999999999999</v>
      </c>
      <c r="L8" s="42">
        <f>SUM(G8:K8)</f>
        <v>1000</v>
      </c>
      <c r="M8" s="41">
        <f>(cPrimary*G8+cSuccess*H8+cRevision*I8+cSuccess*J8)/(1+cDR)^A$5:A$65536</f>
        <v>3660.0135605360497</v>
      </c>
      <c r="N8" s="40">
        <f>(J8+I8+H8)</f>
        <v>973.43399999999997</v>
      </c>
      <c r="O8" s="39">
        <f>(uSuccessP*H8+uRevision*PH!I8+uSuccessR*PH!J8)/(1+oDR)^A$5:A$65536</f>
        <v>802.72916959839017</v>
      </c>
      <c r="P8" s="36"/>
      <c r="Q8" s="36"/>
    </row>
    <row r="9" spans="1:17" x14ac:dyDescent="0.25">
      <c r="A9" s="4">
        <v>3</v>
      </c>
      <c r="C9" s="44">
        <f>1-EXP(lambda*(A8^gamma-A9^gamma))</f>
        <v>1.0023202487118299E-3</v>
      </c>
      <c r="E9" s="44">
        <f>IF(male=0,VLOOKUP(A$5:A$65536+age,Lifetable,3,1),IF(male=1,VLOOKUP(A$5:A$65536+age,Lifetable,2,1),"error"))</f>
        <v>6.7000000000000002E-3</v>
      </c>
      <c r="G9" s="43"/>
      <c r="H9" s="42">
        <f>G8*(1-omrPTHR)+H8*(1-standardRR-mr)</f>
        <v>965.16548049726282</v>
      </c>
      <c r="I9" s="42">
        <f>H8*standardRR+J8*rrr</f>
        <v>0.97491400433644271</v>
      </c>
      <c r="J9" s="42">
        <f>I8*(1-mr-omrRTHR)+J8*(1-mr-rrr)</f>
        <v>0.75606165292795557</v>
      </c>
      <c r="K9" s="42">
        <f>H8*mr+(I8+J8)*mr+G8*omrPTHR+I8*omrRTHR+K8</f>
        <v>33.103543845472679</v>
      </c>
      <c r="L9" s="42">
        <f>SUM(G9:K9)</f>
        <v>1000</v>
      </c>
      <c r="M9" s="41">
        <f>(cPrimary*G9+cSuccess*H9+cRevision*I9+cSuccess*J9)/(1+cDR)^A$5:A$65536</f>
        <v>4333.438626313271</v>
      </c>
      <c r="N9" s="40">
        <f>(J9+I9+H9)</f>
        <v>966.89645615452719</v>
      </c>
      <c r="O9" s="39">
        <f>(uSuccessP*H9+uRevision*PH!I9+uSuccessR*PH!J9)/(1+oDR)^A$5:A$65536</f>
        <v>785.3755021601844</v>
      </c>
      <c r="P9" s="36"/>
      <c r="Q9" s="36"/>
    </row>
    <row r="10" spans="1:17" x14ac:dyDescent="0.25">
      <c r="A10" s="4">
        <v>4</v>
      </c>
      <c r="C10" s="44">
        <f>1-EXP(lambda*(A9^gamma-A10^gamma))</f>
        <v>1.1684809383689654E-3</v>
      </c>
      <c r="E10" s="44">
        <f>IF(male=0,VLOOKUP(A$5:A$65536+age,Lifetable,3,1),IF(male=1,VLOOKUP(A$5:A$65536+age,Lifetable,2,1),"error"))</f>
        <v>6.7000000000000002E-3</v>
      </c>
      <c r="G10" s="43"/>
      <c r="H10" s="42">
        <f>G9*(1-omrPTHR)+H9*(1-standardRR-mr)</f>
        <v>957.57109431159836</v>
      </c>
      <c r="I10" s="42">
        <f>H9*standardRR+J9*rrr</f>
        <v>1.1580199324498932</v>
      </c>
      <c r="J10" s="42">
        <f>I9*(1-mr-omrRTHR)+J9*(1-mr-rrr)</f>
        <v>1.6696373741568795</v>
      </c>
      <c r="K10" s="42">
        <f>H9*mr+(I9+J9)*mr+G9*omrPTHR+I9*omrRTHR+K9</f>
        <v>39.60124838179474</v>
      </c>
      <c r="L10" s="42">
        <f>SUM(G10:K10)</f>
        <v>999.99999999999989</v>
      </c>
      <c r="M10" s="41">
        <f>(cPrimary*G10+cSuccess*H10+cRevision*I10+cSuccess*J10)/(1+cDR)^A$5:A$65536</f>
        <v>4855.975765601087</v>
      </c>
      <c r="N10" s="40">
        <f>(J10+I10+H10)</f>
        <v>960.3987516182051</v>
      </c>
      <c r="O10" s="39">
        <f>(uSuccessP*H10+uRevision*PH!I10+uSuccessR*PH!J10)/(1+oDR)^A$5:A$65536</f>
        <v>768.38427671175577</v>
      </c>
      <c r="P10" s="36"/>
      <c r="Q10" s="36"/>
    </row>
    <row r="11" spans="1:17" x14ac:dyDescent="0.25">
      <c r="A11" s="4">
        <v>5</v>
      </c>
      <c r="C11" s="44">
        <f>1-EXP(lambda*(A10^gamma-A11^gamma))</f>
        <v>1.309944799567142E-3</v>
      </c>
      <c r="E11" s="44">
        <f>IF(male=0,VLOOKUP(A$5:A$65536+age,Lifetable,3,1),IF(male=1,VLOOKUP(A$5:A$65536+age,Lifetable,2,1),"error"))</f>
        <v>1.9300000000000001E-2</v>
      </c>
      <c r="G11" s="43"/>
      <c r="H11" s="42">
        <f>G10*(1-omrPTHR)+H10*(1-standardRR-mr)</f>
        <v>937.83560691617527</v>
      </c>
      <c r="I11" s="42">
        <f>H10*standardRR+J10*rrr</f>
        <v>1.3211507701755707</v>
      </c>
      <c r="J11" s="42">
        <f>I10*(1-mr-omrRTHR)+J10*(1-mr-rrr)</f>
        <v>2.6831376269739886</v>
      </c>
      <c r="K11" s="42">
        <f>H10*mr+(I10+J10)*mr+G10*omrPTHR+I10*omrRTHR+K10</f>
        <v>58.160104686675098</v>
      </c>
      <c r="L11" s="42">
        <f>SUM(G11:K11)</f>
        <v>1000</v>
      </c>
      <c r="M11" s="41">
        <f>(cPrimary*G11+cSuccess*H11+cRevision*I11+cSuccess*J11)/(1+cDR)^A$5:A$65536</f>
        <v>5226.4523219268867</v>
      </c>
      <c r="N11" s="40">
        <f>(J11+I11+H11)</f>
        <v>941.83989531332486</v>
      </c>
      <c r="O11" s="39">
        <f>(uSuccessP*H11+uRevision*PH!I11+uSuccessR*PH!J11)/(1+oDR)^A$5:A$65536</f>
        <v>742.20814701324616</v>
      </c>
      <c r="P11" s="36"/>
      <c r="Q11" s="36"/>
    </row>
    <row r="12" spans="1:17" x14ac:dyDescent="0.25">
      <c r="A12" s="4">
        <v>6</v>
      </c>
      <c r="C12" s="44">
        <f>1-EXP(lambda*(A11^gamma-A12^gamma))</f>
        <v>1.4349523261396602E-3</v>
      </c>
      <c r="E12" s="44">
        <f>IF(male=0,VLOOKUP(A$5:A$65536+age,Lifetable,3,1),IF(male=1,VLOOKUP(A$5:A$65536+age,Lifetable,2,1),"error"))</f>
        <v>1.9300000000000001E-2</v>
      </c>
      <c r="G12" s="43"/>
      <c r="H12" s="42">
        <f>G11*(1-omrPTHR)+H11*(1-standardRR-mr)</f>
        <v>918.38963031701212</v>
      </c>
      <c r="I12" s="42">
        <f>H11*standardRR+J11*rrr</f>
        <v>1.4530748907599254</v>
      </c>
      <c r="J12" s="42">
        <f>I11*(1-mr-omrRTHR)+J11*(1-mr-rrr)</f>
        <v>3.7932571106021018</v>
      </c>
      <c r="K12" s="42">
        <f>H11*mr+(I11+J11)*mr+G11*omrPTHR+I11*omrRTHR+K11</f>
        <v>76.364037681625774</v>
      </c>
      <c r="L12" s="42">
        <f>SUM(G12:K12)</f>
        <v>999.99999999999989</v>
      </c>
      <c r="M12" s="41">
        <f>(cPrimary*G12+cSuccess*H12+cRevision*I12+cSuccess*J12)/(1+cDR)^A$5:A$65536</f>
        <v>5422.964276772298</v>
      </c>
      <c r="N12" s="40">
        <f>(J12+I12+H12)</f>
        <v>923.63596231837414</v>
      </c>
      <c r="O12" s="39">
        <f>(uSuccessP*H12+uRevision*PH!I12+uSuccessR*PH!J12)/(1+oDR)^A$5:A$65536</f>
        <v>716.92064592641054</v>
      </c>
      <c r="P12" s="36"/>
      <c r="Q12" s="36"/>
    </row>
    <row r="13" spans="1:17" x14ac:dyDescent="0.25">
      <c r="A13" s="4">
        <v>7</v>
      </c>
      <c r="C13" s="44">
        <f>1-EXP(lambda*(A12^gamma-A13^gamma))</f>
        <v>1.5479957647099862E-3</v>
      </c>
      <c r="E13" s="44">
        <f>IF(male=0,VLOOKUP(A$5:A$65536+age,Lifetable,3,1),IF(male=1,VLOOKUP(A$5:A$65536+age,Lifetable,2,1),"error"))</f>
        <v>1.9300000000000001E-2</v>
      </c>
      <c r="G13" s="43"/>
      <c r="H13" s="42">
        <f>G12*(1-omrPTHR)+H12*(1-standardRR-mr)</f>
        <v>899.2430471938095</v>
      </c>
      <c r="I13" s="42">
        <f>H12*standardRR+J12*rrr</f>
        <v>1.5733935425083887</v>
      </c>
      <c r="J13" s="42">
        <f>I12*(1-mr-omrRTHR)+J12*(1-mr-rrr)</f>
        <v>4.9642860114964575</v>
      </c>
      <c r="K13" s="42">
        <f>H12*mr+(I12+J12)*mr+G12*omrPTHR+I12*omrRTHR+K12</f>
        <v>94.219273252185587</v>
      </c>
      <c r="L13" s="42">
        <f>SUM(G13:K13)</f>
        <v>1000</v>
      </c>
      <c r="M13" s="41">
        <f>(cPrimary*G13+cSuccess*H13+cRevision*I13+cSuccess*J13)/(1+cDR)^A$5:A$65536</f>
        <v>5539.6234308472158</v>
      </c>
      <c r="N13" s="40">
        <f>(J13+I13+H13)</f>
        <v>905.78072674781436</v>
      </c>
      <c r="O13" s="39">
        <f>(uSuccessP*H13+uRevision*PH!I13+uSuccessR*PH!J13)/(1+oDR)^A$5:A$65536</f>
        <v>692.48578224922642</v>
      </c>
      <c r="P13" s="36"/>
      <c r="Q13" s="36"/>
    </row>
    <row r="14" spans="1:17" x14ac:dyDescent="0.25">
      <c r="A14" s="4">
        <v>8</v>
      </c>
      <c r="C14" s="44">
        <f>1-EXP(lambda*(A13^gamma-A14^gamma))</f>
        <v>1.6518431162551028E-3</v>
      </c>
      <c r="E14" s="44">
        <f>IF(male=0,VLOOKUP(A$5:A$65536+age,Lifetable,3,1),IF(male=1,VLOOKUP(A$5:A$65536+age,Lifetable,2,1),"error"))</f>
        <v>1.9300000000000001E-2</v>
      </c>
      <c r="G14" s="43"/>
      <c r="H14" s="42">
        <f>G13*(1-omrPTHR)+H13*(1-standardRR-mr)</f>
        <v>880.40224794562164</v>
      </c>
      <c r="I14" s="42">
        <f>H13*standardRR+J13*rrr</f>
        <v>1.6839798778072153</v>
      </c>
      <c r="J14" s="42">
        <f>I13*(1-mr-omrRTHR)+J13*(1-mr-rrr)</f>
        <v>6.1814630273025273</v>
      </c>
      <c r="K14" s="42">
        <f>H13*mr+(I13+J13)*mr+G13*omrPTHR+I13*omrRTHR+K13</f>
        <v>111.73230914926857</v>
      </c>
      <c r="L14" s="42">
        <f>SUM(G14:K14)</f>
        <v>1000</v>
      </c>
      <c r="M14" s="41">
        <f>(cPrimary*G14+cSuccess*H14+cRevision*I14+cSuccess*J14)/(1+cDR)^A$5:A$65536</f>
        <v>5593.3746858122431</v>
      </c>
      <c r="N14" s="40">
        <f>(J14+I14+H14)</f>
        <v>888.26769085073136</v>
      </c>
      <c r="O14" s="39">
        <f>(uSuccessP*H14+uRevision*PH!I14+uSuccessR*PH!J14)/(1+oDR)^A$5:A$65536</f>
        <v>668.87542000157657</v>
      </c>
      <c r="P14" s="36"/>
      <c r="Q14" s="36"/>
    </row>
    <row r="15" spans="1:17" x14ac:dyDescent="0.25">
      <c r="A15" s="4">
        <v>9</v>
      </c>
      <c r="C15" s="44">
        <f>1-EXP(lambda*(A14^gamma-A15^gamma))</f>
        <v>1.7483419148011103E-3</v>
      </c>
      <c r="E15" s="44">
        <f>IF(male=0,VLOOKUP(A$5:A$65536+age,Lifetable,3,1),IF(male=1,VLOOKUP(A$5:A$65536+age,Lifetable,2,1),"error"))</f>
        <v>1.9300000000000001E-2</v>
      </c>
      <c r="G15" s="43"/>
      <c r="H15" s="42">
        <f>G14*(1-omrPTHR)+H14*(1-standardRR-mr)</f>
        <v>861.8712404083027</v>
      </c>
      <c r="I15" s="42">
        <f>H14*standardRR+J14*rrr</f>
        <v>1.7865026730605511</v>
      </c>
      <c r="J15" s="42">
        <f>I14*(1-mr-omrRTHR)+J14*(1-mr-rrr)</f>
        <v>7.4327017383928791</v>
      </c>
      <c r="K15" s="42">
        <f>H14*mr+(I14+J14)*mr+G14*omrPTHR+I14*omrRTHR+K14</f>
        <v>128.90955518024384</v>
      </c>
      <c r="L15" s="42">
        <f>SUM(G15:K15)</f>
        <v>1000</v>
      </c>
      <c r="M15" s="41">
        <f>(cPrimary*G15+cSuccess*H15+cRevision*I15+cSuccess*J15)/(1+cDR)^A$5:A$65536</f>
        <v>5598.0248234435003</v>
      </c>
      <c r="N15" s="40">
        <f>(J15+I15+H15)</f>
        <v>871.09044481975616</v>
      </c>
      <c r="O15" s="39">
        <f>(uSuccessP*H15+uRevision*PH!I15+uSuccessR*PH!J15)/(1+oDR)^A$5:A$65536</f>
        <v>646.06218993486425</v>
      </c>
      <c r="P15" s="36"/>
      <c r="Q15" s="36"/>
    </row>
    <row r="16" spans="1:17" x14ac:dyDescent="0.25">
      <c r="A16" s="4">
        <v>10</v>
      </c>
      <c r="C16" s="44">
        <f>1-EXP(lambda*(A15^gamma-A16^gamma))</f>
        <v>1.8387973086411158E-3</v>
      </c>
      <c r="E16" s="44">
        <f>IF(male=0,VLOOKUP(A$5:A$65536+age,Lifetable,3,1),IF(male=1,VLOOKUP(A$5:A$65536+age,Lifetable,2,1),"error"))</f>
        <v>1.9300000000000001E-2</v>
      </c>
      <c r="G16" s="43"/>
      <c r="H16" s="42">
        <f>G15*(1-omrPTHR)+H15*(1-standardRR-mr)</f>
        <v>843.65231895116449</v>
      </c>
      <c r="I16" s="42">
        <f>H15*standardRR+J15*rrr</f>
        <v>1.8821145867936822</v>
      </c>
      <c r="J16" s="42">
        <f>I15*(1-mr-omrRTHR)+J15*(1-mr-rrr)</f>
        <v>8.7082356433154526</v>
      </c>
      <c r="K16" s="42">
        <f>H15*mr+(I15+J15)*mr+G15*omrPTHR+I15*omrRTHR+K15</f>
        <v>145.75733081872636</v>
      </c>
      <c r="L16" s="42">
        <f>SUM(G16:K16)</f>
        <v>1000</v>
      </c>
      <c r="M16" s="41">
        <f>(cPrimary*G16+cSuccess*H16+cRevision*I16+cSuccess*J16)/(1+cDR)^A$5:A$65536</f>
        <v>5563.797882824214</v>
      </c>
      <c r="N16" s="40">
        <f>(J16+I16+H16)</f>
        <v>854.24266918127364</v>
      </c>
      <c r="O16" s="39">
        <f>(uSuccessP*H16+uRevision*PH!I16+uSuccessR*PH!J16)/(1+oDR)^A$5:A$65536</f>
        <v>624.01965239035974</v>
      </c>
      <c r="P16" s="36"/>
      <c r="Q16" s="36"/>
    </row>
    <row r="17" spans="1:17" x14ac:dyDescent="0.25">
      <c r="A17" s="4">
        <v>11</v>
      </c>
      <c r="C17" s="44">
        <f>1-EXP(lambda*(A16^gamma-A17^gamma))</f>
        <v>1.9241713306532571E-3</v>
      </c>
      <c r="E17" s="44">
        <f>IF(male=0,VLOOKUP(A$5:A$65536+age,Lifetable,3,1),IF(male=1,VLOOKUP(A$5:A$65536+age,Lifetable,2,1),"error"))</f>
        <v>1.9300000000000001E-2</v>
      </c>
      <c r="G17" s="43"/>
      <c r="H17" s="42">
        <f>G16*(1-omrPTHR)+H16*(1-standardRR-mr)</f>
        <v>825.74649759024203</v>
      </c>
      <c r="I17" s="42">
        <f>H16*standardRR+J16*rrr</f>
        <v>1.9716610308975864</v>
      </c>
      <c r="J17" s="42">
        <f>I16*(1-mr-omrRTHR)+J16*(1-mr-rrr)</f>
        <v>9.9999847531995378</v>
      </c>
      <c r="K17" s="42">
        <f>H16*mr+(I16+J16)*mr+G16*omrPTHR+I16*omrRTHR+K16</f>
        <v>162.28185662566082</v>
      </c>
      <c r="L17" s="42">
        <f>SUM(G17:K17)</f>
        <v>1000</v>
      </c>
      <c r="M17" s="41">
        <f>(cPrimary*G17+cSuccess*H17+cRevision*I17+cSuccess*J17)/(1+cDR)^A$5:A$65536</f>
        <v>5498.5942288891783</v>
      </c>
      <c r="N17" s="40">
        <f>(J17+I17+H17)</f>
        <v>837.71814337433921</v>
      </c>
      <c r="O17" s="39">
        <f>(uSuccessP*H17+uRevision*PH!I17+uSuccessR*PH!J17)/(1+oDR)^A$5:A$65536</f>
        <v>602.72222953283153</v>
      </c>
      <c r="P17" s="36"/>
      <c r="Q17" s="36"/>
    </row>
    <row r="18" spans="1:17" x14ac:dyDescent="0.25">
      <c r="A18" s="4">
        <v>12</v>
      </c>
      <c r="C18" s="44">
        <f>1-EXP(lambda*(A17^gamma-A18^gamma))</f>
        <v>2.0051969719669938E-3</v>
      </c>
      <c r="E18" s="44">
        <f>IF(male=0,VLOOKUP(A$5:A$65536+age,Lifetable,3,1),IF(male=1,VLOOKUP(A$5:A$65536+age,Lifetable,2,1),"error"))</f>
        <v>1.9300000000000001E-2</v>
      </c>
      <c r="G18" s="43"/>
      <c r="H18" s="42">
        <f>G17*(1-omrPTHR)+H17*(1-standardRR-mr)</f>
        <v>808.15380581017007</v>
      </c>
      <c r="I18" s="42">
        <f>H17*standardRR+J17*rrr</f>
        <v>2.0557837667082852</v>
      </c>
      <c r="J18" s="42">
        <f>I17*(1-mr-omrRTHR)+J17*(1-mr-rrr)</f>
        <v>11.301160409718117</v>
      </c>
      <c r="K18" s="42">
        <f>H17*mr+(I17+J17)*mr+G17*omrPTHR+I17*omrRTHR+K17</f>
        <v>178.48925001340353</v>
      </c>
      <c r="L18" s="42">
        <f>SUM(G18:K18)</f>
        <v>1000</v>
      </c>
      <c r="M18" s="41">
        <f>(cPrimary*G18+cSuccess*H18+cRevision*I18+cSuccess*J18)/(1+cDR)^A$5:A$65536</f>
        <v>5408.676246721453</v>
      </c>
      <c r="N18" s="40">
        <f>(J18+I18+H18)</f>
        <v>821.51074998659647</v>
      </c>
      <c r="O18" s="39">
        <f>(uSuccessP*H18+uRevision*PH!I18+uSuccessR*PH!J18)/(1+oDR)^A$5:A$65536</f>
        <v>582.14516723605914</v>
      </c>
      <c r="P18" s="36"/>
      <c r="Q18" s="36"/>
    </row>
    <row r="19" spans="1:17" x14ac:dyDescent="0.25">
      <c r="A19" s="4">
        <v>13</v>
      </c>
      <c r="C19" s="44">
        <f>1-EXP(lambda*(A18^gamma-A19^gamma))</f>
        <v>2.0824477370303685E-3</v>
      </c>
      <c r="E19" s="44">
        <f>IF(male=0,VLOOKUP(A$5:A$65536+age,Lifetable,3,1),IF(male=1,VLOOKUP(A$5:A$65536+age,Lifetable,2,1),"error"))</f>
        <v>1.9300000000000001E-2</v>
      </c>
      <c r="G19" s="43"/>
      <c r="H19" s="42">
        <f>G18*(1-omrPTHR)+H18*(1-standardRR-mr)</f>
        <v>790.87349929395191</v>
      </c>
      <c r="I19" s="42">
        <f>H18*standardRR+J18*rrr</f>
        <v>2.1349844804705933</v>
      </c>
      <c r="J19" s="42">
        <f>I18*(1-mr-omrRTHR)+J18*(1-mr-rrr)</f>
        <v>12.605993062098483</v>
      </c>
      <c r="K19" s="42">
        <f>H18*mr+(I18+J18)*mr+G18*omrPTHR+I18*omrRTHR+K18</f>
        <v>194.38552316347901</v>
      </c>
      <c r="L19" s="42">
        <f>SUM(G19:K19)</f>
        <v>1000</v>
      </c>
      <c r="M19" s="41">
        <f>(cPrimary*G19+cSuccess*H19+cRevision*I19+cSuccess*J19)/(1+cDR)^A$5:A$65536</f>
        <v>5299.1036083132585</v>
      </c>
      <c r="N19" s="40">
        <f>(J19+I19+H19)</f>
        <v>805.61447683652102</v>
      </c>
      <c r="O19" s="39">
        <f>(uSuccessP*H19+uRevision*PH!I19+uSuccessR*PH!J19)/(1+oDR)^A$5:A$65536</f>
        <v>562.26450525096789</v>
      </c>
      <c r="P19" s="36"/>
      <c r="Q19" s="36"/>
    </row>
    <row r="20" spans="1:17" x14ac:dyDescent="0.25">
      <c r="A20" s="4">
        <v>14</v>
      </c>
      <c r="C20" s="44">
        <f>1-EXP(lambda*(A19^gamma-A20^gamma))</f>
        <v>2.1563822245680431E-3</v>
      </c>
      <c r="E20" s="44">
        <f>IF(male=0,VLOOKUP(A$5:A$65536+age,Lifetable,3,1),IF(male=1,VLOOKUP(A$5:A$65536+age,Lifetable,2,1),"error"))</f>
        <v>1.9300000000000001E-2</v>
      </c>
      <c r="G20" s="43"/>
      <c r="H20" s="42">
        <f>G19*(1-omrPTHR)+H19*(1-standardRR-mr)</f>
        <v>773.90421520181928</v>
      </c>
      <c r="I20" s="42">
        <f>H19*standardRR+J19*rrr</f>
        <v>2.2096652782433441</v>
      </c>
      <c r="J20" s="42">
        <f>I19*(1-mr-omrRTHR)+J19*(1-mr-rrr)</f>
        <v>13.909537263904141</v>
      </c>
      <c r="K20" s="42">
        <f>H19*mr+(I19+J19)*mr+G19*omrPTHR+I19*omrRTHR+K19</f>
        <v>209.97658225603328</v>
      </c>
      <c r="L20" s="42">
        <f>SUM(G20:K20)</f>
        <v>1000</v>
      </c>
      <c r="M20" s="41">
        <f>(cPrimary*G20+cSuccess*H20+cRevision*I20+cSuccess*J20)/(1+cDR)^A$5:A$65536</f>
        <v>5174.0225201723997</v>
      </c>
      <c r="N20" s="40">
        <f>(J20+I20+H20)</f>
        <v>790.02341774396677</v>
      </c>
      <c r="O20" s="39">
        <f>(uSuccessP*H20+uRevision*PH!I20+uSuccessR*PH!J20)/(1+oDR)^A$5:A$65536</f>
        <v>543.0570516413095</v>
      </c>
      <c r="P20" s="36"/>
      <c r="Q20" s="36"/>
    </row>
    <row r="21" spans="1:17" x14ac:dyDescent="0.25">
      <c r="A21" s="4">
        <v>15</v>
      </c>
      <c r="C21" s="44">
        <f>1-EXP(lambda*(A20^gamma-A21^gamma))</f>
        <v>2.2273738841613877E-3</v>
      </c>
      <c r="E21" s="44">
        <f>IF(male=0,VLOOKUP(A$5:A$65536+age,Lifetable,3,1),IF(male=1,VLOOKUP(A$5:A$65536+age,Lifetable,2,1),"error"))</f>
        <v>5.3499999999999999E-2</v>
      </c>
      <c r="G21" s="43"/>
      <c r="H21" s="42">
        <f>G20*(1-omrPTHR)+H20*(1-standardRR-mr)</f>
        <v>730.77656565073903</v>
      </c>
      <c r="I21" s="42">
        <f>H20*standardRR+J20*rrr</f>
        <v>2.2801555283391126</v>
      </c>
      <c r="J21" s="42">
        <f>I20*(1-mr-omrRTHR)+J20*(1-mr-rrr)</f>
        <v>14.656250410021562</v>
      </c>
      <c r="K21" s="42">
        <f>H20*mr+(I20+J20)*mr+G20*omrPTHR+I20*omrRTHR+K20</f>
        <v>252.28702841090038</v>
      </c>
      <c r="L21" s="42">
        <f>SUM(G21:K21)</f>
        <v>1000.0000000000001</v>
      </c>
      <c r="M21" s="41">
        <f>(cPrimary*G21+cSuccess*H21+cRevision*I21+cSuccess*J21)/(1+cDR)^A$5:A$65536</f>
        <v>5036.866370190045</v>
      </c>
      <c r="N21" s="40">
        <f>(J21+I21+H21)</f>
        <v>747.71297158909965</v>
      </c>
      <c r="O21" s="39">
        <f>(uSuccessP*H21+uRevision*PH!I21+uSuccessR*PH!J21)/(1+oDR)^A$5:A$65536</f>
        <v>506.17507912960684</v>
      </c>
      <c r="P21" s="36"/>
      <c r="Q21" s="36"/>
    </row>
    <row r="22" spans="1:17" x14ac:dyDescent="0.25">
      <c r="A22" s="4">
        <v>16</v>
      </c>
      <c r="C22" s="44">
        <f>1-EXP(lambda*(A21^gamma-A22^gamma))</f>
        <v>2.295731557633518E-3</v>
      </c>
      <c r="E22" s="44">
        <f>IF(male=0,VLOOKUP(A$5:A$65536+age,Lifetable,3,1),IF(male=1,VLOOKUP(A$5:A$65536+age,Lifetable,2,1),"error"))</f>
        <v>5.3499999999999999E-2</v>
      </c>
      <c r="G22" s="43"/>
      <c r="H22" s="42">
        <f>G21*(1-omrPTHR)+H21*(1-standardRR-mr)</f>
        <v>690.00235256508108</v>
      </c>
      <c r="I22" s="42">
        <f>H21*standardRR+J21*rrr</f>
        <v>2.2639168397443066</v>
      </c>
      <c r="J22" s="42">
        <f>I21*(1-mr-omrRTHR)+J21*(1-mr-rrr)</f>
        <v>15.398455093690732</v>
      </c>
      <c r="K22" s="42">
        <f>H21*mr+(I21+J21)*mr+G21*omrPTHR+I21*omrRTHR+K21</f>
        <v>292.33527550148398</v>
      </c>
      <c r="L22" s="42">
        <f>SUM(G22:K22)</f>
        <v>1000</v>
      </c>
      <c r="M22" s="41">
        <f>(cPrimary*G22+cSuccess*H22+cRevision*I22+cSuccess*J22)/(1+cDR)^A$5:A$65536</f>
        <v>4717.9198934770038</v>
      </c>
      <c r="N22" s="40">
        <f>(J22+I22+H22)</f>
        <v>707.66472449851608</v>
      </c>
      <c r="O22" s="39">
        <f>(uSuccessP*H22+uRevision*PH!I22+uSuccessR*PH!J22)/(1+oDR)^A$5:A$65536</f>
        <v>471.81783682194714</v>
      </c>
      <c r="P22" s="36"/>
      <c r="Q22" s="36"/>
    </row>
    <row r="23" spans="1:17" x14ac:dyDescent="0.25">
      <c r="A23" s="4">
        <v>17</v>
      </c>
      <c r="C23" s="44">
        <f>1-EXP(lambda*(A22^gamma-A23^gamma))</f>
        <v>2.361714067431353E-3</v>
      </c>
      <c r="E23" s="44">
        <f>IF(male=0,VLOOKUP(A$5:A$65536+age,Lifetable,3,1),IF(male=1,VLOOKUP(A$5:A$65536+age,Lifetable,2,1),"error"))</f>
        <v>5.3499999999999999E-2</v>
      </c>
      <c r="G23" s="43"/>
      <c r="H23" s="42">
        <f>G22*(1-omrPTHR)+H22*(1-standardRR-mr)</f>
        <v>651.45763844023554</v>
      </c>
      <c r="I23" s="42">
        <f>H22*standardRR+J22*rrr</f>
        <v>2.2455264663613095</v>
      </c>
      <c r="J23" s="42">
        <f>I22*(1-mr-omrRTHR)+J22*(1-mr-rrr)</f>
        <v>16.056218494453748</v>
      </c>
      <c r="K23" s="42">
        <f>H22*mr+(I22+J22)*mr+G22*omrPTHR+I22*omrRTHR+K22</f>
        <v>330.24061659894949</v>
      </c>
      <c r="L23" s="42">
        <f>SUM(G23:K23)</f>
        <v>1000.0000000000001</v>
      </c>
      <c r="M23" s="41">
        <f>(cPrimary*G23+cSuccess*H23+cRevision*I23+cSuccess*J23)/(1+cDR)^A$5:A$65536</f>
        <v>4414.7122905252882</v>
      </c>
      <c r="N23" s="40">
        <f>(J23+I23+H23)</f>
        <v>669.75938340105063</v>
      </c>
      <c r="O23" s="39">
        <f>(uSuccessP*H23+uRevision*PH!I23+uSuccessR*PH!J23)/(1+oDR)^A$5:A$65536</f>
        <v>439.7871686565507</v>
      </c>
      <c r="P23" s="36"/>
      <c r="Q23" s="36"/>
    </row>
    <row r="24" spans="1:17" x14ac:dyDescent="0.25">
      <c r="A24" s="4">
        <v>18</v>
      </c>
      <c r="C24" s="44">
        <f>1-EXP(lambda*(A23^gamma-A24^gamma))</f>
        <v>2.425540832006079E-3</v>
      </c>
      <c r="E24" s="44">
        <f>IF(male=0,VLOOKUP(A$5:A$65536+age,Lifetable,3,1),IF(male=1,VLOOKUP(A$5:A$65536+age,Lifetable,2,1),"error"))</f>
        <v>5.3499999999999999E-2</v>
      </c>
      <c r="G24" s="43"/>
      <c r="H24" s="42">
        <f>G23*(1-omrPTHR)+H23*(1-standardRR-mr)</f>
        <v>615.02451768132391</v>
      </c>
      <c r="I24" s="42">
        <f>H23*standardRR+J23*rrr</f>
        <v>2.2223858421371943</v>
      </c>
      <c r="J24" s="42">
        <f>I23*(1-mr-omrRTHR)+J23*(1-mr-rrr)</f>
        <v>16.635442336306077</v>
      </c>
      <c r="K24" s="42">
        <f>H23*mr+(I23+J23)*mr+G23*omrPTHR+I23*omrRTHR+K23</f>
        <v>366.1176541402329</v>
      </c>
      <c r="L24" s="42">
        <f>SUM(G24:K24)</f>
        <v>1000</v>
      </c>
      <c r="M24" s="41">
        <f>(cPrimary*G24+cSuccess*H24+cRevision*I24+cSuccess*J24)/(1+cDR)^A$5:A$65536</f>
        <v>4121.9035363292169</v>
      </c>
      <c r="N24" s="40">
        <f>(J24+I24+H24)</f>
        <v>633.88234585976716</v>
      </c>
      <c r="O24" s="39">
        <f>(uSuccessP*H24+uRevision*PH!I24+uSuccessR*PH!J24)/(1+oDR)^A$5:A$65536</f>
        <v>409.92693323031659</v>
      </c>
      <c r="P24" s="36"/>
      <c r="Q24" s="36"/>
    </row>
    <row r="25" spans="1:17" x14ac:dyDescent="0.25">
      <c r="A25" s="4">
        <v>19</v>
      </c>
      <c r="C25" s="44">
        <f>1-EXP(lambda*(A24^gamma-A25^gamma))</f>
        <v>2.4873997543983783E-3</v>
      </c>
      <c r="E25" s="44">
        <f>IF(male=0,VLOOKUP(A$5:A$65536+age,Lifetable,3,1),IF(male=1,VLOOKUP(A$5:A$65536+age,Lifetable,2,1),"error"))</f>
        <v>5.3499999999999999E-2</v>
      </c>
      <c r="G25" s="43"/>
      <c r="H25" s="42">
        <f>G24*(1-omrPTHR)+H24*(1-standardRR-mr)</f>
        <v>580.59089415114363</v>
      </c>
      <c r="I25" s="42">
        <f>H24*standardRR+J24*rrr</f>
        <v>2.1952295276817493</v>
      </c>
      <c r="J25" s="42">
        <f>I24*(1-mr-omrRTHR)+J24*(1-mr-rrr)</f>
        <v>17.13906896060157</v>
      </c>
      <c r="K25" s="42">
        <f>H24*mr+(I24+J24)*mr+G24*omrPTHR+I24*omrRTHR+K24</f>
        <v>400.07480736057317</v>
      </c>
      <c r="L25" s="42">
        <f>SUM(G25:K25)</f>
        <v>1000</v>
      </c>
      <c r="M25" s="41">
        <f>(cPrimary*G25+cSuccess*H25+cRevision*I25+cSuccess*J25)/(1+cDR)^A$5:A$65536</f>
        <v>3841.0718641143972</v>
      </c>
      <c r="N25" s="40">
        <f>(J25+I25+H25)</f>
        <v>599.925192639427</v>
      </c>
      <c r="O25" s="39">
        <f>(uSuccessP*H25+uRevision*PH!I25+uSuccessR*PH!J25)/(1+oDR)^A$5:A$65536</f>
        <v>382.09039210874522</v>
      </c>
      <c r="P25" s="36"/>
      <c r="Q25" s="36"/>
    </row>
    <row r="26" spans="1:17" x14ac:dyDescent="0.25">
      <c r="A26" s="4">
        <v>20</v>
      </c>
      <c r="C26" s="44">
        <f>1-EXP(lambda*(A25^gamma-A26^gamma))</f>
        <v>2.5474531933036282E-3</v>
      </c>
      <c r="E26" s="44">
        <f>IF(male=0,VLOOKUP(A$5:A$65536+age,Lifetable,3,1),IF(male=1,VLOOKUP(A$5:A$65536+age,Lifetable,2,1),"error"))</f>
        <v>5.3499999999999999E-2</v>
      </c>
      <c r="G26" s="43"/>
      <c r="H26" s="42">
        <f>G25*(1-omrPTHR)+H25*(1-standardRR-mr)</f>
        <v>548.05025318674916</v>
      </c>
      <c r="I26" s="42">
        <f>H25*standardRR+J25*rrr</f>
        <v>2.1645908857324025</v>
      </c>
      <c r="J26" s="42">
        <f>I25*(1-mr-omrRTHR)+J25*(1-mr-rrr)</f>
        <v>17.570446170182464</v>
      </c>
      <c r="K26" s="42">
        <f>H25*mr+(I25+J25)*mr+G25*omrPTHR+I25*omrRTHR+K25</f>
        <v>432.21470975733615</v>
      </c>
      <c r="L26" s="42">
        <f>SUM(G26:K26)</f>
        <v>1000.0000000000002</v>
      </c>
      <c r="M26" s="41">
        <f>(cPrimary*G26+cSuccess*H26+cRevision*I26+cSuccess*J26)/(1+cDR)^A$5:A$65536</f>
        <v>3573.0776726935896</v>
      </c>
      <c r="N26" s="40">
        <f>(J26+I26+H26)</f>
        <v>567.78529024266402</v>
      </c>
      <c r="O26" s="39">
        <f>(uSuccessP*H26+uRevision*PH!I26+uSuccessR*PH!J26)/(1+oDR)^A$5:A$65536</f>
        <v>356.14073138485799</v>
      </c>
      <c r="P26" s="36"/>
      <c r="Q26" s="36"/>
    </row>
    <row r="27" spans="1:17" x14ac:dyDescent="0.25">
      <c r="A27" s="4">
        <v>21</v>
      </c>
      <c r="C27" s="44">
        <f>1-EXP(lambda*(A26^gamma-A27^gamma))</f>
        <v>2.6058425566612975E-3</v>
      </c>
      <c r="E27" s="44">
        <f>IF(male=0,VLOOKUP(A$5:A$65536+age,Lifetable,3,1),IF(male=1,VLOOKUP(A$5:A$65536+age,Lifetable,2,1),"error"))</f>
        <v>5.3499999999999999E-2</v>
      </c>
      <c r="G27" s="43"/>
      <c r="H27" s="42">
        <f>G26*(1-omrPTHR)+H26*(1-standardRR-mr)</f>
        <v>517.301431968315</v>
      </c>
      <c r="I27" s="42">
        <f>H26*standardRR+J26*rrr</f>
        <v>2.1309505197503285</v>
      </c>
      <c r="J27" s="42">
        <f>I26*(1-mr-omrRTHR)+J26*(1-mr-rrr)</f>
        <v>17.933102908901475</v>
      </c>
      <c r="K27" s="42">
        <f>H26*mr+(I26+J26)*mr+G26*omrPTHR+I26*omrRTHR+K26</f>
        <v>462.63451460303332</v>
      </c>
      <c r="L27" s="42">
        <f>SUM(G27:K27)</f>
        <v>1000</v>
      </c>
      <c r="M27" s="41">
        <f>(cPrimary*G27+cSuccess*H27+cRevision*I27+cSuccess*J27)/(1+cDR)^A$5:A$65536</f>
        <v>3318.4412404426357</v>
      </c>
      <c r="N27" s="40">
        <f>(J27+I27+H27)</f>
        <v>537.36548539696685</v>
      </c>
      <c r="O27" s="39">
        <f>(uSuccessP*H27+uRevision*PH!I27+uSuccessR*PH!J27)/(1+oDR)^A$5:A$65536</f>
        <v>331.95035279781411</v>
      </c>
      <c r="P27" s="36"/>
      <c r="Q27" s="36"/>
    </row>
    <row r="28" spans="1:17" x14ac:dyDescent="0.25">
      <c r="A28" s="4">
        <v>22</v>
      </c>
      <c r="C28" s="44">
        <f>1-EXP(lambda*(A27^gamma-A28^gamma))</f>
        <v>2.6626918868932758E-3</v>
      </c>
      <c r="E28" s="44">
        <f>IF(male=0,VLOOKUP(A$5:A$65536+age,Lifetable,3,1),IF(male=1,VLOOKUP(A$5:A$65536+age,Lifetable,2,1),"error"))</f>
        <v>5.3499999999999999E-2</v>
      </c>
      <c r="G28" s="43"/>
      <c r="H28" s="42">
        <f>G27*(1-omrPTHR)+H27*(1-standardRR-mr)</f>
        <v>488.24839103202987</v>
      </c>
      <c r="I28" s="42">
        <f>H27*standardRR+J27*rrr</f>
        <v>2.0947384423363653</v>
      </c>
      <c r="J28" s="42">
        <f>I27*(1-mr-omrRTHR)+J27*(1-mr-rrr)</f>
        <v>18.230683443467864</v>
      </c>
      <c r="K28" s="42">
        <f>H27*mr+(I27+J27)*mr+G27*omrPTHR+I27*omrRTHR+K27</f>
        <v>491.42618708216605</v>
      </c>
      <c r="L28" s="42">
        <f>SUM(G28:K28)</f>
        <v>1000.0000000000002</v>
      </c>
      <c r="M28" s="41">
        <f>(cPrimary*G28+cSuccess*H28+cRevision*I28+cSuccess*J28)/(1+cDR)^A$5:A$65536</f>
        <v>3077.405346954466</v>
      </c>
      <c r="N28" s="40">
        <f>(J28+I28+H28)</f>
        <v>508.57381291783412</v>
      </c>
      <c r="O28" s="39">
        <f>(uSuccessP*H28+uRevision*PH!I28+uSuccessR*PH!J28)/(1+oDR)^A$5:A$65536</f>
        <v>309.4002579945431</v>
      </c>
      <c r="P28" s="36"/>
      <c r="Q28" s="36"/>
    </row>
    <row r="29" spans="1:17" x14ac:dyDescent="0.25">
      <c r="A29" s="4">
        <v>23</v>
      </c>
      <c r="C29" s="44">
        <f>1-EXP(lambda*(A28^gamma-A29^gamma))</f>
        <v>2.7181106954937695E-3</v>
      </c>
      <c r="E29" s="44">
        <f>IF(male=0,VLOOKUP(A$5:A$65536+age,Lifetable,3,1),IF(male=1,VLOOKUP(A$5:A$65536+age,Lifetable,2,1),"error"))</f>
        <v>5.3499999999999999E-2</v>
      </c>
      <c r="G29" s="43"/>
      <c r="H29" s="42">
        <f>G28*(1-omrPTHR)+H28*(1-standardRR-mr)</f>
        <v>460.79998893809449</v>
      </c>
      <c r="I29" s="42">
        <f>H28*standardRR+J28*rrr</f>
        <v>2.0563405114604993</v>
      </c>
      <c r="J29" s="42">
        <f>I28*(1-mr-omrRTHR)+J28*(1-mr-rrr)</f>
        <v>18.46688970832826</v>
      </c>
      <c r="K29" s="42">
        <f>H28*mr+(I28+J28)*mr+G28*omrPTHR+I28*omrRTHR+K28</f>
        <v>518.67678084211695</v>
      </c>
      <c r="L29" s="42">
        <f>SUM(G29:K29)</f>
        <v>1000.0000000000002</v>
      </c>
      <c r="M29" s="41">
        <f>(cPrimary*G29+cSuccess*H29+cRevision*I29+cSuccess*J29)/(1+cDR)^A$5:A$65536</f>
        <v>2849.9947986614061</v>
      </c>
      <c r="N29" s="40">
        <f>(J29+I29+H29)</f>
        <v>481.32321915788327</v>
      </c>
      <c r="O29" s="39">
        <f>(uSuccessP*H29+uRevision*PH!I29+uSuccessR*PH!J29)/(1+oDR)^A$5:A$65536</f>
        <v>288.37947186424606</v>
      </c>
      <c r="P29" s="36"/>
      <c r="Q29" s="36"/>
    </row>
    <row r="30" spans="1:17" x14ac:dyDescent="0.25">
      <c r="A30" s="4">
        <v>24</v>
      </c>
      <c r="C30" s="44">
        <f>1-EXP(lambda*(A29^gamma-A30^gamma))</f>
        <v>2.7721962303374204E-3</v>
      </c>
      <c r="E30" s="44">
        <f>IF(male=0,VLOOKUP(A$5:A$65536+age,Lifetable,3,1),IF(male=1,VLOOKUP(A$5:A$65536+age,Lifetable,2,1),"error"))</f>
        <v>5.3499999999999999E-2</v>
      </c>
      <c r="G30" s="43"/>
      <c r="H30" s="42">
        <f>G29*(1-omrPTHR)+H29*(1-standardRR-mr)</f>
        <v>434.86976153763271</v>
      </c>
      <c r="I30" s="42">
        <f>H29*standardRR+J29*rrr</f>
        <v>2.016103580606841</v>
      </c>
      <c r="J30" s="42">
        <f>I29*(1-mr-omrRTHR)+J29*(1-mr-rrr)</f>
        <v>18.645435004467721</v>
      </c>
      <c r="K30" s="42">
        <f>H29*mr+(I29+J29)*mr+G29*omrPTHR+I29*omrRTHR+K29</f>
        <v>544.46869987729292</v>
      </c>
      <c r="L30" s="42">
        <f>SUM(G30:K30)</f>
        <v>1000.0000000000002</v>
      </c>
      <c r="M30" s="41">
        <f>(cPrimary*G30+cSuccess*H30+cRevision*I30+cSuccess*J30)/(1+cDR)^A$5:A$65536</f>
        <v>2636.0643728226637</v>
      </c>
      <c r="N30" s="40">
        <f>(J30+I30+H30)</f>
        <v>455.53130012270725</v>
      </c>
      <c r="O30" s="39">
        <f>(uSuccessP*H30+uRevision*PH!I30+uSuccessR*PH!J30)/(1+oDR)^A$5:A$65536</f>
        <v>268.78450425433573</v>
      </c>
      <c r="P30" s="36"/>
      <c r="Q30" s="36"/>
    </row>
    <row r="31" spans="1:17" x14ac:dyDescent="0.25">
      <c r="A31" s="4">
        <v>25</v>
      </c>
      <c r="C31" s="44">
        <f>1-EXP(lambda*(A30^gamma-A31^gamma))</f>
        <v>2.8250353084126045E-3</v>
      </c>
      <c r="E31" s="44">
        <f>IF(male=0,VLOOKUP(A$5:A$65536+age,Lifetable,3,1),IF(male=1,VLOOKUP(A$5:A$65536+age,Lifetable,2,1),"error"))</f>
        <v>0.15480000000000002</v>
      </c>
      <c r="G31" s="43"/>
      <c r="H31" s="42">
        <f>G30*(1-omrPTHR)+H30*(1-standardRR-mr)</f>
        <v>366.32340002070237</v>
      </c>
      <c r="I31" s="42">
        <f>H30*standardRR+J30*rrr</f>
        <v>1.974339831083491</v>
      </c>
      <c r="J31" s="42">
        <f>I30*(1-mr-omrRTHR)+J30*(1-mr-rrr)</f>
        <v>16.676992940314172</v>
      </c>
      <c r="K31" s="42">
        <f>H30*mr+(I30+J30)*mr+G30*omrPTHR+I30*omrRTHR+K30</f>
        <v>615.02526720790013</v>
      </c>
      <c r="L31" s="42">
        <f>SUM(G31:K31)</f>
        <v>1000.0000000000002</v>
      </c>
      <c r="M31" s="41">
        <f>(cPrimary*G31+cSuccess*H31+cRevision*I31+cSuccess*J31)/(1+cDR)^A$5:A$65536</f>
        <v>2435.3378161354999</v>
      </c>
      <c r="N31" s="40">
        <f>(J31+I31+H31)</f>
        <v>384.97473279210004</v>
      </c>
      <c r="O31" s="39">
        <f>(uSuccessP*H31+uRevision*PH!I31+uSuccessR*PH!J31)/(1+oDR)^A$5:A$65536</f>
        <v>223.63001870021876</v>
      </c>
      <c r="P31" s="36"/>
      <c r="Q31" s="36"/>
    </row>
    <row r="32" spans="1:17" x14ac:dyDescent="0.25">
      <c r="A32" s="4">
        <v>26</v>
      </c>
      <c r="C32" s="44">
        <f>1-EXP(lambda*(A31^gamma-A32^gamma))</f>
        <v>2.8767058115199973E-3</v>
      </c>
      <c r="E32" s="44">
        <f>IF(male=0,VLOOKUP(A$5:A$65536+age,Lifetable,3,1),IF(male=1,VLOOKUP(A$5:A$65536+age,Lifetable,2,1),"error"))</f>
        <v>0.15480000000000002</v>
      </c>
      <c r="G32" s="43"/>
      <c r="H32" s="42">
        <f>G31*(1-omrPTHR)+H31*(1-standardRR-mr)</f>
        <v>308.56273304376231</v>
      </c>
      <c r="I32" s="42">
        <f>H31*standardRR+J31*rrr</f>
        <v>1.7208843713478861</v>
      </c>
      <c r="J32" s="42">
        <f>I31*(1-mr-omrRTHR)+J31*(1-mr-rrr)</f>
        <v>15.057539944151065</v>
      </c>
      <c r="K32" s="42">
        <f>H31*mr+(I31+J31)*mr+G31*omrPTHR+I31*omrRTHR+K31</f>
        <v>674.65884264073884</v>
      </c>
      <c r="L32" s="42">
        <f>SUM(G32:K32)</f>
        <v>1000.0000000000001</v>
      </c>
      <c r="M32" s="41">
        <f>(cPrimary*G32+cSuccess*H32+cRevision*I32+cSuccess*J32)/(1+cDR)^A$5:A$65536</f>
        <v>2002.548903038941</v>
      </c>
      <c r="N32" s="40">
        <f>(J32+I32+H32)</f>
        <v>325.34115735926127</v>
      </c>
      <c r="O32" s="39">
        <f>(uSuccessP*H32+uRevision*PH!I32+uSuccessR*PH!J32)/(1+oDR)^A$5:A$65536</f>
        <v>186.11120316046524</v>
      </c>
      <c r="P32" s="36"/>
      <c r="Q32" s="36"/>
    </row>
    <row r="33" spans="1:17" x14ac:dyDescent="0.25">
      <c r="A33" s="4">
        <v>27</v>
      </c>
      <c r="C33" s="44">
        <f>1-EXP(lambda*(A32^gamma-A33^gamma))</f>
        <v>2.9272779176283681E-3</v>
      </c>
      <c r="E33" s="44">
        <f>IF(male=0,VLOOKUP(A$5:A$65536+age,Lifetable,3,1),IF(male=1,VLOOKUP(A$5:A$65536+age,Lifetable,2,1),"error"))</f>
        <v>0.15480000000000002</v>
      </c>
      <c r="G33" s="43"/>
      <c r="H33" s="42">
        <f>G32*(1-omrPTHR)+H32*(1-standardRR-mr)</f>
        <v>259.89397309394582</v>
      </c>
      <c r="I33" s="42">
        <f>H32*standardRR+J32*rrr</f>
        <v>1.5055504724081052</v>
      </c>
      <c r="J33" s="42">
        <f>I32*(1-mr-omrRTHR)+J32*(1-mr-rrr)</f>
        <v>13.544404946266713</v>
      </c>
      <c r="K33" s="42">
        <f>H32*mr+(I32+J32)*mr+G32*omrPTHR+I32*omrRTHR+K32</f>
        <v>725.05607148737943</v>
      </c>
      <c r="L33" s="42">
        <f>SUM(G33:K33)</f>
        <v>1000</v>
      </c>
      <c r="M33" s="41">
        <f>(cPrimary*G33+cSuccess*H33+cRevision*I33+cSuccess*J33)/(1+cDR)^A$5:A$65536</f>
        <v>1652.8022458225576</v>
      </c>
      <c r="N33" s="40">
        <f>(J33+I33+H33)</f>
        <v>274.94392851262063</v>
      </c>
      <c r="O33" s="39">
        <f>(uSuccessP*H33+uRevision*PH!I33+uSuccessR*PH!J33)/(1+oDR)^A$5:A$65536</f>
        <v>154.8834750464226</v>
      </c>
      <c r="P33" s="36"/>
      <c r="Q33" s="36"/>
    </row>
    <row r="34" spans="1:17" x14ac:dyDescent="0.25">
      <c r="A34" s="4">
        <v>28</v>
      </c>
      <c r="C34" s="44">
        <f>1-EXP(lambda*(A33^gamma-A34^gamma))</f>
        <v>2.9768151227684836E-3</v>
      </c>
      <c r="E34" s="44">
        <f>IF(male=0,VLOOKUP(A$5:A$65536+age,Lifetable,3,1),IF(male=1,VLOOKUP(A$5:A$65536+age,Lifetable,2,1),"error"))</f>
        <v>0.15480000000000002</v>
      </c>
      <c r="G34" s="43"/>
      <c r="H34" s="42">
        <f>G33*(1-omrPTHR)+H33*(1-standardRR-mr)</f>
        <v>218.88872974958056</v>
      </c>
      <c r="I34" s="42">
        <f>H33*standardRR+J33*rrr</f>
        <v>1.3154325072731119</v>
      </c>
      <c r="J34" s="42">
        <f>I33*(1-mr-omrRTHR)+J33*(1-mr-rrr)</f>
        <v>12.148335112565125</v>
      </c>
      <c r="K34" s="42">
        <f>H33*mr+(I33+J33)*mr+G33*omrPTHR+I33*omrRTHR+K33</f>
        <v>767.64750263058124</v>
      </c>
      <c r="L34" s="42">
        <f>SUM(G34:K34)</f>
        <v>1000</v>
      </c>
      <c r="M34" s="41">
        <f>(cPrimary*G34+cSuccess*H34+cRevision*I34+cSuccess*J34)/(1+cDR)^A$5:A$65536</f>
        <v>1362.348693512844</v>
      </c>
      <c r="N34" s="40">
        <f>(J34+I34+H34)</f>
        <v>232.35249736941881</v>
      </c>
      <c r="O34" s="39">
        <f>(uSuccessP*H34+uRevision*PH!I34+uSuccessR*PH!J34)/(1+oDR)^A$5:A$65536</f>
        <v>128.89430693742838</v>
      </c>
      <c r="P34" s="36"/>
      <c r="Q34" s="36"/>
    </row>
    <row r="35" spans="1:17" x14ac:dyDescent="0.25">
      <c r="A35" s="4">
        <v>29</v>
      </c>
      <c r="C35" s="44">
        <f>1-EXP(lambda*(A34^gamma-A35^gamma))</f>
        <v>3.0253750953738168E-3</v>
      </c>
      <c r="E35" s="44">
        <f>IF(male=0,VLOOKUP(A$5:A$65536+age,Lifetable,3,1),IF(male=1,VLOOKUP(A$5:A$65536+age,Lifetable,2,1),"error"))</f>
        <v>0.15480000000000002</v>
      </c>
      <c r="G35" s="43"/>
      <c r="H35" s="42">
        <f>G34*(1-omrPTHR)+H34*(1-standardRR-mr)</f>
        <v>184.34253387270309</v>
      </c>
      <c r="I35" s="42">
        <f>H34*standardRR+J34*rrr</f>
        <v>1.1481539161449958</v>
      </c>
      <c r="J35" s="42">
        <f>I34*(1-mr-omrRTHR)+J34*(1-mr-rrr)</f>
        <v>10.867334337639209</v>
      </c>
      <c r="K35" s="42">
        <f>H34*mr+(I34+J34)*mr+G34*omrPTHR+I34*omrRTHR+K34</f>
        <v>803.6419778735127</v>
      </c>
      <c r="L35" s="42">
        <f>SUM(G35:K35)</f>
        <v>1000</v>
      </c>
      <c r="M35" s="41">
        <f>(cPrimary*G35+cSuccess*H35+cRevision*I35+cSuccess*J35)/(1+cDR)^A$5:A$65536</f>
        <v>1121.796177276585</v>
      </c>
      <c r="N35" s="40">
        <f>(J35+I35+H35)</f>
        <v>196.3580221264873</v>
      </c>
      <c r="O35" s="39">
        <f>(uSuccessP*H35+uRevision*PH!I35+uSuccessR*PH!J35)/(1+oDR)^A$5:A$65536</f>
        <v>107.26505910107261</v>
      </c>
      <c r="P35" s="36"/>
      <c r="Q35" s="36"/>
    </row>
    <row r="36" spans="1:17" x14ac:dyDescent="0.25">
      <c r="A36" s="4">
        <v>30</v>
      </c>
      <c r="C36" s="44">
        <f>1-EXP(lambda*(A35^gamma-A36^gamma))</f>
        <v>3.0730103954259569E-3</v>
      </c>
      <c r="E36" s="44">
        <f>IF(male=0,VLOOKUP(A$5:A$65536+age,Lifetable,3,1),IF(male=1,VLOOKUP(A$5:A$65536+age,Lifetable,2,1),"error"))</f>
        <v>0.15480000000000002</v>
      </c>
      <c r="G36" s="43"/>
      <c r="H36" s="42">
        <f>G35*(1-omrPTHR)+H35*(1-standardRR-mr)</f>
        <v>155.23982310629867</v>
      </c>
      <c r="I36" s="42">
        <f>H35*standardRR+J35*rrr</f>
        <v>1.0011798964155465</v>
      </c>
      <c r="J36" s="42">
        <f>I35*(1-mr-omrRTHR)+J35*(1-mr-rrr)</f>
        <v>9.6978342202699412</v>
      </c>
      <c r="K36" s="42">
        <f>H35*mr+(I35+J35)*mr+G35*omrPTHR+I35*omrRTHR+K35</f>
        <v>834.06116277701585</v>
      </c>
      <c r="L36" s="42">
        <f>SUM(G36:K36)</f>
        <v>1000</v>
      </c>
      <c r="M36" s="41">
        <f>(cPrimary*G36+cSuccess*H36+cRevision*I36+cSuccess*J36)/(1+cDR)^A$5:A$65536</f>
        <v>922.82658962205221</v>
      </c>
      <c r="N36" s="40">
        <f>(J36+I36+H36)</f>
        <v>165.93883722298415</v>
      </c>
      <c r="O36" s="39">
        <f>(uSuccessP*H36+uRevision*PH!I36+uSuccessR*PH!J36)/(1+oDR)^A$5:A$65536</f>
        <v>89.264503155612545</v>
      </c>
      <c r="P36" s="36"/>
      <c r="Q36" s="36"/>
    </row>
    <row r="37" spans="1:17" x14ac:dyDescent="0.25">
      <c r="A37" s="4">
        <v>31</v>
      </c>
      <c r="C37" s="44">
        <f>1-EXP(lambda*(A36^gamma-A37^gamma))</f>
        <v>3.1197690836320957E-3</v>
      </c>
      <c r="E37" s="44">
        <f>IF(male=0,VLOOKUP(A$5:A$65536+age,Lifetable,3,1),IF(male=1,VLOOKUP(A$5:A$65536+age,Lifetable,2,1),"error"))</f>
        <v>0.15480000000000002</v>
      </c>
      <c r="G37" s="43"/>
      <c r="H37" s="42">
        <f>G36*(1-omrPTHR)+H36*(1-standardRR-mr)</f>
        <v>130.72438608876809</v>
      </c>
      <c r="I37" s="42">
        <f>H36*standardRR+J36*rrr</f>
        <v>0.87222576948634367</v>
      </c>
      <c r="J37" s="42">
        <f>I36*(1-mr-omrRTHR)+J36*(1-mr-rrr)</f>
        <v>8.6348697646834651</v>
      </c>
      <c r="K37" s="42">
        <f>H36*mr+(I36+J36)*mr+G36*omrPTHR+I36*omrRTHR+K36</f>
        <v>859.76851837706215</v>
      </c>
      <c r="L37" s="42">
        <f>SUM(G37:K37)</f>
        <v>1000</v>
      </c>
      <c r="M37" s="41">
        <f>(cPrimary*G37+cSuccess*H37+cRevision*I37+cSuccess*J37)/(1+cDR)^A$5:A$65536</f>
        <v>758.45711071669371</v>
      </c>
      <c r="N37" s="40">
        <f>(J37+I37+H37)</f>
        <v>140.23148162293791</v>
      </c>
      <c r="O37" s="39">
        <f>(uSuccessP*H37+uRevision*PH!I37+uSuccessR*PH!J37)/(1+oDR)^A$5:A$65536</f>
        <v>74.28401220552314</v>
      </c>
      <c r="P37" s="36"/>
      <c r="Q37" s="36"/>
    </row>
    <row r="38" spans="1:17" x14ac:dyDescent="0.25">
      <c r="A38" s="4">
        <v>32</v>
      </c>
      <c r="C38" s="44">
        <f>1-EXP(lambda*(A37^gamma-A38^gamma))</f>
        <v>3.1656952404857108E-3</v>
      </c>
      <c r="E38" s="44">
        <f>IF(male=0,VLOOKUP(A$5:A$65536+age,Lifetable,3,1),IF(male=1,VLOOKUP(A$5:A$65536+age,Lifetable,2,1),"error"))</f>
        <v>0.15480000000000002</v>
      </c>
      <c r="G38" s="43"/>
      <c r="H38" s="42">
        <f>G37*(1-omrPTHR)+H37*(1-standardRR-mr)</f>
        <v>110.07441755537015</v>
      </c>
      <c r="I38" s="42">
        <f>H37*standardRR+J37*rrr</f>
        <v>0.75922835744396822</v>
      </c>
      <c r="J38" s="42">
        <f>I37*(1-mr-omrRTHR)+J37*(1-mr-rrr)</f>
        <v>7.6725578395032565</v>
      </c>
      <c r="K38" s="42">
        <f>H37*mr+(I37+J37)*mr+G37*omrPTHR+I37*omrRTHR+K37</f>
        <v>881.49379624768267</v>
      </c>
      <c r="L38" s="42">
        <f>SUM(G38:K38)</f>
        <v>1000</v>
      </c>
      <c r="M38" s="41">
        <f>(cPrimary*G38+cSuccess*H38+cRevision*I38+cSuccess*J38)/(1+cDR)^A$5:A$65536</f>
        <v>622.82877540729123</v>
      </c>
      <c r="N38" s="40">
        <f>(J38+I38+H38)</f>
        <v>118.50620375231738</v>
      </c>
      <c r="O38" s="39">
        <f>(uSuccessP*H38+uRevision*PH!I38+uSuccessR*PH!J38)/(1+oDR)^A$5:A$65536</f>
        <v>61.817014475277986</v>
      </c>
      <c r="P38" s="36"/>
      <c r="Q38" s="36"/>
    </row>
    <row r="39" spans="1:17" x14ac:dyDescent="0.25">
      <c r="A39" s="4">
        <v>33</v>
      </c>
      <c r="C39" s="44">
        <f>1-EXP(lambda*(A38^gamma-A39^gamma))</f>
        <v>3.2108294109639557E-3</v>
      </c>
      <c r="E39" s="44">
        <f>IF(male=0,VLOOKUP(A$5:A$65536+age,Lifetable,3,1),IF(male=1,VLOOKUP(A$5:A$65536+age,Lifetable,2,1),"error"))</f>
        <v>0.15480000000000002</v>
      </c>
      <c r="G39" s="43"/>
      <c r="H39" s="42">
        <f>G38*(1-omrPTHR)+H38*(1-standardRR-mr)</f>
        <v>92.681467540517332</v>
      </c>
      <c r="I39" s="42">
        <f>H38*standardRR+J38*rrr</f>
        <v>0.66033249086163992</v>
      </c>
      <c r="J39" s="42">
        <f>I38*(1-mr-omrRTHR)+J38*(1-mr-rrr)</f>
        <v>6.8044588129307844</v>
      </c>
      <c r="K39" s="42">
        <f>H38*mr+(I38+J38)*mr+G38*omrPTHR+I38*omrRTHR+K38</f>
        <v>899.85374115569027</v>
      </c>
      <c r="L39" s="42">
        <f>SUM(G39:K39)</f>
        <v>1000</v>
      </c>
      <c r="M39" s="41">
        <f>(cPrimary*G39+cSuccess*H39+cRevision*I39+cSuccess*J39)/(1+cDR)^A$5:A$65536</f>
        <v>511.03782956089213</v>
      </c>
      <c r="N39" s="40">
        <f>(J39+I39+H39)</f>
        <v>100.14625884430976</v>
      </c>
      <c r="O39" s="39">
        <f>(uSuccessP*H39+uRevision*PH!I39+uSuccessR*PH!J39)/(1+oDR)^A$5:A$65536</f>
        <v>51.441885611153843</v>
      </c>
      <c r="P39" s="36"/>
      <c r="Q39" s="36"/>
    </row>
    <row r="40" spans="1:17" x14ac:dyDescent="0.25">
      <c r="A40" s="4">
        <v>34</v>
      </c>
      <c r="C40" s="44">
        <f>1-EXP(lambda*(A39^gamma-A40^gamma))</f>
        <v>3.2552089874650081E-3</v>
      </c>
      <c r="E40" s="44">
        <f>IF(male=0,VLOOKUP(A$5:A$65536+age,Lifetable,3,1),IF(male=1,VLOOKUP(A$5:A$65536+age,Lifetable,2,1),"error"))</f>
        <v>0.15480000000000002</v>
      </c>
      <c r="G40" s="43"/>
      <c r="H40" s="42">
        <f>G39*(1-omrPTHR)+H39*(1-standardRR-mr)</f>
        <v>78.03267881913591</v>
      </c>
      <c r="I40" s="42">
        <f>H39*standardRR+J39*rrr</f>
        <v>0.57387589862656974</v>
      </c>
      <c r="J40" s="42">
        <f>I39*(1-mr-omrRTHR)+J39*(1-mr-rrr)</f>
        <v>6.0238566076308926</v>
      </c>
      <c r="K40" s="42">
        <f>H39*mr+(I39+J39)*mr+G39*omrPTHR+I39*omrRTHR+K39</f>
        <v>915.36958867460669</v>
      </c>
      <c r="L40" s="42">
        <f>SUM(G40:K40)</f>
        <v>1000</v>
      </c>
      <c r="M40" s="41">
        <f>(cPrimary*G40+cSuccess*H40+cRevision*I40+cSuccess*J40)/(1+cDR)^A$5:A$65536</f>
        <v>418.9888866451318</v>
      </c>
      <c r="N40" s="40">
        <f>(J40+I40+H40)</f>
        <v>84.630411325393368</v>
      </c>
      <c r="O40" s="39">
        <f>(uSuccessP*H40+uRevision*PH!I40+uSuccessR*PH!J40)/(1+oDR)^A$5:A$65536</f>
        <v>42.807707954557713</v>
      </c>
      <c r="P40" s="36"/>
      <c r="Q40" s="36"/>
    </row>
    <row r="41" spans="1:17" x14ac:dyDescent="0.25">
      <c r="A41" s="4">
        <v>35</v>
      </c>
      <c r="C41" s="44">
        <f>1-EXP(lambda*(A40^gamma-A41^gamma))</f>
        <v>3.2988685411393659E-3</v>
      </c>
      <c r="E41" s="44">
        <f>IF(male=0,VLOOKUP(A$5:A$65536+age,Lifetable,3,1),IF(male=1,VLOOKUP(A$5:A$65536+age,Lifetable,2,1),"error"))</f>
        <v>0.15480000000000002</v>
      </c>
      <c r="G41" s="43"/>
      <c r="H41" s="42">
        <f>G40*(1-omrPTHR)+H40*(1-standardRR-mr)</f>
        <v>65.695800588596384</v>
      </c>
      <c r="I41" s="42">
        <f>H40*standardRR+J40*rrr</f>
        <v>0.49837381364251526</v>
      </c>
      <c r="J41" s="42">
        <f>I40*(1-mr-omrRTHR)+J40*(1-mr-rrr)</f>
        <v>5.3239717320110396</v>
      </c>
      <c r="K41" s="42">
        <f>H40*mr+(I40+J40)*mr+G40*omrPTHR+I40*omrRTHR+K40</f>
        <v>928.48185386575017</v>
      </c>
      <c r="L41" s="42">
        <f>SUM(G41:K41)</f>
        <v>1000.0000000000001</v>
      </c>
      <c r="M41" s="41">
        <f>(cPrimary*G41+cSuccess*H41+cRevision*I41+cSuccess*J41)/(1+cDR)^A$5:A$65536</f>
        <v>343.26843304220858</v>
      </c>
      <c r="N41" s="40">
        <f>(J41+I41+H41)</f>
        <v>71.518146134249946</v>
      </c>
      <c r="O41" s="39">
        <f>(uSuccessP*H41+uRevision*PH!I41+uSuccessR*PH!J41)/(1+oDR)^A$5:A$65536</f>
        <v>35.622416372640792</v>
      </c>
      <c r="P41" s="36"/>
      <c r="Q41" s="36"/>
    </row>
    <row r="42" spans="1:17" x14ac:dyDescent="0.25">
      <c r="A42" s="4">
        <v>36</v>
      </c>
      <c r="C42" s="44">
        <f>1-EXP(lambda*(A41^gamma-A42^gamma))</f>
        <v>3.3418401098594952E-3</v>
      </c>
      <c r="E42" s="44">
        <f>IF(male=0,VLOOKUP(A$5:A$65536+age,Lifetable,3,1),IF(male=1,VLOOKUP(A$5:A$65536+age,Lifetable,2,1),"error"))</f>
        <v>0.15480000000000002</v>
      </c>
      <c r="G42" s="43"/>
      <c r="H42" s="42">
        <f>G41*(1-omrPTHR)+H41*(1-standardRR-mr)</f>
        <v>55.306545796025361</v>
      </c>
      <c r="I42" s="42">
        <f>H41*standardRR+J41*rrr</f>
        <v>0.43250373073674397</v>
      </c>
      <c r="J42" s="42">
        <f>I41*(1-mr-omrRTHR)+J41*(1-mr-rrr)</f>
        <v>4.6981201096330922</v>
      </c>
      <c r="K42" s="42">
        <f>H41*mr+(I41+J41)*mr+G41*omrPTHR+I41*omrRTHR+K41</f>
        <v>939.56283036360492</v>
      </c>
      <c r="L42" s="42">
        <f>SUM(G42:K42)</f>
        <v>1000.0000000000001</v>
      </c>
      <c r="M42" s="41">
        <f>(cPrimary*G42+cSuccess*H42+cRevision*I42+cSuccess*J42)/(1+cDR)^A$5:A$65536</f>
        <v>281.0364464683517</v>
      </c>
      <c r="N42" s="40">
        <f>(J42+I42+H42)</f>
        <v>60.437169636395197</v>
      </c>
      <c r="O42" s="39">
        <f>(uSuccessP*H42+uRevision*PH!I42+uSuccessR*PH!J42)/(1+oDR)^A$5:A$65536</f>
        <v>29.642930842532195</v>
      </c>
      <c r="P42" s="36"/>
      <c r="Q42" s="36"/>
    </row>
    <row r="43" spans="1:17" x14ac:dyDescent="0.25">
      <c r="A43" s="4">
        <v>37</v>
      </c>
      <c r="C43" s="44">
        <f>1-EXP(lambda*(A42^gamma-A43^gamma))</f>
        <v>3.3841534495534509E-3</v>
      </c>
      <c r="E43" s="44">
        <f>IF(male=0,VLOOKUP(A$5:A$65536+age,Lifetable,3,1),IF(male=1,VLOOKUP(A$5:A$65536+age,Lifetable,2,1),"error"))</f>
        <v>0.15480000000000002</v>
      </c>
      <c r="G43" s="43"/>
      <c r="H43" s="42">
        <f>G42*(1-omrPTHR)+H42*(1-standardRR-mr)</f>
        <v>46.557926669062127</v>
      </c>
      <c r="I43" s="42">
        <f>H42*standardRR+J42*rrr</f>
        <v>0.37509064212382881</v>
      </c>
      <c r="J43" s="42">
        <f>I42*(1-mr-omrRTHR)+J42*(1-mr-rrr)</f>
        <v>4.1398283908805267</v>
      </c>
      <c r="K43" s="42">
        <f>H42*mr+(I42+J42)*mr+G42*omrPTHR+I42*omrRTHR+K42</f>
        <v>948.92715429793361</v>
      </c>
      <c r="L43" s="42">
        <f>SUM(G43:K43)</f>
        <v>1000.0000000000001</v>
      </c>
      <c r="M43" s="41">
        <f>(cPrimary*G43+cSuccess*H43+cRevision*I43+cSuccess*J43)/(1+cDR)^A$5:A$65536</f>
        <v>229.93397725703386</v>
      </c>
      <c r="N43" s="40">
        <f>(J43+I43+H43)</f>
        <v>51.072845702066481</v>
      </c>
      <c r="O43" s="39">
        <f>(uSuccessP*H43+uRevision*PH!I43+uSuccessR*PH!J43)/(1+oDR)^A$5:A$65536</f>
        <v>24.666942928358868</v>
      </c>
      <c r="P43" s="36"/>
      <c r="Q43" s="36"/>
    </row>
    <row r="44" spans="1:17" x14ac:dyDescent="0.25">
      <c r="A44" s="4">
        <v>38</v>
      </c>
      <c r="C44" s="44">
        <f>1-EXP(lambda*(A43^gamma-A44^gamma))</f>
        <v>3.4258362544402621E-3</v>
      </c>
      <c r="E44" s="44">
        <f>IF(male=0,VLOOKUP(A$5:A$65536+age,Lifetable,3,1),IF(male=1,VLOOKUP(A$5:A$65536+age,Lifetable,2,1),"error"))</f>
        <v>0.15480000000000002</v>
      </c>
      <c r="G44" s="43"/>
      <c r="H44" s="42">
        <f>G43*(1-omrPTHR)+H43*(1-standardRR-mr)</f>
        <v>39.191259787576861</v>
      </c>
      <c r="I44" s="42">
        <f>H43*standardRR+J43*rrr</f>
        <v>0.32509296874966526</v>
      </c>
      <c r="J44" s="42">
        <f>I43*(1-mr-omrRTHR)+J43*(1-mr-rrr)</f>
        <v>3.6429146182175831</v>
      </c>
      <c r="K44" s="42">
        <f>H43*mr+(I43+J43)*mr+G43*omrPTHR+I43*omrRTHR+K43</f>
        <v>956.84073262545598</v>
      </c>
      <c r="L44" s="42">
        <f>SUM(G44:K44)</f>
        <v>1000.0000000000001</v>
      </c>
      <c r="M44" s="41">
        <f>(cPrimary*G44+cSuccess*H44+cRevision*I44+cSuccess*J44)/(1+cDR)^A$5:A$65536</f>
        <v>188.00466835706101</v>
      </c>
      <c r="N44" s="40">
        <f>(J44+I44+H44)</f>
        <v>43.159267374544108</v>
      </c>
      <c r="O44" s="39">
        <f>(uSuccessP*H44+uRevision*PH!I44+uSuccessR*PH!J44)/(1+oDR)^A$5:A$65536</f>
        <v>20.526079035390421</v>
      </c>
      <c r="P44" s="36"/>
      <c r="Q44" s="36"/>
    </row>
    <row r="45" spans="1:17" x14ac:dyDescent="0.25">
      <c r="A45" s="4">
        <v>39</v>
      </c>
      <c r="C45" s="44">
        <f>1-EXP(lambda*(A44^gamma-A45^gamma))</f>
        <v>3.4669143507320976E-3</v>
      </c>
      <c r="E45" s="44">
        <f>IF(male=0,VLOOKUP(A$5:A$65536+age,Lifetable,3,1),IF(male=1,VLOOKUP(A$5:A$65536+age,Lifetable,2,1),"error"))</f>
        <v>0.15480000000000002</v>
      </c>
      <c r="G45" s="43"/>
      <c r="H45" s="42">
        <f>G44*(1-omrPTHR)+H44*(1-standardRR-mr)</f>
        <v>32.988580031479138</v>
      </c>
      <c r="I45" s="42">
        <f>H44*standardRR+J44*rrr</f>
        <v>0.28158932570952333</v>
      </c>
      <c r="J45" s="42">
        <f>I44*(1-mr-omrRTHR)+J44*(1-mr-rrr)</f>
        <v>3.2015415684010211</v>
      </c>
      <c r="K45" s="42">
        <f>H44*mr+(I44+J44)*mr+G44*omrPTHR+I44*omrRTHR+K44</f>
        <v>963.5282890744104</v>
      </c>
      <c r="L45" s="42">
        <f>SUM(G45:K45)</f>
        <v>1000.0000000000001</v>
      </c>
      <c r="M45" s="41">
        <f>(cPrimary*G45+cSuccess*H45+cRevision*I45+cSuccess*J45)/(1+cDR)^A$5:A$65536</f>
        <v>153.62835471318866</v>
      </c>
      <c r="N45" s="40">
        <f>(J45+I45+H45)</f>
        <v>36.471710925589683</v>
      </c>
      <c r="O45" s="39">
        <f>(uSuccessP*H45+uRevision*PH!I45+uSuccessR*PH!J45)/(1+oDR)^A$5:A$65536</f>
        <v>17.080209739170844</v>
      </c>
      <c r="P45" s="36"/>
      <c r="Q45" s="36"/>
    </row>
    <row r="46" spans="1:17" x14ac:dyDescent="0.25">
      <c r="A46" s="4">
        <v>40</v>
      </c>
      <c r="C46" s="44">
        <f>1-EXP(lambda*(A45^gamma-A46^gamma))</f>
        <v>3.5074118676067245E-3</v>
      </c>
      <c r="E46" s="44">
        <f>IF(male=0,VLOOKUP(A$5:A$65536+age,Lifetable,3,1),IF(male=1,VLOOKUP(A$5:A$65536+age,Lifetable,2,1),"error"))</f>
        <v>0.15480000000000002</v>
      </c>
      <c r="G46" s="43"/>
      <c r="H46" s="42">
        <f>G45*(1-omrPTHR)+H45*(1-standardRR-mr)</f>
        <v>27.766243305508262</v>
      </c>
      <c r="I46" s="42">
        <f>H45*standardRR+J45*rrr</f>
        <v>0.24376619983394499</v>
      </c>
      <c r="J46" s="42">
        <f>I45*(1-mr-omrRTHR)+J45*(1-mr-rrr)</f>
        <v>2.8102487824520006</v>
      </c>
      <c r="K46" s="42">
        <f>H45*mr+(I45+J45)*mr+G45*omrPTHR+I45*omrRTHR+K45</f>
        <v>969.1797417122059</v>
      </c>
      <c r="L46" s="42">
        <f>SUM(G46:K46)</f>
        <v>1000.0000000000001</v>
      </c>
      <c r="M46" s="41">
        <f>(cPrimary*G46+cSuccess*H46+cRevision*I46+cSuccess*J46)/(1+cDR)^A$5:A$65536</f>
        <v>125.46506425797442</v>
      </c>
      <c r="N46" s="40">
        <f>(J46+I46+H46)</f>
        <v>30.820258287794207</v>
      </c>
      <c r="O46" s="39">
        <f>(uSuccessP*H46+uRevision*PH!I46+uSuccessR*PH!J46)/(1+oDR)^A$5:A$65536</f>
        <v>14.212713130838159</v>
      </c>
      <c r="P46" s="36"/>
      <c r="Q46" s="36"/>
    </row>
    <row r="47" spans="1:17" x14ac:dyDescent="0.25">
      <c r="A47" s="4">
        <v>41</v>
      </c>
      <c r="C47" s="44">
        <f>1-EXP(lambda*(A46^gamma-A47^gamma))</f>
        <v>3.5473513886211672E-3</v>
      </c>
      <c r="E47" s="44">
        <f>IF(male=0,VLOOKUP(A$5:A$65536+age,Lifetable,3,1),IF(male=1,VLOOKUP(A$5:A$65536+age,Lifetable,2,1),"error"))</f>
        <v>0.15480000000000002</v>
      </c>
      <c r="G47" s="43"/>
      <c r="H47" s="42">
        <f>G46*(1-omrPTHR)+H46*(1-standardRR-mr)</f>
        <v>23.369532220068994</v>
      </c>
      <c r="I47" s="42">
        <f>H46*standardRR+J46*rrr</f>
        <v>0.21090657304466795</v>
      </c>
      <c r="J47" s="42">
        <f>I46*(1-mr-omrRTHR)+J46*(1-mr-rrr)</f>
        <v>2.4639681877333217</v>
      </c>
      <c r="K47" s="42">
        <f>H46*mr+(I46+J46)*mr+G46*omrPTHR+I46*omrRTHR+K46</f>
        <v>973.95559301915307</v>
      </c>
      <c r="L47" s="42">
        <f>SUM(G47:K47)</f>
        <v>1000</v>
      </c>
      <c r="M47" s="41">
        <f>(cPrimary*G47+cSuccess*H47+cRevision*I47+cSuccess*J47)/(1+cDR)^A$5:A$65536</f>
        <v>102.40792727073836</v>
      </c>
      <c r="N47" s="40">
        <f>(J47+I47+H47)</f>
        <v>26.044406980846983</v>
      </c>
      <c r="O47" s="39">
        <f>(uSuccessP*H47+uRevision*PH!I47+uSuccessR*PH!J47)/(1+oDR)^A$5:A$65536</f>
        <v>11.8265322931081</v>
      </c>
      <c r="P47" s="36"/>
      <c r="Q47" s="36"/>
    </row>
    <row r="48" spans="1:17" x14ac:dyDescent="0.25">
      <c r="A48" s="4">
        <v>42</v>
      </c>
      <c r="C48" s="44">
        <f>1-EXP(lambda*(A47^gamma-A48^gamma))</f>
        <v>3.5867540862291047E-3</v>
      </c>
      <c r="E48" s="44">
        <f>IF(male=0,VLOOKUP(A$5:A$65536+age,Lifetable,3,1),IF(male=1,VLOOKUP(A$5:A$65536+age,Lifetable,2,1),"error"))</f>
        <v>0.15480000000000002</v>
      </c>
      <c r="G48" s="43"/>
      <c r="H48" s="42">
        <f>G47*(1-omrPTHR)+H47*(1-standardRR-mr)</f>
        <v>19.668107867218716</v>
      </c>
      <c r="I48" s="42">
        <f>H47*standardRR+J47*rrr</f>
        <v>0.18237949269292805</v>
      </c>
      <c r="J48" s="42">
        <f>I47*(1-mr-omrRTHR)+J47*(1-mr-rrr)</f>
        <v>2.1580272888393304</v>
      </c>
      <c r="K48" s="42">
        <f>H47*mr+(I47+J47)*mr+G47*omrPTHR+I47*omrRTHR+K47</f>
        <v>977.99148535124903</v>
      </c>
      <c r="L48" s="42">
        <f>SUM(G48:K48)</f>
        <v>1000</v>
      </c>
      <c r="M48" s="41">
        <f>(cPrimary*G48+cSuccess*H48+cRevision*I48+cSuccess*J48)/(1+cDR)^A$5:A$65536</f>
        <v>83.543679553279546</v>
      </c>
      <c r="N48" s="40">
        <f>(J48+I48+H48)</f>
        <v>22.008514648750975</v>
      </c>
      <c r="O48" s="39">
        <f>(uSuccessP*H48+uRevision*PH!I48+uSuccessR*PH!J48)/(1+oDR)^A$5:A$65536</f>
        <v>9.8408938073433454</v>
      </c>
      <c r="P48" s="36"/>
      <c r="Q48" s="36"/>
    </row>
    <row r="49" spans="1:17" x14ac:dyDescent="0.25">
      <c r="A49" s="4">
        <v>43</v>
      </c>
      <c r="C49" s="44">
        <f>1-EXP(lambda*(A48^gamma-A49^gamma))</f>
        <v>3.6256398416483204E-3</v>
      </c>
      <c r="E49" s="44">
        <f>IF(male=0,VLOOKUP(A$5:A$65536+age,Lifetable,3,1),IF(male=1,VLOOKUP(A$5:A$65536+age,Lifetable,2,1),"error"))</f>
        <v>0.15480000000000002</v>
      </c>
      <c r="G49" s="43"/>
      <c r="H49" s="42">
        <f>G48*(1-omrPTHR)+H48*(1-standardRR-mr)</f>
        <v>16.552175293880033</v>
      </c>
      <c r="I49" s="42">
        <f>H48*standardRR+J48*rrr</f>
        <v>0.15763056704679818</v>
      </c>
      <c r="J49" s="42">
        <f>I48*(1-mr-omrRTHR)+J48*(1-mr-rrr)</f>
        <v>1.8881431303436327</v>
      </c>
      <c r="K49" s="42">
        <f>H48*mr+(I48+J48)*mr+G48*omrPTHR+I48*omrRTHR+K48</f>
        <v>981.40205100872959</v>
      </c>
      <c r="L49" s="42">
        <f>SUM(G49:K49)</f>
        <v>1000</v>
      </c>
      <c r="M49" s="41">
        <f>(cPrimary*G49+cSuccess*H49+cRevision*I49+cSuccess*J49)/(1+cDR)^A$5:A$65536</f>
        <v>68.119612441855011</v>
      </c>
      <c r="N49" s="40">
        <f>(J49+I49+H49)</f>
        <v>18.597948991270464</v>
      </c>
      <c r="O49" s="39">
        <f>(uSuccessP*H49+uRevision*PH!I49+uSuccessR*PH!J49)/(1+oDR)^A$5:A$65536</f>
        <v>8.1885764923972477</v>
      </c>
      <c r="P49" s="36"/>
      <c r="Q49" s="36"/>
    </row>
    <row r="50" spans="1:17" x14ac:dyDescent="0.25">
      <c r="A50" s="4">
        <v>44</v>
      </c>
      <c r="C50" s="44">
        <f>1-EXP(lambda*(A49^gamma-A50^gamma))</f>
        <v>3.6640273519783495E-3</v>
      </c>
      <c r="E50" s="44">
        <f>IF(male=0,VLOOKUP(A$5:A$65536+age,Lifetable,3,1),IF(male=1,VLOOKUP(A$5:A$65536+age,Lifetable,2,1),"error"))</f>
        <v>0.15480000000000002</v>
      </c>
      <c r="G50" s="43"/>
      <c r="H50" s="42">
        <f>G49*(1-omrPTHR)+H49*(1-standardRR-mr)</f>
        <v>13.929250935375887</v>
      </c>
      <c r="I50" s="42">
        <f>H49*standardRR+J49*rrr</f>
        <v>0.13617334822526203</v>
      </c>
      <c r="J50" s="42">
        <f>I49*(1-mr-omrRTHR)+J49*(1-mr-rrr)</f>
        <v>1.6504095924797106</v>
      </c>
      <c r="K50" s="42">
        <f>H49*mr+(I49+J49)*mr+G49*omrPTHR+I49*omrRTHR+K49</f>
        <v>984.28416612391914</v>
      </c>
      <c r="L50" s="42">
        <f>SUM(G50:K50)</f>
        <v>1000</v>
      </c>
      <c r="M50" s="41">
        <f>(cPrimary*G50+cSuccess*H50+cRevision*I50+cSuccess*J50)/(1+cDR)^A$5:A$65536</f>
        <v>55.515976253494493</v>
      </c>
      <c r="N50" s="40">
        <f>(J50+I50+H50)</f>
        <v>15.715833876080859</v>
      </c>
      <c r="O50" s="39">
        <f>(uSuccessP*H50+uRevision*PH!I50+uSuccessR*PH!J50)/(1+oDR)^A$5:A$65536</f>
        <v>6.8136381413464555</v>
      </c>
      <c r="P50" s="36"/>
      <c r="Q50" s="36"/>
    </row>
    <row r="51" spans="1:17" x14ac:dyDescent="0.25">
      <c r="A51" s="4">
        <v>45</v>
      </c>
      <c r="C51" s="44">
        <f>1-EXP(lambda*(A50^gamma-A51^gamma))</f>
        <v>3.701934226185033E-3</v>
      </c>
      <c r="E51" s="44">
        <f>IF(male=0,VLOOKUP(A$5:A$65536+age,Lifetable,3,1),IF(male=1,VLOOKUP(A$5:A$65536+age,Lifetable,2,1),"error"))</f>
        <v>0.15480000000000002</v>
      </c>
      <c r="G51" s="43"/>
      <c r="H51" s="42">
        <f>G50*(1-omrPTHR)+H50*(1-standardRR-mr)</f>
        <v>11.72143771979691</v>
      </c>
      <c r="I51" s="42">
        <f>H50*standardRR+J50*rrr</f>
        <v>0.1175815544819763</v>
      </c>
      <c r="J51" s="42">
        <f>I50*(1-mr-omrRTHR)+J50*(1-mr-rrr)</f>
        <v>1.4412800508201491</v>
      </c>
      <c r="K51" s="42">
        <f>H50*mr+(I50+J50)*mr+G50*omrPTHR+I50*omrRTHR+K50</f>
        <v>986.71970067490099</v>
      </c>
      <c r="L51" s="42">
        <f>SUM(G51:K51)</f>
        <v>1000</v>
      </c>
      <c r="M51" s="41">
        <f>(cPrimary*G51+cSuccess*H51+cRevision*I51+cSuccess*J51)/(1+cDR)^A$5:A$65536</f>
        <v>45.222982126499154</v>
      </c>
      <c r="N51" s="40">
        <f>(J51+I51+H51)</f>
        <v>13.280299325099035</v>
      </c>
      <c r="O51" s="39">
        <f>(uSuccessP*H51+uRevision*PH!I51+uSuccessR*PH!J51)/(1+oDR)^A$5:A$65536</f>
        <v>5.6695234780366786</v>
      </c>
      <c r="P51" s="36"/>
      <c r="Q51" s="36"/>
    </row>
    <row r="52" spans="1:17" x14ac:dyDescent="0.25">
      <c r="A52" s="4">
        <v>46</v>
      </c>
      <c r="C52" s="44">
        <f>1-EXP(lambda*(A51^gamma-A52^gamma))</f>
        <v>3.7393770713346486E-3</v>
      </c>
      <c r="E52" s="44">
        <f>IF(male=0,VLOOKUP(A$5:A$65536+age,Lifetable,3,1),IF(male=1,VLOOKUP(A$5:A$65536+age,Lifetable,2,1),"error"))</f>
        <v>0.15480000000000002</v>
      </c>
      <c r="G52" s="43"/>
      <c r="H52" s="42">
        <f>G51*(1-omrPTHR)+H51*(1-standardRR-mr)</f>
        <v>9.8631282853198616</v>
      </c>
      <c r="I52" s="42">
        <f>H51*standardRR+J51*rrr</f>
        <v>0.10148207748529162</v>
      </c>
      <c r="J52" s="42">
        <f>I51*(1-mr-omrRTHR)+J51*(1-mr-rrr)</f>
        <v>1.2575469956789109</v>
      </c>
      <c r="K52" s="42">
        <f>H51*mr+(I51+J51)*mr+G51*omrPTHR+I51*omrRTHR+K51</f>
        <v>988.77784264151592</v>
      </c>
      <c r="L52" s="42">
        <f>SUM(G52:K52)</f>
        <v>1000</v>
      </c>
      <c r="M52" s="41">
        <f>(cPrimary*G52+cSuccess*H52+cRevision*I52+cSuccess*J52)/(1+cDR)^A$5:A$65536</f>
        <v>36.821670218408435</v>
      </c>
      <c r="N52" s="40">
        <f>(J52+I52+H52)</f>
        <v>11.222157358484065</v>
      </c>
      <c r="O52" s="39">
        <f>(uSuccessP*H52+uRevision*PH!I52+uSuccessR*PH!J52)/(1+oDR)^A$5:A$65536</f>
        <v>4.7174894221772217</v>
      </c>
      <c r="P52" s="36"/>
      <c r="Q52" s="36"/>
    </row>
    <row r="53" spans="1:17" x14ac:dyDescent="0.25">
      <c r="A53" s="4">
        <v>47</v>
      </c>
      <c r="C53" s="44">
        <f>1-EXP(lambda*(A52^gamma-A53^gamma))</f>
        <v>3.7763715702551215E-3</v>
      </c>
      <c r="E53" s="44">
        <f>IF(male=0,VLOOKUP(A$5:A$65536+age,Lifetable,3,1),IF(male=1,VLOOKUP(A$5:A$65536+age,Lifetable,2,1),"error"))</f>
        <v>0.15480000000000002</v>
      </c>
      <c r="G53" s="43"/>
      <c r="H53" s="42">
        <f>G52*(1-omrPTHR)+H52*(1-standardRR-mr)</f>
        <v>8.2990691895018855</v>
      </c>
      <c r="I53" s="42">
        <f>H52*standardRR+J52*rrr</f>
        <v>8.7548717077617508E-2</v>
      </c>
      <c r="J53" s="42">
        <f>I52*(1-mr-omrRTHR)+J52*(1-mr-rrr)</f>
        <v>1.0963198512615218</v>
      </c>
      <c r="K53" s="42">
        <f>H52*mr+(I52+J52)*mr+G52*omrPTHR+I52*omrRTHR+K52</f>
        <v>990.517062242159</v>
      </c>
      <c r="L53" s="42">
        <f>SUM(G53:K53)</f>
        <v>1000</v>
      </c>
      <c r="M53" s="41">
        <f>(cPrimary*G53+cSuccess*H53+cRevision*I53+cSuccess*J53)/(1+cDR)^A$5:A$65536</f>
        <v>29.96802041733142</v>
      </c>
      <c r="N53" s="40">
        <f>(J53+I53+H53)</f>
        <v>9.4829377578410252</v>
      </c>
      <c r="O53" s="39">
        <f>(uSuccessP*H53+uRevision*PH!I53+uSuccessR*PH!J53)/(1+oDR)^A$5:A$65536</f>
        <v>3.925294463031701</v>
      </c>
      <c r="P53" s="36"/>
      <c r="Q53" s="36"/>
    </row>
    <row r="54" spans="1:17" x14ac:dyDescent="0.25">
      <c r="A54" s="4">
        <v>48</v>
      </c>
      <c r="C54" s="44">
        <f>1-EXP(lambda*(A53^gamma-A54^gamma))</f>
        <v>3.8129325516462753E-3</v>
      </c>
      <c r="E54" s="44">
        <f>IF(male=0,VLOOKUP(A$5:A$65536+age,Lifetable,3,1),IF(male=1,VLOOKUP(A$5:A$65536+age,Lifetable,2,1),"error"))</f>
        <v>0.15480000000000002</v>
      </c>
      <c r="G54" s="43"/>
      <c r="H54" s="42">
        <f>G53*(1-omrPTHR)+H53*(1-standardRR-mr)</f>
        <v>6.9827294879059769</v>
      </c>
      <c r="I54" s="42">
        <f>H53*standardRR+J53*rrr</f>
        <v>7.5496585111477277E-2</v>
      </c>
      <c r="J54" s="42">
        <f>I53*(1-mr-omrRTHR)+J53*(1-mr-rrr)</f>
        <v>0.95500194556822715</v>
      </c>
      <c r="K54" s="42">
        <f>H53*mr+(I53+J53)*mr+G53*omrPTHR+I53*omrRTHR+K53</f>
        <v>991.98677198141434</v>
      </c>
      <c r="L54" s="42">
        <f>SUM(G54:K54)</f>
        <v>1000</v>
      </c>
      <c r="M54" s="41">
        <f>(cPrimary*G54+cSuccess*H54+cRevision*I54+cSuccess*J54)/(1+cDR)^A$5:A$65536</f>
        <v>24.379776063937232</v>
      </c>
      <c r="N54" s="40">
        <f>(J54+I54+H54)</f>
        <v>8.0132280185856821</v>
      </c>
      <c r="O54" s="39">
        <f>(uSuccessP*H54+uRevision*PH!I54+uSuccessR*PH!J54)/(1+oDR)^A$5:A$65536</f>
        <v>3.266107858514899</v>
      </c>
      <c r="P54" s="36"/>
      <c r="Q54" s="36"/>
    </row>
    <row r="55" spans="1:17" x14ac:dyDescent="0.25">
      <c r="A55" s="4">
        <v>49</v>
      </c>
      <c r="C55" s="44">
        <f>1-EXP(lambda*(A54^gamma-A55^gamma))</f>
        <v>3.8490740535132018E-3</v>
      </c>
      <c r="E55" s="44">
        <f>IF(male=0,VLOOKUP(A$5:A$65536+age,Lifetable,3,1),IF(male=1,VLOOKUP(A$5:A$65536+age,Lifetable,2,1),"error"))</f>
        <v>0.15480000000000002</v>
      </c>
      <c r="G55" s="43"/>
      <c r="H55" s="42">
        <f>G54*(1-omrPTHR)+H54*(1-standardRR-mr)</f>
        <v>5.8749259202835313</v>
      </c>
      <c r="I55" s="42">
        <f>H54*standardRR+J54*rrr</f>
        <v>6.5077120717329504E-2</v>
      </c>
      <c r="J55" s="42">
        <f>I54*(1-mr-omrRTHR)+J54*(1-mr-rrr)</f>
        <v>0.83126734860552742</v>
      </c>
      <c r="K55" s="42">
        <f>H54*mr+(I54+J54)*mr+G54*omrPTHR+I54*omrRTHR+K54</f>
        <v>993.22872961039366</v>
      </c>
      <c r="L55" s="42">
        <f>SUM(G55:K55)</f>
        <v>1000</v>
      </c>
      <c r="M55" s="41">
        <f>(cPrimary*G55+cSuccess*H55+cRevision*I55+cSuccess*J55)/(1+cDR)^A$5:A$65536</f>
        <v>19.82553285115543</v>
      </c>
      <c r="N55" s="40">
        <f>(J55+I55+H55)</f>
        <v>6.7712703896063884</v>
      </c>
      <c r="O55" s="39">
        <f>(uSuccessP*H55+uRevision*PH!I55+uSuccessR*PH!J55)/(1+oDR)^A$5:A$65536</f>
        <v>2.7176017992541524</v>
      </c>
      <c r="P55" s="36"/>
      <c r="Q55" s="36"/>
    </row>
    <row r="56" spans="1:17" x14ac:dyDescent="0.25">
      <c r="A56" s="4">
        <v>50</v>
      </c>
      <c r="C56" s="44">
        <f>1-EXP(lambda*(A55^gamma-A56^gamma))</f>
        <v>3.8848093806849171E-3</v>
      </c>
      <c r="E56" s="44">
        <f>IF(male=0,VLOOKUP(A$5:A$65536+age,Lifetable,3,1),IF(male=1,VLOOKUP(A$5:A$65536+age,Lifetable,2,1),"error"))</f>
        <v>0.15480000000000002</v>
      </c>
      <c r="G56" s="43"/>
      <c r="H56" s="42">
        <f>G55*(1-omrPTHR)+H55*(1-standardRR-mr)</f>
        <v>4.9426644204976942</v>
      </c>
      <c r="I56" s="42">
        <f>H55*standardRR+J55*rrr</f>
        <v>5.6073661270167524E-2</v>
      </c>
      <c r="J56" s="42">
        <f>I55*(1-mr-omrRTHR)+J55*(1-mr-rrr)</f>
        <v>0.72303810911311084</v>
      </c>
      <c r="K56" s="42">
        <f>H55*mr+(I55+J55)*mr+G55*omrPTHR+I55*omrRTHR+K55</f>
        <v>994.27822380911903</v>
      </c>
      <c r="L56" s="42">
        <f>SUM(G56:K56)</f>
        <v>1000</v>
      </c>
      <c r="M56" s="41">
        <f>(cPrimary*G56+cSuccess*H56+cRevision*I56+cSuccess*J56)/(1+cDR)^A$5:A$65536</f>
        <v>16.115715337264952</v>
      </c>
      <c r="N56" s="40">
        <f>(J56+I56+H56)</f>
        <v>5.7217761908809726</v>
      </c>
      <c r="O56" s="39">
        <f>(uSuccessP*H56+uRevision*PH!I56+uSuccessR*PH!J56)/(1+oDR)^A$5:A$65536</f>
        <v>2.2611958561358159</v>
      </c>
      <c r="P56" s="36"/>
      <c r="Q56" s="36"/>
    </row>
    <row r="57" spans="1:17" x14ac:dyDescent="0.25">
      <c r="A57" s="4">
        <v>51</v>
      </c>
      <c r="C57" s="44">
        <f>1-EXP(lambda*(A56^gamma-A57^gamma))</f>
        <v>3.9201511570746694E-3</v>
      </c>
      <c r="E57" s="44">
        <f>IF(male=0,VLOOKUP(A$5:A$65536+age,Lifetable,3,1),IF(male=1,VLOOKUP(A$5:A$65536+age,Lifetable,2,1),"error"))</f>
        <v>0.15480000000000002</v>
      </c>
      <c r="G57" s="43"/>
      <c r="H57" s="42">
        <f>G56*(1-omrPTHR)+H56*(1-standardRR-mr)</f>
        <v>4.1581639765576046</v>
      </c>
      <c r="I57" s="42">
        <f>H56*standardRR+J56*rrr</f>
        <v>4.8297516011570271E-2</v>
      </c>
      <c r="J57" s="42">
        <f>I56*(1-mr-omrRTHR)+J56*(1-mr-rrr)</f>
        <v>0.62846227073801897</v>
      </c>
      <c r="K57" s="42">
        <f>H56*mr+(I56+J56)*mr+G56*omrPTHR+I56*omrRTHR+K56</f>
        <v>995.16507623669281</v>
      </c>
      <c r="L57" s="42">
        <f>SUM(G57:K57)</f>
        <v>1000</v>
      </c>
      <c r="M57" s="41">
        <f>(cPrimary*G57+cSuccess*H57+cRevision*I57+cSuccess*J57)/(1+cDR)^A$5:A$65536</f>
        <v>13.095123650470052</v>
      </c>
      <c r="N57" s="40">
        <f>(J57+I57+H57)</f>
        <v>4.8349237633071942</v>
      </c>
      <c r="O57" s="39">
        <f>(uSuccessP*H57+uRevision*PH!I57+uSuccessR*PH!J57)/(1+oDR)^A$5:A$65536</f>
        <v>1.8814281733689937</v>
      </c>
      <c r="P57" s="36"/>
      <c r="Q57" s="36"/>
    </row>
    <row r="58" spans="1:17" x14ac:dyDescent="0.25">
      <c r="A58" s="4">
        <v>52</v>
      </c>
      <c r="C58" s="44">
        <f>1-EXP(lambda*(A57^gamma-A58^gamma))</f>
        <v>3.9551113732601006E-3</v>
      </c>
      <c r="E58" s="44">
        <f>IF(male=0,VLOOKUP(A$5:A$65536+age,Lifetable,3,1),IF(male=1,VLOOKUP(A$5:A$65536+age,Lifetable,2,1),"error"))</f>
        <v>0.15480000000000002</v>
      </c>
      <c r="G58" s="43"/>
      <c r="H58" s="42">
        <f>G57*(1-omrPTHR)+H57*(1-standardRR-mr)</f>
        <v>3.4980341913509236</v>
      </c>
      <c r="I58" s="42">
        <f>H57*standardRR+J57*rrr</f>
        <v>4.1584492465084194E-2</v>
      </c>
      <c r="J58" s="42">
        <f>I57*(1-mr-omrRTHR)+J57*(1-mr-rrr)</f>
        <v>0.54589293061100064</v>
      </c>
      <c r="K58" s="42">
        <f>H57*mr+(I57+J57)*mr+G57*omrPTHR+I57*omrRTHR+K57</f>
        <v>995.91448838557301</v>
      </c>
      <c r="L58" s="42">
        <f>SUM(G58:K58)</f>
        <v>1000</v>
      </c>
      <c r="M58" s="41">
        <f>(cPrimary*G58+cSuccess*H58+cRevision*I58+cSuccess*J58)/(1+cDR)^A$5:A$65536</f>
        <v>10.6367842048546</v>
      </c>
      <c r="N58" s="40">
        <f>(J58+I58+H58)</f>
        <v>4.0855116144270083</v>
      </c>
      <c r="O58" s="39">
        <f>(uSuccessP*H58+uRevision*PH!I58+uSuccessR*PH!J58)/(1+oDR)^A$5:A$65536</f>
        <v>1.5654321506143591</v>
      </c>
      <c r="P58" s="36"/>
      <c r="Q58" s="36"/>
    </row>
    <row r="59" spans="1:17" x14ac:dyDescent="0.25">
      <c r="A59" s="4">
        <v>53</v>
      </c>
      <c r="C59" s="44">
        <f>1-EXP(lambda*(A58^gamma-A59^gamma))</f>
        <v>3.9897014298826416E-3</v>
      </c>
      <c r="E59" s="44">
        <f>IF(male=0,VLOOKUP(A$5:A$65536+age,Lifetable,3,1),IF(male=1,VLOOKUP(A$5:A$65536+age,Lifetable,2,1),"error"))</f>
        <v>0.15480000000000002</v>
      </c>
      <c r="G59" s="43"/>
      <c r="H59" s="42">
        <f>G58*(1-omrPTHR)+H58*(1-standardRR-mr)</f>
        <v>2.9425823865147893</v>
      </c>
      <c r="I59" s="42">
        <f>H58*standardRR+J58*rrr</f>
        <v>3.5791829239451178E-2</v>
      </c>
      <c r="J59" s="42">
        <f>I58*(1-mr-omrRTHR)+J58*(1-mr-rrr)</f>
        <v>0.47386851091016513</v>
      </c>
      <c r="K59" s="42">
        <f>H58*mr+(I58+J58)*mr+G58*omrPTHR+I58*omrRTHR+K58</f>
        <v>996.54775727333561</v>
      </c>
      <c r="L59" s="42">
        <f>SUM(G59:K59)</f>
        <v>1000</v>
      </c>
      <c r="M59" s="41">
        <f>(cPrimary*G59+cSuccess*H59+cRevision*I59+cSuccess*J59)/(1+cDR)^A$5:A$65536</f>
        <v>8.6368817322835607</v>
      </c>
      <c r="N59" s="40">
        <f>(J59+I59+H59)</f>
        <v>3.4522427266644056</v>
      </c>
      <c r="O59" s="39">
        <f>(uSuccessP*H59+uRevision*PH!I59+uSuccessR*PH!J59)/(1+oDR)^A$5:A$65536</f>
        <v>1.3025009216554113</v>
      </c>
      <c r="P59" s="36"/>
      <c r="Q59" s="36"/>
    </row>
    <row r="60" spans="1:17" x14ac:dyDescent="0.25">
      <c r="A60" s="4">
        <v>54</v>
      </c>
      <c r="C60" s="44">
        <f>1-EXP(lambda*(A59^gamma-A60^gamma))</f>
        <v>4.0239321773068992E-3</v>
      </c>
      <c r="E60" s="44">
        <f>IF(male=0,VLOOKUP(A$5:A$65536+age,Lifetable,3,1),IF(male=1,VLOOKUP(A$5:A$65536+age,Lifetable,2,1),"error"))</f>
        <v>0.15480000000000002</v>
      </c>
      <c r="G60" s="43"/>
      <c r="H60" s="42">
        <f>G59*(1-omrPTHR)+H59*(1-standardRR-mr)</f>
        <v>2.4752298811328264</v>
      </c>
      <c r="I60" s="42">
        <f>H59*standardRR+J59*rrr</f>
        <v>3.0795492385879995E-2</v>
      </c>
      <c r="J60" s="42">
        <f>I59*(1-mr-omrRTHR)+J59*(1-mr-rrr)</f>
        <v>0.41109434247326004</v>
      </c>
      <c r="K60" s="42">
        <f>H59*mr+(I59+J59)*mr+G59*omrPTHR+I59*omrRTHR+K59</f>
        <v>997.08288028400807</v>
      </c>
      <c r="L60" s="42">
        <f>SUM(G60:K60)</f>
        <v>1000</v>
      </c>
      <c r="M60" s="41">
        <f>(cPrimary*G60+cSuccess*H60+cRevision*I60+cSuccess*J60)/(1+cDR)^A$5:A$65536</f>
        <v>7.0105867070489056</v>
      </c>
      <c r="N60" s="40">
        <f>(J60+I60+H60)</f>
        <v>2.9171197159919666</v>
      </c>
      <c r="O60" s="39">
        <f>(uSuccessP*H60+uRevision*PH!I60+uSuccessR*PH!J60)/(1+oDR)^A$5:A$65536</f>
        <v>1.0837249036595995</v>
      </c>
      <c r="P60" s="36"/>
      <c r="Q60" s="36"/>
    </row>
    <row r="61" spans="1:17" x14ac:dyDescent="0.25">
      <c r="A61" s="4">
        <v>55</v>
      </c>
      <c r="C61" s="44">
        <f>1-EXP(lambda*(A60^gamma-A61^gamma))</f>
        <v>4.0578139519237277E-3</v>
      </c>
      <c r="E61" s="44">
        <f>IF(male=0,VLOOKUP(A$5:A$65536+age,Lifetable,3,1),IF(male=1,VLOOKUP(A$5:A$65536+age,Lifetable,2,1),"error"))</f>
        <v>0.15480000000000002</v>
      </c>
      <c r="G61" s="43"/>
      <c r="H61" s="42">
        <f>G60*(1-omrPTHR)+H60*(1-standardRR-mr)</f>
        <v>2.0820202731875854</v>
      </c>
      <c r="I61" s="42">
        <f>H60*standardRR+J60*rrr</f>
        <v>2.6487796044809695E-2</v>
      </c>
      <c r="J61" s="42">
        <f>I60*(1-mr-omrRTHR)+J60*(1-mr-rrr)</f>
        <v>0.3564256048762971</v>
      </c>
      <c r="K61" s="42">
        <f>H60*mr+(I60+J60)*mr+G60*omrPTHR+I60*omrRTHR+K60</f>
        <v>997.53506632589131</v>
      </c>
      <c r="L61" s="42">
        <f>SUM(G61:K61)</f>
        <v>1000</v>
      </c>
      <c r="M61" s="41">
        <f>(cPrimary*G61+cSuccess*H61+cRevision*I61+cSuccess*J61)/(1+cDR)^A$5:A$65536</f>
        <v>5.6886232386763504</v>
      </c>
      <c r="N61" s="40">
        <f>(J61+I61+H61)</f>
        <v>2.4649336741086922</v>
      </c>
      <c r="O61" s="39">
        <f>(uSuccessP*H61+uRevision*PH!I61+uSuccessR*PH!J61)/(1+oDR)^A$5:A$65536</f>
        <v>0.90169016037865601</v>
      </c>
      <c r="P61" s="36"/>
      <c r="Q61" s="36"/>
    </row>
    <row r="62" spans="1:17" x14ac:dyDescent="0.25">
      <c r="A62" s="4">
        <v>56</v>
      </c>
      <c r="C62" s="44">
        <f>1-EXP(lambda*(A61^gamma-A62^gamma))</f>
        <v>4.0913566094415987E-3</v>
      </c>
      <c r="E62" s="44">
        <f>IF(male=0,VLOOKUP(A$5:A$65536+age,Lifetable,3,1),IF(male=1,VLOOKUP(A$5:A$65536+age,Lifetable,2,1),"error"))</f>
        <v>0.15480000000000002</v>
      </c>
      <c r="G62" s="43"/>
      <c r="H62" s="42">
        <f>G61*(1-omrPTHR)+H61*(1-standardRR-mr)</f>
        <v>1.7512052474924498</v>
      </c>
      <c r="I62" s="42">
        <f>H61*standardRR+J61*rrr</f>
        <v>2.2775311600749314E-2</v>
      </c>
      <c r="J62" s="42">
        <f>I61*(1-mr-omrRTHR)+J61*(1-mr-rrr)</f>
        <v>0.30885162634257135</v>
      </c>
      <c r="K62" s="42">
        <f>H61*mr+(I61+J61)*mr+G61*omrPTHR+I61*omrRTHR+K61</f>
        <v>997.91716781456421</v>
      </c>
      <c r="L62" s="42">
        <f>SUM(G62:K62)</f>
        <v>1000</v>
      </c>
      <c r="M62" s="41">
        <f>(cPrimary*G62+cSuccess*H62+cRevision*I62+cSuccess*J62)/(1+cDR)^A$5:A$65536</f>
        <v>4.6144485665740174</v>
      </c>
      <c r="N62" s="40">
        <f>(J62+I62+H62)</f>
        <v>2.0828321854357705</v>
      </c>
      <c r="O62" s="39">
        <f>(uSuccessP*H62+uRevision*PH!I62+uSuccessR*PH!J62)/(1+oDR)^A$5:A$65536</f>
        <v>0.75022737799799544</v>
      </c>
      <c r="P62" s="36"/>
      <c r="Q62" s="36"/>
    </row>
    <row r="63" spans="1:17" x14ac:dyDescent="0.25">
      <c r="A63" s="4">
        <v>57</v>
      </c>
      <c r="C63" s="44">
        <f>1-EXP(lambda*(A62^gamma-A63^gamma))</f>
        <v>4.1245695554602557E-3</v>
      </c>
      <c r="E63" s="44">
        <f>IF(male=0,VLOOKUP(A$5:A$65536+age,Lifetable,3,1),IF(male=1,VLOOKUP(A$5:A$65536+age,Lifetable,2,1),"error"))</f>
        <v>0.15480000000000002</v>
      </c>
      <c r="G63" s="43"/>
      <c r="H63" s="42">
        <f>G62*(1-omrPTHR)+H62*(1-standardRR-mr)</f>
        <v>1.4728957073314488</v>
      </c>
      <c r="I63" s="42">
        <f>H62*standardRR+J62*rrr</f>
        <v>1.9577032902872455E-2</v>
      </c>
      <c r="J63" s="42">
        <f>I62*(1-mr-omrRTHR)+J62*(1-mr-rrr)</f>
        <v>0.26748151666397674</v>
      </c>
      <c r="K63" s="42">
        <f>H62*mr+(I62+J62)*mr+G62*omrPTHR+I62*omrRTHR+K62</f>
        <v>998.24004574310163</v>
      </c>
      <c r="L63" s="42">
        <f>SUM(G63:K63)</f>
        <v>999.99999999999989</v>
      </c>
      <c r="M63" s="41">
        <f>(cPrimary*G63+cSuccess*H63+cRevision*I63+cSuccess*J63)/(1+cDR)^A$5:A$65536</f>
        <v>3.7419371400530386</v>
      </c>
      <c r="N63" s="40">
        <f>(J63+I63+H63)</f>
        <v>1.759954256898298</v>
      </c>
      <c r="O63" s="39">
        <f>(uSuccessP*H63+uRevision*PH!I63+uSuccessR*PH!J63)/(1+oDR)^A$5:A$65536</f>
        <v>0.62420296313295209</v>
      </c>
      <c r="P63" s="36"/>
      <c r="Q63" s="36"/>
    </row>
    <row r="64" spans="1:17" x14ac:dyDescent="0.25">
      <c r="A64" s="4">
        <v>58</v>
      </c>
      <c r="C64" s="44">
        <f>1-EXP(lambda*(A63^gamma-A64^gamma))</f>
        <v>4.1574617735983255E-3</v>
      </c>
      <c r="E64" s="44">
        <f>IF(male=0,VLOOKUP(A$5:A$65536+age,Lifetable,3,1),IF(male=1,VLOOKUP(A$5:A$65536+age,Lifetable,2,1),"error"))</f>
        <v>0.15480000000000002</v>
      </c>
      <c r="G64" s="43"/>
      <c r="H64" s="42">
        <f>G63*(1-omrPTHR)+H63*(1-standardRR-mr)</f>
        <v>1.2387679442368129</v>
      </c>
      <c r="I64" s="42">
        <f>H63*standardRR+J63*rrr</f>
        <v>1.6822768266286637E-2</v>
      </c>
      <c r="J64" s="42">
        <f>I63*(1-mr-omrRTHR)+J63*(1-mr-rrr)</f>
        <v>0.23153108476928438</v>
      </c>
      <c r="K64" s="42">
        <f>H63*mr+(I63+J63)*mr+G63*omrPTHR+I63*omrRTHR+K63</f>
        <v>998.51287820272751</v>
      </c>
      <c r="L64" s="42">
        <f>SUM(G64:K64)</f>
        <v>999.99999999999989</v>
      </c>
      <c r="M64" s="41">
        <f>(cPrimary*G64+cSuccess*H64+cRevision*I64+cSuccess*J64)/(1+cDR)^A$5:A$65536</f>
        <v>3.0334805463518855</v>
      </c>
      <c r="N64" s="40">
        <f>(J64+I64+H64)</f>
        <v>1.487121797272384</v>
      </c>
      <c r="O64" s="39">
        <f>(uSuccessP*H64+uRevision*PH!I64+uSuccessR*PH!J64)/(1+oDR)^A$5:A$65536</f>
        <v>0.51934519643302579</v>
      </c>
      <c r="P64" s="36"/>
      <c r="Q64" s="36"/>
    </row>
    <row r="65" spans="1:17" x14ac:dyDescent="0.25">
      <c r="A65" s="4">
        <v>59</v>
      </c>
      <c r="C65" s="44">
        <f>1-EXP(lambda*(A64^gamma-A65^gamma))</f>
        <v>4.1900418514030369E-3</v>
      </c>
      <c r="E65" s="44">
        <f>IF(male=0,VLOOKUP(A$5:A$65536+age,Lifetable,3,1),IF(male=1,VLOOKUP(A$5:A$65536+age,Lifetable,2,1),"error"))</f>
        <v>0.15480000000000002</v>
      </c>
      <c r="G65" s="43"/>
      <c r="H65" s="42">
        <f>G64*(1-omrPTHR)+H64*(1-standardRR-mr)</f>
        <v>1.0418161769384255</v>
      </c>
      <c r="I65" s="42">
        <f>H64*standardRR+J64*rrr</f>
        <v>1.4451732921300125E-2</v>
      </c>
      <c r="J65" s="42">
        <f>I64*(1-mr-omrRTHR)+J64*(1-mr-rrr)</f>
        <v>0.2003109778295675</v>
      </c>
      <c r="K65" s="42">
        <f>H64*mr+(I64+J64)*mr+G64*omrPTHR+I64*omrRTHR+K64</f>
        <v>998.74342111231056</v>
      </c>
      <c r="L65" s="42">
        <f>SUM(G65:K65)</f>
        <v>999.99999999999989</v>
      </c>
      <c r="M65" s="41">
        <f>(cPrimary*G65+cSuccess*H65+cRevision*I65+cSuccess*J65)/(1+cDR)^A$5:A$65536</f>
        <v>2.458429809199326</v>
      </c>
      <c r="N65" s="40">
        <f>(J65+I65+H65)</f>
        <v>1.2565788876892932</v>
      </c>
      <c r="O65" s="39">
        <f>(uSuccessP*H65+uRevision*PH!I65+uSuccessR*PH!J65)/(1+oDR)^A$5:A$65536</f>
        <v>0.4320995604674539</v>
      </c>
      <c r="P65" s="36"/>
      <c r="Q65" s="36"/>
    </row>
    <row r="66" spans="1:17" x14ac:dyDescent="0.25">
      <c r="A66" s="4">
        <v>60</v>
      </c>
      <c r="C66" s="44">
        <f>1-EXP(lambda*(A65^gamma-A66^gamma))</f>
        <v>4.2223180042564312E-3</v>
      </c>
      <c r="E66" s="44">
        <f>IF(male=0,VLOOKUP(A$5:A$65536+age,Lifetable,3,1),IF(male=1,VLOOKUP(A$5:A$65536+age,Lifetable,2,1),"error"))</f>
        <v>0.15480000000000002</v>
      </c>
      <c r="G66" s="43"/>
      <c r="H66" s="42">
        <f>G65*(1-omrPTHR)+H65*(1-standardRR-mr)</f>
        <v>0.87614415354734454</v>
      </c>
      <c r="I66" s="42">
        <f>H65*standardRR+J65*rrr</f>
        <v>1.2411318314195419E-2</v>
      </c>
      <c r="J66" s="42">
        <f>I65*(1-mr-omrRTHR)+J65*(1-mr-rrr)</f>
        <v>0.17321596935502459</v>
      </c>
      <c r="K66" s="42">
        <f>H65*mr+(I65+J65)*mr+G65*omrPTHR+I65*omrRTHR+K65</f>
        <v>998.93822855878329</v>
      </c>
      <c r="L66" s="42">
        <f>SUM(G66:K66)</f>
        <v>999.99999999999989</v>
      </c>
      <c r="M66" s="41">
        <f>(cPrimary*G66+cSuccess*H66+cRevision*I66+cSuccess*J66)/(1+cDR)^A$5:A$65536</f>
        <v>1.9918192954907228</v>
      </c>
      <c r="N66" s="40">
        <f>(J66+I66+H66)</f>
        <v>1.0617714412165646</v>
      </c>
      <c r="O66" s="39">
        <f>(uSuccessP*H66+uRevision*PH!I66+uSuccessR*PH!J66)/(1+oDR)^A$5:A$65536</f>
        <v>0.35950834704495993</v>
      </c>
      <c r="P66" s="36"/>
      <c r="Q66" s="36"/>
    </row>
    <row r="67" spans="1:17" x14ac:dyDescent="0.25">
      <c r="M67" s="25" t="s">
        <v>37</v>
      </c>
      <c r="N67" s="25" t="s">
        <v>36</v>
      </c>
      <c r="O67" s="25" t="s">
        <v>35</v>
      </c>
    </row>
    <row r="68" spans="1:17" x14ac:dyDescent="0.25">
      <c r="I68" s="36"/>
      <c r="M68" s="38">
        <f>SUM(M6:M66)/1000</f>
        <v>512.43465834364304</v>
      </c>
      <c r="N68" s="37">
        <f>SUM(N7:N66)/1000</f>
        <v>20.90914140336028</v>
      </c>
      <c r="O68" s="12">
        <f>SUM(O7:O66)/1000</f>
        <v>14.653189614825321</v>
      </c>
    </row>
    <row r="69" spans="1:17" x14ac:dyDescent="0.25">
      <c r="I69" s="36"/>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Model Figure</vt:lpstr>
      <vt:lpstr>Analysis</vt:lpstr>
      <vt:lpstr>Life tables</vt:lpstr>
      <vt:lpstr>PH</vt:lpstr>
      <vt:lpstr>Lifetable</vt:lpstr>
      <vt:lpstr>mr</vt:lpstr>
      <vt:lpstr>standardRR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CEIT</dc:creator>
  <cp:lastModifiedBy>User CEIT</cp:lastModifiedBy>
  <dcterms:created xsi:type="dcterms:W3CDTF">2016-10-29T00:03:04Z</dcterms:created>
  <dcterms:modified xsi:type="dcterms:W3CDTF">2016-10-29T01:27:03Z</dcterms:modified>
</cp:coreProperties>
</file>