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k\Dropbox\Academic Coursework\FS2016\PHSC 7611 CEA\PH CEA\"/>
    </mc:Choice>
  </mc:AlternateContent>
  <bookViews>
    <workbookView xWindow="0" yWindow="0" windowWidth="21570" windowHeight="8160" tabRatio="682"/>
  </bookViews>
  <sheets>
    <sheet name="Model Figure" sheetId="1" r:id="rId1"/>
    <sheet name="Analysis" sheetId="3" r:id="rId2"/>
    <sheet name="Parameters" sheetId="8" r:id="rId3"/>
    <sheet name="Life tables" sheetId="4" r:id="rId4"/>
    <sheet name="Probabilities" sheetId="6" r:id="rId5"/>
    <sheet name="Control" sheetId="13" r:id="rId6"/>
    <sheet name="A -UC UC" sheetId="5" r:id="rId7"/>
    <sheet name="B - UC C" sheetId="14" r:id="rId8"/>
    <sheet name="C - PH+UC" sheetId="9" r:id="rId9"/>
    <sheet name="D - PH+C" sheetId="15" r:id="rId10"/>
  </sheets>
  <externalReferences>
    <externalReference r:id="rId11"/>
    <externalReference r:id="rId12"/>
  </externalReferences>
  <definedNames>
    <definedName name="_cNP1">Parameters!$B$40</definedName>
    <definedName name="_cPH1">Parameters!$B$40</definedName>
    <definedName name="_PA14">[1]Parameters!$B$106</definedName>
    <definedName name="_PA18">[1]Parameters!$B$107</definedName>
    <definedName name="_PA26">[1]Parameters!$B$108</definedName>
    <definedName name="_PA6">[1]Parameters!$B$103</definedName>
    <definedName name="_pH2">[1]Parameters!$B$19</definedName>
    <definedName name="_PPI10">[1]Parameters!$B$97</definedName>
    <definedName name="_PPI18">[1]Parameters!$B$98</definedName>
    <definedName name="_PPI26">[1]Parameters!$B$99</definedName>
    <definedName name="_PPI8">[1]Parameters!$B$96</definedName>
    <definedName name="_xR1">[1]Parameters!$B$111</definedName>
    <definedName name="_xR2">[1]Parameters!$B$112</definedName>
    <definedName name="a" localSheetId="4">Probabilities!#REF!</definedName>
    <definedName name="age">[2]Parameters!$B$8</definedName>
    <definedName name="ageC">[2]Parameters!$B$23</definedName>
    <definedName name="amr">Parameters!$B$19</definedName>
    <definedName name="amrHOEX">Parameters!$B$20</definedName>
    <definedName name="amrrate">Parameters!$B$18</definedName>
    <definedName name="b" localSheetId="4">Probabilities!#REF!</definedName>
    <definedName name="BS">[1]Parameters!$B$67</definedName>
    <definedName name="c_" localSheetId="4">Probabilities!#REF!</definedName>
    <definedName name="CCC">[1]Parameters!$B$105</definedName>
    <definedName name="cDR">Parameters!$B$11</definedName>
    <definedName name="cEREX">Parameters!$B$38</definedName>
    <definedName name="cHOEX">Parameters!$B$39</definedName>
    <definedName name="CIS">[1]Parameters!$B$55</definedName>
    <definedName name="cNES">Parameters!$B$36</definedName>
    <definedName name="cons">[2]Parameters!$B$22</definedName>
    <definedName name="cOSEX">Parameters!$B$37</definedName>
    <definedName name="cPH1_">Parameters!$B$40</definedName>
    <definedName name="cPHr">Parameters!$B$41</definedName>
    <definedName name="cPrimary">Parameters!$B$36</definedName>
    <definedName name="cRevision">Parameters!$B$37</definedName>
    <definedName name="CST">[1]Parameters!$B$65</definedName>
    <definedName name="cStandard">Parameters!$B$39</definedName>
    <definedName name="cSuccess">Parameters!$B$38</definedName>
    <definedName name="d" localSheetId="4">Probabilities!#REF!</definedName>
    <definedName name="DDPPI8">[1]Parameters!$B$102</definedName>
    <definedName name="e" localSheetId="4">Probabilities!#REF!</definedName>
    <definedName name="ECG">[1]Parameters!$B$66</definedName>
    <definedName name="f" localSheetId="4">Probabilities!#REF!</definedName>
    <definedName name="Fee">[1]Parameters!$B$53</definedName>
    <definedName name="g" localSheetId="4">Probabilities!#REF!</definedName>
    <definedName name="gamma" localSheetId="7">Parameters!#REF!</definedName>
    <definedName name="gamma" localSheetId="8">Parameters!#REF!</definedName>
    <definedName name="gamma" localSheetId="5">Parameters!#REF!</definedName>
    <definedName name="gamma" localSheetId="9">Parameters!#REF!</definedName>
    <definedName name="gamma">Parameters!#REF!</definedName>
    <definedName name="GEPA">[1]Parameters!$B$62</definedName>
    <definedName name="GERA">[1]Parameters!$B$61</definedName>
    <definedName name="GPGA">[1]Parameters!$B$58</definedName>
    <definedName name="GPGER1">[1]Parameters!$B$109</definedName>
    <definedName name="GPGER2">[1]Parameters!$B$110</definedName>
    <definedName name="GPMA">[1]Parameters!$B$60</definedName>
    <definedName name="GPRA">[1]Parameters!$B$59</definedName>
    <definedName name="h" localSheetId="4">Probabilities!#REF!</definedName>
    <definedName name="H2RA">[1]Parameters!$B$54</definedName>
    <definedName name="H2RA18">[1]Parameters!$B$92</definedName>
    <definedName name="H2RA26">[1]Parameters!$B$93</definedName>
    <definedName name="H2RADD">[1]Parameters!$B$89</definedName>
    <definedName name="HR2A18">[1]Parameters!$B$92</definedName>
    <definedName name="i" localSheetId="4">Probabilities!#REF!</definedName>
    <definedName name="j" localSheetId="4">Probabilities!#REF!</definedName>
    <definedName name="k" localSheetId="4">Probabilities!#REF!</definedName>
    <definedName name="l" localSheetId="4">Probabilities!#REF!</definedName>
    <definedName name="lambda" localSheetId="7">Parameters!#REF!</definedName>
    <definedName name="lambda" localSheetId="8">Parameters!#REF!</definedName>
    <definedName name="lambda" localSheetId="5">Parameters!#REF!</definedName>
    <definedName name="lambda" localSheetId="9">Parameters!#REF!</definedName>
    <definedName name="lambda">Parameters!#REF!</definedName>
    <definedName name="LDPPI">[1]Parameters!$B$57</definedName>
    <definedName name="LDPPI18">[1]Parameters!$B$100</definedName>
    <definedName name="LDPPI26">[1]Parameters!$B$101</definedName>
    <definedName name="Lifetable" localSheetId="2">'[2]Life tables'!$C$15:$E$20</definedName>
    <definedName name="Lifetable" localSheetId="4">'Life tables'!$A$4:$G$123</definedName>
    <definedName name="Lifetable">'Life tables'!$A$4:$G$123</definedName>
    <definedName name="m" localSheetId="4">Probabilities!#REF!</definedName>
    <definedName name="male">[2]Parameters!$B$9</definedName>
    <definedName name="maleC">[2]Parameters!$B$24</definedName>
    <definedName name="mr" localSheetId="7">'B - UC C'!$E$7:$E$66</definedName>
    <definedName name="mr" localSheetId="8">'C - PH+UC'!$E$7:$E$66</definedName>
    <definedName name="mr" localSheetId="5">Control!#REF!</definedName>
    <definedName name="mr" localSheetId="9">'D - PH+C'!$E$7:$E$66</definedName>
    <definedName name="mr" localSheetId="2">[2]Standard!$E$7:$E$66</definedName>
    <definedName name="mr" localSheetId="4">[2]Standard!$E$7:$E$66</definedName>
    <definedName name="mr">'A -UC UC'!$E$7:$E$66</definedName>
    <definedName name="n" localSheetId="4">Probabilities!#REF!</definedName>
    <definedName name="nCSTR2">[1]Parameters!$B$82</definedName>
    <definedName name="nECGR1">[1]Parameters!$B$76</definedName>
    <definedName name="nECGR2">[1]Parameters!$B$83</definedName>
    <definedName name="NF">[1]Parameters!$B$68</definedName>
    <definedName name="nGER2">[1]Parameters!$B$80</definedName>
    <definedName name="nGPR2">[1]Parameters!$B$79</definedName>
    <definedName name="nUGIER1">[1]Parameters!$B$77</definedName>
    <definedName name="nUGIER2">[1]Parameters!$B$84</definedName>
    <definedName name="nUGISR1">[1]Parameters!$B$78</definedName>
    <definedName name="nUGISR2">[1]Parameters!$B$85</definedName>
    <definedName name="o" localSheetId="4">Probabilities!#REF!</definedName>
    <definedName name="oDR">Parameters!$B$12</definedName>
    <definedName name="p06H2">[1]Parameters!$B$27</definedName>
    <definedName name="p06LDPPI">[1]Parameters!$B$29</definedName>
    <definedName name="p06PA">[1]Parameters!$B$26</definedName>
    <definedName name="p06PL">[1]Parameters!$B$25</definedName>
    <definedName name="p06PPI">[1]Parameters!$B$28</definedName>
    <definedName name="p06SU">[1]Parameters!$B$30</definedName>
    <definedName name="p612H2">[1]Parameters!$B$33</definedName>
    <definedName name="p612LDPPI">[1]Parameters!$B$35</definedName>
    <definedName name="p612PA">[1]Parameters!$B$32</definedName>
    <definedName name="p612PL">[1]Parameters!$B$31</definedName>
    <definedName name="p612PPI">[1]Parameters!$B$34</definedName>
    <definedName name="pCAPH">Parameters!$B$53</definedName>
    <definedName name="pCAUC">Parameters!$B$54</definedName>
    <definedName name="pDDH2">[1]Parameters!$B$20</definedName>
    <definedName name="pDDPPI">[1]Parameters!$B$22</definedName>
    <definedName name="pPA">[1]Parameters!$B$18</definedName>
    <definedName name="PPI">[1]Parameters!$B$56</definedName>
    <definedName name="pPPI">[1]Parameters!$B$21</definedName>
    <definedName name="_xlnm.Print_Area" localSheetId="2">Parameters!$A$1:$M$53</definedName>
    <definedName name="prob">[1]Parameters!$B$3</definedName>
    <definedName name="pUAPH">Parameters!$B$55</definedName>
    <definedName name="pUAUC">Parameters!$B$56</definedName>
    <definedName name="Rc_">'[1]MC Results'!$U$2</definedName>
    <definedName name="rrEREX">Parameters!$B$27</definedName>
    <definedName name="rrEREXc">Parameters!$B$31</definedName>
    <definedName name="rrHOEX">Parameters!$B$28</definedName>
    <definedName name="rrHOEXc">Parameters!$B$32</definedName>
    <definedName name="rrNP1" localSheetId="7">Parameters!#REF!</definedName>
    <definedName name="rrNP1" localSheetId="8">Parameters!#REF!</definedName>
    <definedName name="rrNP1" localSheetId="5">Parameters!#REF!</definedName>
    <definedName name="rrNP1" localSheetId="9">Parameters!#REF!</definedName>
    <definedName name="rrNP1">Parameters!#REF!</definedName>
    <definedName name="rrnp2">Parameters!#REF!</definedName>
    <definedName name="rrOSEX">Parameters!$B$26</definedName>
    <definedName name="rrOSEXc">Parameters!$B$30</definedName>
    <definedName name="standardRR" localSheetId="7">'B - UC C'!$C$7:$C$66</definedName>
    <definedName name="standardRR" localSheetId="8">'C - PH+UC'!$C$7:$C$66</definedName>
    <definedName name="standardRR" localSheetId="5">Control!#REF!</definedName>
    <definedName name="standardRR" localSheetId="9">'D - PH+C'!$C$7:$C$66</definedName>
    <definedName name="standardRR" localSheetId="2">[2]Standard!$C$7:$C$66</definedName>
    <definedName name="standardRR" localSheetId="4">[2]Standard!$C$7:$C$66</definedName>
    <definedName name="standardRR">'A -UC UC'!$C$7:$C$66</definedName>
    <definedName name="SWDDH2E">[1]Parameters!$B$48</definedName>
    <definedName name="SWDDPPI">[1]Parameters!$B$42</definedName>
    <definedName name="SWDDPPIE">[1]Parameters!$B$50</definedName>
    <definedName name="SWH2E">[1]Parameters!$B$47</definedName>
    <definedName name="SWNH12">[1]Parameters!$B$44</definedName>
    <definedName name="SWNH8">[1]Parameters!$B$45</definedName>
    <definedName name="SWPA">[1]Parameters!$B$38</definedName>
    <definedName name="SWPAE">[1]Parameters!$B$46</definedName>
    <definedName name="SWPPI">[1]Parameters!$B$41</definedName>
    <definedName name="SWPPIE">[1]Parameters!$B$49</definedName>
    <definedName name="SWSU">[1]Parameters!$B$43</definedName>
    <definedName name="uEREX">Parameters!$B$48</definedName>
    <definedName name="UGIE">[1]Parameters!$B$63</definedName>
    <definedName name="UGIS">[1]Parameters!$B$64</definedName>
    <definedName name="uHOEX">Parameters!$B$49</definedName>
    <definedName name="uNES">Parameters!$B$46</definedName>
    <definedName name="uOCEX">Parameters!$B$47</definedName>
    <definedName name="uRevision">Parameters!$B$48</definedName>
    <definedName name="uSuccessP">Parameters!$B$46</definedName>
    <definedName name="uSuccessR">Parameters!$B$47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6" i="15" l="1"/>
  <c r="C66" i="15"/>
  <c r="E65" i="15"/>
  <c r="C65" i="15"/>
  <c r="E64" i="15"/>
  <c r="C64" i="15"/>
  <c r="E63" i="15"/>
  <c r="C63" i="15"/>
  <c r="E62" i="15"/>
  <c r="C62" i="15"/>
  <c r="E61" i="15"/>
  <c r="C61" i="15"/>
  <c r="E60" i="15"/>
  <c r="C60" i="15"/>
  <c r="E59" i="15"/>
  <c r="C59" i="15"/>
  <c r="E58" i="15"/>
  <c r="C58" i="15"/>
  <c r="E57" i="15"/>
  <c r="C57" i="15"/>
  <c r="E56" i="15"/>
  <c r="C56" i="15"/>
  <c r="E55" i="15"/>
  <c r="C55" i="15"/>
  <c r="E54" i="15"/>
  <c r="C54" i="15"/>
  <c r="E53" i="15"/>
  <c r="C53" i="15"/>
  <c r="E52" i="15"/>
  <c r="C52" i="15"/>
  <c r="E51" i="15"/>
  <c r="C51" i="15"/>
  <c r="E50" i="15"/>
  <c r="C50" i="15"/>
  <c r="E49" i="15"/>
  <c r="C49" i="15"/>
  <c r="E48" i="15"/>
  <c r="C48" i="15"/>
  <c r="E47" i="15"/>
  <c r="C47" i="15"/>
  <c r="E46" i="15"/>
  <c r="C46" i="15"/>
  <c r="E45" i="15"/>
  <c r="C45" i="15"/>
  <c r="E44" i="15"/>
  <c r="C44" i="15"/>
  <c r="E43" i="15"/>
  <c r="C43" i="15"/>
  <c r="E42" i="15"/>
  <c r="C42" i="15"/>
  <c r="E41" i="15"/>
  <c r="C41" i="15"/>
  <c r="E40" i="15"/>
  <c r="C40" i="15"/>
  <c r="E39" i="15"/>
  <c r="C39" i="15"/>
  <c r="E38" i="15"/>
  <c r="C38" i="15"/>
  <c r="E37" i="15"/>
  <c r="C37" i="15"/>
  <c r="E36" i="15"/>
  <c r="C36" i="15"/>
  <c r="E35" i="15"/>
  <c r="C35" i="15"/>
  <c r="E34" i="15"/>
  <c r="C34" i="15"/>
  <c r="E33" i="15"/>
  <c r="C33" i="15"/>
  <c r="E32" i="15"/>
  <c r="C32" i="15"/>
  <c r="E31" i="15"/>
  <c r="C31" i="15"/>
  <c r="E30" i="15"/>
  <c r="C30" i="15"/>
  <c r="E29" i="15"/>
  <c r="C29" i="15"/>
  <c r="E28" i="15"/>
  <c r="C28" i="15"/>
  <c r="E27" i="15"/>
  <c r="C27" i="15"/>
  <c r="E26" i="15"/>
  <c r="C26" i="15"/>
  <c r="E25" i="15"/>
  <c r="C25" i="15"/>
  <c r="E24" i="15"/>
  <c r="C24" i="15"/>
  <c r="E23" i="15"/>
  <c r="C23" i="15"/>
  <c r="E22" i="15"/>
  <c r="C22" i="15"/>
  <c r="E21" i="15"/>
  <c r="C21" i="15"/>
  <c r="E20" i="15"/>
  <c r="C20" i="15"/>
  <c r="E19" i="15"/>
  <c r="C19" i="15"/>
  <c r="E18" i="15"/>
  <c r="C18" i="15"/>
  <c r="E17" i="15"/>
  <c r="C17" i="15"/>
  <c r="E16" i="15"/>
  <c r="C16" i="15"/>
  <c r="E15" i="15"/>
  <c r="C15" i="15"/>
  <c r="E14" i="15"/>
  <c r="C14" i="15"/>
  <c r="E13" i="15"/>
  <c r="C13" i="15"/>
  <c r="E12" i="15"/>
  <c r="C12" i="15"/>
  <c r="E11" i="15"/>
  <c r="C11" i="15"/>
  <c r="E10" i="15"/>
  <c r="C10" i="15"/>
  <c r="E9" i="15"/>
  <c r="C9" i="15"/>
  <c r="E8" i="15"/>
  <c r="C8" i="15"/>
  <c r="L7" i="15"/>
  <c r="J7" i="15"/>
  <c r="I7" i="15"/>
  <c r="H7" i="15"/>
  <c r="E7" i="15"/>
  <c r="C7" i="15"/>
  <c r="N6" i="15"/>
  <c r="M6" i="15"/>
  <c r="K7" i="15" l="1"/>
  <c r="G7" i="15"/>
  <c r="B56" i="8"/>
  <c r="F7" i="13" s="1"/>
  <c r="G6" i="5" s="1"/>
  <c r="B55" i="8"/>
  <c r="E36" i="6"/>
  <c r="E37" i="6"/>
  <c r="C37" i="6"/>
  <c r="C36" i="6"/>
  <c r="B36" i="6"/>
  <c r="B37" i="6"/>
  <c r="B53" i="8"/>
  <c r="K7" i="13" s="1"/>
  <c r="B54" i="8"/>
  <c r="E35" i="6"/>
  <c r="E34" i="6"/>
  <c r="C35" i="6"/>
  <c r="C34" i="6"/>
  <c r="B35" i="6"/>
  <c r="B34" i="6"/>
  <c r="L7" i="13"/>
  <c r="M6" i="13"/>
  <c r="E7" i="13"/>
  <c r="E66" i="14"/>
  <c r="C66" i="14"/>
  <c r="E65" i="14"/>
  <c r="C65" i="14"/>
  <c r="E64" i="14"/>
  <c r="C64" i="14"/>
  <c r="E63" i="14"/>
  <c r="C63" i="14"/>
  <c r="E62" i="14"/>
  <c r="C62" i="14"/>
  <c r="E61" i="14"/>
  <c r="C61" i="14"/>
  <c r="E60" i="14"/>
  <c r="C60" i="14"/>
  <c r="E59" i="14"/>
  <c r="C59" i="14"/>
  <c r="E58" i="14"/>
  <c r="C58" i="14"/>
  <c r="E57" i="14"/>
  <c r="C57" i="14"/>
  <c r="E56" i="14"/>
  <c r="C56" i="14"/>
  <c r="E55" i="14"/>
  <c r="C55" i="14"/>
  <c r="E54" i="14"/>
  <c r="C54" i="14"/>
  <c r="E53" i="14"/>
  <c r="C53" i="14"/>
  <c r="E52" i="14"/>
  <c r="C52" i="14"/>
  <c r="E51" i="14"/>
  <c r="C51" i="14"/>
  <c r="E50" i="14"/>
  <c r="C50" i="14"/>
  <c r="E49" i="14"/>
  <c r="C49" i="14"/>
  <c r="E48" i="14"/>
  <c r="C48" i="14"/>
  <c r="E47" i="14"/>
  <c r="C47" i="14"/>
  <c r="E46" i="14"/>
  <c r="C46" i="14"/>
  <c r="E45" i="14"/>
  <c r="C45" i="14"/>
  <c r="E44" i="14"/>
  <c r="C44" i="14"/>
  <c r="E43" i="14"/>
  <c r="C43" i="14"/>
  <c r="E42" i="14"/>
  <c r="C42" i="14"/>
  <c r="E41" i="14"/>
  <c r="C41" i="14"/>
  <c r="E40" i="14"/>
  <c r="C40" i="14"/>
  <c r="E39" i="14"/>
  <c r="C39" i="14"/>
  <c r="E38" i="14"/>
  <c r="C38" i="14"/>
  <c r="E37" i="14"/>
  <c r="C37" i="14"/>
  <c r="E36" i="14"/>
  <c r="C36" i="14"/>
  <c r="E35" i="14"/>
  <c r="C35" i="14"/>
  <c r="E34" i="14"/>
  <c r="C34" i="14"/>
  <c r="E33" i="14"/>
  <c r="C33" i="14"/>
  <c r="E32" i="14"/>
  <c r="C32" i="14"/>
  <c r="E31" i="14"/>
  <c r="C31" i="14"/>
  <c r="E30" i="14"/>
  <c r="C30" i="14"/>
  <c r="E29" i="14"/>
  <c r="C29" i="14"/>
  <c r="E28" i="14"/>
  <c r="C28" i="14"/>
  <c r="E27" i="14"/>
  <c r="C27" i="14"/>
  <c r="E26" i="14"/>
  <c r="C26" i="14"/>
  <c r="E25" i="14"/>
  <c r="C25" i="14"/>
  <c r="E24" i="14"/>
  <c r="C24" i="14"/>
  <c r="E23" i="14"/>
  <c r="C23" i="14"/>
  <c r="E22" i="14"/>
  <c r="C22" i="14"/>
  <c r="E21" i="14"/>
  <c r="C21" i="14"/>
  <c r="E20" i="14"/>
  <c r="C20" i="14"/>
  <c r="E19" i="14"/>
  <c r="C19" i="14"/>
  <c r="E18" i="14"/>
  <c r="C18" i="14"/>
  <c r="E17" i="14"/>
  <c r="C17" i="14"/>
  <c r="E16" i="14"/>
  <c r="C16" i="14"/>
  <c r="E15" i="14"/>
  <c r="C15" i="14"/>
  <c r="E14" i="14"/>
  <c r="C14" i="14"/>
  <c r="E13" i="14"/>
  <c r="C13" i="14"/>
  <c r="E12" i="14"/>
  <c r="C12" i="14"/>
  <c r="E11" i="14"/>
  <c r="C11" i="14"/>
  <c r="E10" i="14"/>
  <c r="C10" i="14"/>
  <c r="E9" i="14"/>
  <c r="C9" i="14"/>
  <c r="E8" i="14"/>
  <c r="C8" i="14"/>
  <c r="E7" i="14"/>
  <c r="K7" i="14" s="1"/>
  <c r="C7" i="14"/>
  <c r="N6" i="14"/>
  <c r="M6" i="14"/>
  <c r="G6" i="13"/>
  <c r="K8" i="15" l="1"/>
  <c r="L8" i="15"/>
  <c r="M7" i="15"/>
  <c r="J8" i="15"/>
  <c r="I8" i="15"/>
  <c r="P7" i="15"/>
  <c r="H8" i="15"/>
  <c r="N7" i="15"/>
  <c r="G8" i="15"/>
  <c r="O7" i="15"/>
  <c r="E8" i="13"/>
  <c r="K8" i="13"/>
  <c r="M8" i="13" s="1"/>
  <c r="F8" i="13"/>
  <c r="L8" i="13"/>
  <c r="M7" i="13"/>
  <c r="G7" i="13"/>
  <c r="B32" i="8"/>
  <c r="B31" i="8"/>
  <c r="B30" i="8"/>
  <c r="B28" i="8"/>
  <c r="J7" i="14" s="1"/>
  <c r="B27" i="8"/>
  <c r="I7" i="14" s="1"/>
  <c r="B26" i="8"/>
  <c r="H7" i="14" s="1"/>
  <c r="C27" i="6"/>
  <c r="E27" i="6" s="1"/>
  <c r="C28" i="6"/>
  <c r="E28" i="6" s="1"/>
  <c r="C26" i="6"/>
  <c r="C29" i="6"/>
  <c r="E29" i="6" s="1"/>
  <c r="D28" i="6"/>
  <c r="D27" i="6"/>
  <c r="D26" i="6"/>
  <c r="E26" i="6"/>
  <c r="C15" i="6"/>
  <c r="E15" i="6" s="1"/>
  <c r="C19" i="6"/>
  <c r="E19" i="6" s="1"/>
  <c r="C16" i="6"/>
  <c r="E16" i="6" s="1"/>
  <c r="C17" i="6"/>
  <c r="E17" i="6" s="1"/>
  <c r="C18" i="6"/>
  <c r="E18" i="6" s="1"/>
  <c r="D17" i="6"/>
  <c r="D16" i="6"/>
  <c r="D15" i="6"/>
  <c r="E66" i="9"/>
  <c r="C66" i="9"/>
  <c r="E65" i="9"/>
  <c r="C65" i="9"/>
  <c r="E64" i="9"/>
  <c r="C64" i="9"/>
  <c r="E63" i="9"/>
  <c r="C63" i="9"/>
  <c r="E62" i="9"/>
  <c r="C62" i="9"/>
  <c r="E61" i="9"/>
  <c r="C61" i="9"/>
  <c r="E60" i="9"/>
  <c r="C60" i="9"/>
  <c r="E59" i="9"/>
  <c r="C59" i="9"/>
  <c r="E58" i="9"/>
  <c r="C58" i="9"/>
  <c r="E57" i="9"/>
  <c r="C57" i="9"/>
  <c r="E56" i="9"/>
  <c r="C56" i="9"/>
  <c r="E55" i="9"/>
  <c r="C55" i="9"/>
  <c r="E54" i="9"/>
  <c r="C54" i="9"/>
  <c r="E53" i="9"/>
  <c r="C53" i="9"/>
  <c r="E52" i="9"/>
  <c r="C52" i="9"/>
  <c r="E51" i="9"/>
  <c r="C51" i="9"/>
  <c r="E50" i="9"/>
  <c r="C50" i="9"/>
  <c r="E49" i="9"/>
  <c r="C49" i="9"/>
  <c r="E48" i="9"/>
  <c r="C48" i="9"/>
  <c r="E47" i="9"/>
  <c r="C47" i="9"/>
  <c r="E46" i="9"/>
  <c r="C46" i="9"/>
  <c r="E45" i="9"/>
  <c r="C45" i="9"/>
  <c r="E44" i="9"/>
  <c r="C44" i="9"/>
  <c r="E43" i="9"/>
  <c r="C43" i="9"/>
  <c r="E42" i="9"/>
  <c r="C42" i="9"/>
  <c r="E41" i="9"/>
  <c r="C41" i="9"/>
  <c r="E40" i="9"/>
  <c r="C40" i="9"/>
  <c r="E39" i="9"/>
  <c r="C39" i="9"/>
  <c r="E38" i="9"/>
  <c r="C38" i="9"/>
  <c r="E37" i="9"/>
  <c r="C37" i="9"/>
  <c r="E36" i="9"/>
  <c r="C36" i="9"/>
  <c r="E35" i="9"/>
  <c r="C35" i="9"/>
  <c r="E34" i="9"/>
  <c r="C34" i="9"/>
  <c r="E33" i="9"/>
  <c r="C33" i="9"/>
  <c r="E32" i="9"/>
  <c r="C32" i="9"/>
  <c r="E31" i="9"/>
  <c r="C31" i="9"/>
  <c r="E30" i="9"/>
  <c r="C30" i="9"/>
  <c r="E29" i="9"/>
  <c r="C29" i="9"/>
  <c r="E28" i="9"/>
  <c r="C28" i="9"/>
  <c r="E27" i="9"/>
  <c r="C27" i="9"/>
  <c r="E26" i="9"/>
  <c r="C26" i="9"/>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 r="E10" i="9"/>
  <c r="C10" i="9"/>
  <c r="E9" i="9"/>
  <c r="C9" i="9"/>
  <c r="E8" i="9"/>
  <c r="C8" i="9"/>
  <c r="E7" i="9"/>
  <c r="K7" i="9" s="1"/>
  <c r="C7" i="9"/>
  <c r="N6" i="9"/>
  <c r="M6" i="9"/>
  <c r="N6" i="5"/>
  <c r="G9" i="15" l="1"/>
  <c r="K9" i="15"/>
  <c r="J9" i="15"/>
  <c r="I9" i="15"/>
  <c r="P8" i="15"/>
  <c r="H9" i="15"/>
  <c r="N8" i="15"/>
  <c r="L9" i="15"/>
  <c r="M8" i="15"/>
  <c r="O8" i="15"/>
  <c r="E9" i="13"/>
  <c r="F9" i="13"/>
  <c r="F10" i="13" s="1"/>
  <c r="K9" i="13"/>
  <c r="M9" i="13" s="1"/>
  <c r="E10" i="13"/>
  <c r="L9" i="13"/>
  <c r="G8" i="13"/>
  <c r="B8" i="6"/>
  <c r="G10" i="15" l="1"/>
  <c r="L11" i="15" s="1"/>
  <c r="O9" i="15"/>
  <c r="K10" i="15"/>
  <c r="I10" i="15"/>
  <c r="P10" i="15" s="1"/>
  <c r="P9" i="15"/>
  <c r="H10" i="15"/>
  <c r="N9" i="15"/>
  <c r="L10" i="15"/>
  <c r="M9" i="15"/>
  <c r="J10" i="15"/>
  <c r="H11" i="15"/>
  <c r="J11" i="15"/>
  <c r="E11" i="13"/>
  <c r="F12" i="13" s="1"/>
  <c r="K10" i="13"/>
  <c r="L10" i="13"/>
  <c r="M10" i="13" s="1"/>
  <c r="F11" i="13"/>
  <c r="G10" i="13"/>
  <c r="G9" i="13"/>
  <c r="C8" i="6"/>
  <c r="E8" i="6" s="1"/>
  <c r="B19" i="8" s="1"/>
  <c r="B30" i="6"/>
  <c r="C30" i="6" s="1"/>
  <c r="E30" i="6" s="1"/>
  <c r="C7" i="6"/>
  <c r="E7" i="6" s="1"/>
  <c r="B20" i="8" s="1"/>
  <c r="C5" i="6"/>
  <c r="E5" i="6" s="1"/>
  <c r="I7" i="9" s="1"/>
  <c r="C6" i="6"/>
  <c r="E6" i="6" s="1"/>
  <c r="J7" i="5" s="1"/>
  <c r="C4" i="6"/>
  <c r="E4" i="6"/>
  <c r="H7" i="5" s="1"/>
  <c r="D5" i="6"/>
  <c r="D6" i="6"/>
  <c r="D4" i="6"/>
  <c r="E8" i="5"/>
  <c r="E9" i="5"/>
  <c r="E13" i="5"/>
  <c r="E15" i="5"/>
  <c r="E16" i="5"/>
  <c r="E17" i="5"/>
  <c r="E20" i="5"/>
  <c r="E21" i="5"/>
  <c r="E23" i="5"/>
  <c r="E25" i="5"/>
  <c r="E28" i="5"/>
  <c r="E29" i="5"/>
  <c r="E31" i="5"/>
  <c r="E32" i="5"/>
  <c r="E33" i="5"/>
  <c r="E36" i="5"/>
  <c r="E39" i="5"/>
  <c r="E40" i="5"/>
  <c r="E41" i="5"/>
  <c r="E44" i="5"/>
  <c r="E45" i="5"/>
  <c r="E47" i="5"/>
  <c r="E48" i="5"/>
  <c r="E52" i="5"/>
  <c r="E53" i="5"/>
  <c r="E55" i="5"/>
  <c r="E56" i="5"/>
  <c r="E57" i="5"/>
  <c r="E60" i="5"/>
  <c r="E61" i="5"/>
  <c r="E64" i="5"/>
  <c r="E65" i="5"/>
  <c r="B9" i="8"/>
  <c r="B8" i="8"/>
  <c r="I11" i="15" l="1"/>
  <c r="K11" i="15"/>
  <c r="G11" i="15"/>
  <c r="O11" i="15"/>
  <c r="N10" i="15"/>
  <c r="M10" i="15"/>
  <c r="G12" i="15"/>
  <c r="O10" i="15"/>
  <c r="E12" i="13"/>
  <c r="E13" i="13" s="1"/>
  <c r="K11" i="13"/>
  <c r="L11" i="13"/>
  <c r="L12" i="13" s="1"/>
  <c r="G7" i="14"/>
  <c r="G8" i="14" s="1"/>
  <c r="L7" i="14"/>
  <c r="F13" i="13"/>
  <c r="G11" i="13"/>
  <c r="L7" i="9"/>
  <c r="H7" i="9"/>
  <c r="J7" i="9"/>
  <c r="L7" i="5"/>
  <c r="G7" i="9"/>
  <c r="I7" i="5"/>
  <c r="E10" i="5"/>
  <c r="E18" i="5"/>
  <c r="E26" i="5"/>
  <c r="E34" i="5"/>
  <c r="E42" i="5"/>
  <c r="E50" i="5"/>
  <c r="E58" i="5"/>
  <c r="E66" i="5"/>
  <c r="E11" i="5"/>
  <c r="E19" i="5"/>
  <c r="E27" i="5"/>
  <c r="E35" i="5"/>
  <c r="E43" i="5"/>
  <c r="E51" i="5"/>
  <c r="E59" i="5"/>
  <c r="E7" i="5"/>
  <c r="E14" i="5"/>
  <c r="E22" i="5"/>
  <c r="E30" i="5"/>
  <c r="E38" i="5"/>
  <c r="E46" i="5"/>
  <c r="E54" i="5"/>
  <c r="E62" i="5"/>
  <c r="E12" i="5"/>
  <c r="E24" i="5"/>
  <c r="E37" i="5"/>
  <c r="E49" i="5"/>
  <c r="E63" i="5"/>
  <c r="M6" i="5"/>
  <c r="D15" i="3"/>
  <c r="E15" i="3"/>
  <c r="J13" i="15" l="1"/>
  <c r="I13" i="15"/>
  <c r="H13" i="15"/>
  <c r="M11" i="13"/>
  <c r="K12" i="15"/>
  <c r="L12" i="15"/>
  <c r="M11" i="15"/>
  <c r="H12" i="15"/>
  <c r="J12" i="15"/>
  <c r="L13" i="15" s="1"/>
  <c r="N11" i="15"/>
  <c r="I12" i="15"/>
  <c r="P11" i="15"/>
  <c r="K12" i="13"/>
  <c r="M12" i="13" s="1"/>
  <c r="J9" i="14"/>
  <c r="I9" i="14"/>
  <c r="H9" i="14"/>
  <c r="P7" i="14"/>
  <c r="I8" i="14"/>
  <c r="M7" i="14"/>
  <c r="H8" i="14"/>
  <c r="L8" i="14"/>
  <c r="J8" i="14"/>
  <c r="N7" i="14"/>
  <c r="K8" i="14"/>
  <c r="O7" i="14"/>
  <c r="E14" i="13"/>
  <c r="F14" i="13"/>
  <c r="G12" i="13"/>
  <c r="P7" i="9"/>
  <c r="H8" i="9"/>
  <c r="L8" i="9"/>
  <c r="G8" i="9"/>
  <c r="H9" i="9" s="1"/>
  <c r="I8" i="9"/>
  <c r="O7" i="9"/>
  <c r="K8" i="9"/>
  <c r="J8" i="9"/>
  <c r="M7" i="9"/>
  <c r="N7" i="9"/>
  <c r="K7" i="5"/>
  <c r="G7" i="5"/>
  <c r="C7" i="5"/>
  <c r="C15" i="5"/>
  <c r="C23" i="5"/>
  <c r="C31" i="5"/>
  <c r="C39" i="5"/>
  <c r="C47" i="5"/>
  <c r="C55" i="5"/>
  <c r="C63" i="5"/>
  <c r="C42" i="5"/>
  <c r="C66" i="5"/>
  <c r="C11" i="5"/>
  <c r="C27" i="5"/>
  <c r="C43" i="5"/>
  <c r="C59" i="5"/>
  <c r="C12" i="5"/>
  <c r="C36" i="5"/>
  <c r="C60" i="5"/>
  <c r="C21" i="5"/>
  <c r="C53" i="5"/>
  <c r="C22" i="5"/>
  <c r="C46" i="5"/>
  <c r="C8" i="5"/>
  <c r="C16" i="5"/>
  <c r="C24" i="5"/>
  <c r="C32" i="5"/>
  <c r="C40" i="5"/>
  <c r="C48" i="5"/>
  <c r="C56" i="5"/>
  <c r="C64" i="5"/>
  <c r="C10" i="5"/>
  <c r="C18" i="5"/>
  <c r="C26" i="5"/>
  <c r="C34" i="5"/>
  <c r="C50" i="5"/>
  <c r="C58" i="5"/>
  <c r="C20" i="5"/>
  <c r="C44" i="5"/>
  <c r="C13" i="5"/>
  <c r="C37" i="5"/>
  <c r="C61" i="5"/>
  <c r="C30" i="5"/>
  <c r="C54" i="5"/>
  <c r="C9" i="5"/>
  <c r="C17" i="5"/>
  <c r="C25" i="5"/>
  <c r="C33" i="5"/>
  <c r="C41" i="5"/>
  <c r="C49" i="5"/>
  <c r="C57" i="5"/>
  <c r="C65" i="5"/>
  <c r="C19" i="5"/>
  <c r="C35" i="5"/>
  <c r="C51" i="5"/>
  <c r="C28" i="5"/>
  <c r="C52" i="5"/>
  <c r="C29" i="5"/>
  <c r="C45" i="5"/>
  <c r="C14" i="5"/>
  <c r="C38" i="5"/>
  <c r="C62" i="5"/>
  <c r="O12" i="15" l="1"/>
  <c r="L13" i="13"/>
  <c r="P12" i="15"/>
  <c r="K13" i="13"/>
  <c r="N12" i="15"/>
  <c r="L9" i="14"/>
  <c r="G13" i="15"/>
  <c r="G14" i="15" s="1"/>
  <c r="M12" i="15"/>
  <c r="K13" i="15"/>
  <c r="K9" i="14"/>
  <c r="M8" i="14"/>
  <c r="K14" i="13"/>
  <c r="L14" i="13"/>
  <c r="P8" i="14"/>
  <c r="G9" i="14"/>
  <c r="M9" i="14" s="1"/>
  <c r="O8" i="14"/>
  <c r="N8" i="14"/>
  <c r="M13" i="13"/>
  <c r="E15" i="13"/>
  <c r="F15" i="13"/>
  <c r="G13" i="13"/>
  <c r="P8" i="9"/>
  <c r="N8" i="9"/>
  <c r="O8" i="9"/>
  <c r="K9" i="9"/>
  <c r="J9" i="9"/>
  <c r="I9" i="9"/>
  <c r="M8" i="9"/>
  <c r="G9" i="9"/>
  <c r="H10" i="9" s="1"/>
  <c r="L9" i="9"/>
  <c r="L8" i="5"/>
  <c r="N7" i="5"/>
  <c r="P7" i="5"/>
  <c r="I8" i="5"/>
  <c r="J8" i="5"/>
  <c r="K8" i="5"/>
  <c r="O7" i="5"/>
  <c r="H8" i="5"/>
  <c r="G8" i="5"/>
  <c r="H15" i="15" l="1"/>
  <c r="I15" i="15"/>
  <c r="J15" i="15"/>
  <c r="K14" i="15"/>
  <c r="I14" i="15"/>
  <c r="P13" i="15"/>
  <c r="H14" i="15"/>
  <c r="G15" i="15" s="1"/>
  <c r="N13" i="15"/>
  <c r="J14" i="15"/>
  <c r="L15" i="15" s="1"/>
  <c r="L14" i="15"/>
  <c r="M13" i="15"/>
  <c r="O13" i="15"/>
  <c r="K15" i="13"/>
  <c r="L15" i="13"/>
  <c r="I10" i="14"/>
  <c r="K10" i="14"/>
  <c r="H10" i="14"/>
  <c r="J10" i="14"/>
  <c r="N9" i="14"/>
  <c r="L10" i="14"/>
  <c r="P9" i="14"/>
  <c r="G10" i="14"/>
  <c r="O9" i="14"/>
  <c r="M14" i="13"/>
  <c r="E16" i="13"/>
  <c r="F16" i="13"/>
  <c r="K10" i="9"/>
  <c r="J10" i="9"/>
  <c r="N9" i="9"/>
  <c r="G10" i="9"/>
  <c r="L10" i="9"/>
  <c r="O9" i="9"/>
  <c r="I10" i="9"/>
  <c r="M9" i="9"/>
  <c r="P9" i="9"/>
  <c r="L9" i="5"/>
  <c r="O8" i="5"/>
  <c r="N8" i="5"/>
  <c r="H9" i="5"/>
  <c r="I9" i="5"/>
  <c r="J9" i="5"/>
  <c r="P8" i="5"/>
  <c r="K9" i="5"/>
  <c r="M8" i="5"/>
  <c r="G9" i="5"/>
  <c r="M7" i="5"/>
  <c r="N14" i="15" l="1"/>
  <c r="L16" i="15"/>
  <c r="J16" i="15"/>
  <c r="H16" i="15"/>
  <c r="I16" i="15"/>
  <c r="P15" i="15"/>
  <c r="N15" i="15"/>
  <c r="P14" i="15"/>
  <c r="O14" i="15"/>
  <c r="O15" i="15"/>
  <c r="G16" i="15"/>
  <c r="M14" i="15"/>
  <c r="K15" i="15"/>
  <c r="K16" i="15" s="1"/>
  <c r="O10" i="14"/>
  <c r="K16" i="13"/>
  <c r="L16" i="13"/>
  <c r="L11" i="14"/>
  <c r="P10" i="14"/>
  <c r="M10" i="14"/>
  <c r="K11" i="14"/>
  <c r="I11" i="14"/>
  <c r="N10" i="14"/>
  <c r="J11" i="14"/>
  <c r="H11" i="14"/>
  <c r="G11" i="14"/>
  <c r="M15" i="13"/>
  <c r="E17" i="13"/>
  <c r="F17" i="13"/>
  <c r="G14" i="13"/>
  <c r="P10" i="9"/>
  <c r="H11" i="9"/>
  <c r="O10" i="9"/>
  <c r="I11" i="9"/>
  <c r="K11" i="9"/>
  <c r="M10" i="9"/>
  <c r="G11" i="9"/>
  <c r="I12" i="9" s="1"/>
  <c r="L11" i="9"/>
  <c r="J11" i="9"/>
  <c r="N10" i="9"/>
  <c r="G10" i="5"/>
  <c r="J11" i="5" s="1"/>
  <c r="K10" i="5"/>
  <c r="O9" i="5"/>
  <c r="N9" i="5"/>
  <c r="P9" i="5"/>
  <c r="L10" i="5"/>
  <c r="J10" i="5"/>
  <c r="H10" i="5"/>
  <c r="I10" i="5"/>
  <c r="M9" i="5"/>
  <c r="M15" i="15" l="1"/>
  <c r="O16" i="15"/>
  <c r="G17" i="15"/>
  <c r="K17" i="15"/>
  <c r="J17" i="15"/>
  <c r="I17" i="15"/>
  <c r="P16" i="15"/>
  <c r="H17" i="15"/>
  <c r="N16" i="15"/>
  <c r="L17" i="15"/>
  <c r="M16" i="15"/>
  <c r="G12" i="14"/>
  <c r="H13" i="14" s="1"/>
  <c r="L17" i="13"/>
  <c r="K17" i="13"/>
  <c r="O11" i="14"/>
  <c r="N11" i="14"/>
  <c r="H12" i="14"/>
  <c r="I12" i="14"/>
  <c r="K12" i="14"/>
  <c r="P11" i="14"/>
  <c r="M11" i="14"/>
  <c r="L12" i="14"/>
  <c r="J12" i="14"/>
  <c r="M16" i="13"/>
  <c r="F18" i="13"/>
  <c r="E18" i="13"/>
  <c r="G15" i="13"/>
  <c r="O11" i="9"/>
  <c r="H12" i="9"/>
  <c r="K12" i="9"/>
  <c r="J12" i="9"/>
  <c r="G12" i="9"/>
  <c r="P11" i="9"/>
  <c r="M11" i="9"/>
  <c r="N11" i="9"/>
  <c r="L12" i="9"/>
  <c r="I11" i="5"/>
  <c r="M10" i="5"/>
  <c r="H11" i="5"/>
  <c r="K11" i="5"/>
  <c r="L11" i="5"/>
  <c r="N10" i="5"/>
  <c r="P10" i="5"/>
  <c r="O10" i="5"/>
  <c r="G11" i="5"/>
  <c r="I13" i="14" l="1"/>
  <c r="K18" i="15"/>
  <c r="J18" i="15"/>
  <c r="N17" i="15"/>
  <c r="L18" i="15"/>
  <c r="I18" i="15"/>
  <c r="P17" i="15"/>
  <c r="H18" i="15"/>
  <c r="M17" i="15"/>
  <c r="M12" i="14"/>
  <c r="K13" i="14"/>
  <c r="J13" i="14"/>
  <c r="G14" i="14" s="1"/>
  <c r="G18" i="15"/>
  <c r="O17" i="15"/>
  <c r="P12" i="14"/>
  <c r="O12" i="14"/>
  <c r="K18" i="13"/>
  <c r="L18" i="13"/>
  <c r="N12" i="14"/>
  <c r="L13" i="14"/>
  <c r="G13" i="14"/>
  <c r="M17" i="13"/>
  <c r="E19" i="13"/>
  <c r="F19" i="13"/>
  <c r="G16" i="13"/>
  <c r="G17" i="13"/>
  <c r="M12" i="9"/>
  <c r="G13" i="9"/>
  <c r="H14" i="9" s="1"/>
  <c r="P12" i="9"/>
  <c r="G12" i="5"/>
  <c r="H13" i="5" s="1"/>
  <c r="H13" i="9"/>
  <c r="K13" i="9"/>
  <c r="L13" i="9"/>
  <c r="I13" i="9"/>
  <c r="J13" i="9"/>
  <c r="O12" i="9"/>
  <c r="N12" i="9"/>
  <c r="O11" i="5"/>
  <c r="P11" i="5"/>
  <c r="N11" i="5"/>
  <c r="L12" i="5"/>
  <c r="I12" i="5"/>
  <c r="H12" i="5"/>
  <c r="J12" i="5"/>
  <c r="K12" i="5"/>
  <c r="M11" i="5"/>
  <c r="O13" i="14" l="1"/>
  <c r="K19" i="15"/>
  <c r="N18" i="15"/>
  <c r="J19" i="15"/>
  <c r="L19" i="15"/>
  <c r="I19" i="15"/>
  <c r="P18" i="15"/>
  <c r="H19" i="15"/>
  <c r="G20" i="15" s="1"/>
  <c r="M18" i="15"/>
  <c r="G19" i="15"/>
  <c r="O18" i="15"/>
  <c r="K19" i="13"/>
  <c r="L19" i="13"/>
  <c r="J15" i="14"/>
  <c r="H15" i="14"/>
  <c r="I15" i="14"/>
  <c r="K14" i="14"/>
  <c r="H14" i="14"/>
  <c r="I14" i="14"/>
  <c r="P13" i="14"/>
  <c r="J14" i="14"/>
  <c r="N13" i="14"/>
  <c r="M13" i="14"/>
  <c r="L14" i="14"/>
  <c r="M18" i="13"/>
  <c r="E20" i="13"/>
  <c r="F20" i="13"/>
  <c r="G18" i="13"/>
  <c r="J14" i="9"/>
  <c r="I14" i="9"/>
  <c r="K14" i="9"/>
  <c r="O13" i="9"/>
  <c r="J13" i="5"/>
  <c r="I13" i="5"/>
  <c r="N13" i="9"/>
  <c r="P13" i="9"/>
  <c r="M13" i="9"/>
  <c r="L14" i="9"/>
  <c r="G14" i="9"/>
  <c r="L13" i="5"/>
  <c r="G13" i="5"/>
  <c r="K13" i="5"/>
  <c r="O12" i="5"/>
  <c r="N12" i="5"/>
  <c r="M12" i="5"/>
  <c r="P12" i="5"/>
  <c r="J21" i="15" l="1"/>
  <c r="I21" i="15"/>
  <c r="H21" i="15"/>
  <c r="L21" i="15"/>
  <c r="K20" i="15"/>
  <c r="J20" i="15"/>
  <c r="N19" i="15"/>
  <c r="H20" i="15"/>
  <c r="M20" i="15" s="1"/>
  <c r="M19" i="15"/>
  <c r="P19" i="15"/>
  <c r="L20" i="15"/>
  <c r="I20" i="15"/>
  <c r="O19" i="15"/>
  <c r="P14" i="14"/>
  <c r="K15" i="14"/>
  <c r="M14" i="14"/>
  <c r="K20" i="13"/>
  <c r="L20" i="13"/>
  <c r="O14" i="14"/>
  <c r="N14" i="14"/>
  <c r="L15" i="14"/>
  <c r="G15" i="14"/>
  <c r="G16" i="14" s="1"/>
  <c r="M19" i="13"/>
  <c r="E21" i="13"/>
  <c r="F21" i="13"/>
  <c r="G19" i="13"/>
  <c r="N14" i="9"/>
  <c r="G15" i="9"/>
  <c r="J16" i="9" s="1"/>
  <c r="L14" i="5"/>
  <c r="L15" i="9"/>
  <c r="P14" i="9"/>
  <c r="I15" i="9"/>
  <c r="H15" i="9"/>
  <c r="O14" i="9"/>
  <c r="K15" i="9"/>
  <c r="J15" i="9"/>
  <c r="M14" i="9"/>
  <c r="O13" i="5"/>
  <c r="I14" i="5"/>
  <c r="J14" i="5"/>
  <c r="G14" i="5"/>
  <c r="H15" i="5" s="1"/>
  <c r="P13" i="5"/>
  <c r="N13" i="5"/>
  <c r="K14" i="5"/>
  <c r="M13" i="5"/>
  <c r="H14" i="5"/>
  <c r="O20" i="15" l="1"/>
  <c r="G21" i="15"/>
  <c r="G22" i="15" s="1"/>
  <c r="N20" i="15"/>
  <c r="P20" i="15"/>
  <c r="K21" i="15"/>
  <c r="K21" i="13"/>
  <c r="L21" i="13"/>
  <c r="H17" i="14"/>
  <c r="J17" i="14"/>
  <c r="I17" i="14"/>
  <c r="L16" i="14"/>
  <c r="I16" i="14"/>
  <c r="H16" i="14"/>
  <c r="J16" i="14"/>
  <c r="K16" i="14"/>
  <c r="M15" i="14"/>
  <c r="N15" i="14"/>
  <c r="P15" i="14"/>
  <c r="O15" i="14"/>
  <c r="M20" i="13"/>
  <c r="E22" i="13"/>
  <c r="F22" i="13"/>
  <c r="G20" i="13"/>
  <c r="O15" i="9"/>
  <c r="P14" i="5"/>
  <c r="L16" i="9"/>
  <c r="H16" i="9"/>
  <c r="N15" i="9"/>
  <c r="I16" i="9"/>
  <c r="M15" i="9"/>
  <c r="G16" i="9"/>
  <c r="I17" i="9" s="1"/>
  <c r="K15" i="5"/>
  <c r="K16" i="9"/>
  <c r="O14" i="5"/>
  <c r="P15" i="9"/>
  <c r="G15" i="5"/>
  <c r="J16" i="5" s="1"/>
  <c r="N14" i="5"/>
  <c r="L15" i="5"/>
  <c r="J15" i="5"/>
  <c r="I15" i="5"/>
  <c r="M14" i="5"/>
  <c r="J23" i="15" l="1"/>
  <c r="H23" i="15"/>
  <c r="I23" i="15"/>
  <c r="P22" i="15"/>
  <c r="K22" i="15"/>
  <c r="J22" i="15"/>
  <c r="N21" i="15"/>
  <c r="L22" i="15"/>
  <c r="L23" i="15" s="1"/>
  <c r="I22" i="15"/>
  <c r="P21" i="15"/>
  <c r="H22" i="15"/>
  <c r="G23" i="15" s="1"/>
  <c r="M21" i="15"/>
  <c r="O21" i="15"/>
  <c r="O16" i="14"/>
  <c r="P16" i="14"/>
  <c r="M16" i="14"/>
  <c r="L17" i="14"/>
  <c r="G17" i="14"/>
  <c r="H18" i="14" s="1"/>
  <c r="K22" i="13"/>
  <c r="L22" i="13"/>
  <c r="N16" i="14"/>
  <c r="K17" i="14"/>
  <c r="K18" i="14" s="1"/>
  <c r="I18" i="14"/>
  <c r="M21" i="13"/>
  <c r="F23" i="13"/>
  <c r="E23" i="13"/>
  <c r="G22" i="13"/>
  <c r="G21" i="13"/>
  <c r="G17" i="9"/>
  <c r="H18" i="9" s="1"/>
  <c r="O16" i="9"/>
  <c r="J17" i="9"/>
  <c r="I16" i="5"/>
  <c r="M16" i="9"/>
  <c r="H16" i="5"/>
  <c r="N16" i="9"/>
  <c r="P16" i="9"/>
  <c r="H17" i="9"/>
  <c r="L17" i="9"/>
  <c r="K17" i="9"/>
  <c r="P15" i="5"/>
  <c r="N15" i="5"/>
  <c r="O15" i="5"/>
  <c r="M15" i="5"/>
  <c r="G16" i="5"/>
  <c r="I17" i="5" s="1"/>
  <c r="K16" i="5"/>
  <c r="L16" i="5"/>
  <c r="N23" i="15" l="1"/>
  <c r="J24" i="15"/>
  <c r="H24" i="15"/>
  <c r="I24" i="15"/>
  <c r="P23" i="15"/>
  <c r="L24" i="15"/>
  <c r="O23" i="15"/>
  <c r="M22" i="15"/>
  <c r="N22" i="15"/>
  <c r="O22" i="15"/>
  <c r="G24" i="15"/>
  <c r="K23" i="15"/>
  <c r="K24" i="15" s="1"/>
  <c r="L18" i="14"/>
  <c r="N17" i="14"/>
  <c r="O17" i="14"/>
  <c r="J18" i="14"/>
  <c r="P17" i="14"/>
  <c r="G18" i="14"/>
  <c r="L19" i="14" s="1"/>
  <c r="M17" i="14"/>
  <c r="K23" i="13"/>
  <c r="L23" i="13"/>
  <c r="M22" i="13"/>
  <c r="E24" i="13"/>
  <c r="F24" i="13"/>
  <c r="G18" i="9"/>
  <c r="I19" i="9" s="1"/>
  <c r="J18" i="9"/>
  <c r="L18" i="9"/>
  <c r="K18" i="9"/>
  <c r="I18" i="9"/>
  <c r="P17" i="9"/>
  <c r="M16" i="5"/>
  <c r="O17" i="9"/>
  <c r="N17" i="9"/>
  <c r="M17" i="9"/>
  <c r="G17" i="5"/>
  <c r="P16" i="5"/>
  <c r="N16" i="5"/>
  <c r="O16" i="5"/>
  <c r="J17" i="5"/>
  <c r="L17" i="5"/>
  <c r="H17" i="5"/>
  <c r="K17" i="5"/>
  <c r="P18" i="14" l="1"/>
  <c r="M23" i="15"/>
  <c r="K25" i="15"/>
  <c r="J25" i="15"/>
  <c r="N24" i="15"/>
  <c r="I25" i="15"/>
  <c r="P24" i="15"/>
  <c r="H25" i="15"/>
  <c r="M24" i="15"/>
  <c r="L25" i="15"/>
  <c r="I19" i="14"/>
  <c r="G25" i="15"/>
  <c r="G19" i="14"/>
  <c r="O24" i="15"/>
  <c r="H19" i="14"/>
  <c r="J19" i="14"/>
  <c r="M19" i="14" s="1"/>
  <c r="J20" i="14"/>
  <c r="N18" i="14"/>
  <c r="O18" i="14"/>
  <c r="M18" i="14"/>
  <c r="K19" i="14"/>
  <c r="L24" i="13"/>
  <c r="K24" i="13"/>
  <c r="M23" i="13"/>
  <c r="E25" i="13"/>
  <c r="F25" i="13"/>
  <c r="G24" i="13"/>
  <c r="G23" i="13"/>
  <c r="K19" i="9"/>
  <c r="M18" i="9"/>
  <c r="H19" i="9"/>
  <c r="J19" i="9"/>
  <c r="L19" i="9"/>
  <c r="G19" i="9"/>
  <c r="H20" i="9" s="1"/>
  <c r="P18" i="9"/>
  <c r="O18" i="9"/>
  <c r="N18" i="9"/>
  <c r="L18" i="5"/>
  <c r="I18" i="5"/>
  <c r="J18" i="5"/>
  <c r="O17" i="5"/>
  <c r="H18" i="5"/>
  <c r="N17" i="5"/>
  <c r="M17" i="5"/>
  <c r="G18" i="5"/>
  <c r="P17" i="5"/>
  <c r="K18" i="5"/>
  <c r="O19" i="14" l="1"/>
  <c r="G20" i="14"/>
  <c r="I21" i="14" s="1"/>
  <c r="O25" i="15"/>
  <c r="N19" i="14"/>
  <c r="H20" i="14"/>
  <c r="P19" i="14"/>
  <c r="K20" i="14"/>
  <c r="I20" i="14"/>
  <c r="P20" i="14" s="1"/>
  <c r="L20" i="14"/>
  <c r="K26" i="15"/>
  <c r="J26" i="15"/>
  <c r="N25" i="15"/>
  <c r="L26" i="15"/>
  <c r="I26" i="15"/>
  <c r="P25" i="15"/>
  <c r="H26" i="15"/>
  <c r="G27" i="15" s="1"/>
  <c r="M25" i="15"/>
  <c r="G26" i="15"/>
  <c r="L21" i="14"/>
  <c r="G21" i="14"/>
  <c r="J21" i="14"/>
  <c r="L25" i="13"/>
  <c r="K25" i="13"/>
  <c r="M24" i="13"/>
  <c r="E26" i="13"/>
  <c r="F26" i="13"/>
  <c r="J20" i="9"/>
  <c r="P19" i="9"/>
  <c r="K20" i="9"/>
  <c r="O19" i="9"/>
  <c r="M19" i="9"/>
  <c r="G20" i="9"/>
  <c r="H21" i="9" s="1"/>
  <c r="L20" i="9"/>
  <c r="N19" i="9"/>
  <c r="I20" i="9"/>
  <c r="L19" i="5"/>
  <c r="O18" i="5"/>
  <c r="I19" i="5"/>
  <c r="J19" i="5"/>
  <c r="M18" i="5"/>
  <c r="P18" i="5"/>
  <c r="H19" i="5"/>
  <c r="N18" i="5"/>
  <c r="G19" i="5"/>
  <c r="H20" i="5" s="1"/>
  <c r="K19" i="5"/>
  <c r="J22" i="14" l="1"/>
  <c r="M20" i="14"/>
  <c r="H21" i="14"/>
  <c r="G22" i="14" s="1"/>
  <c r="K21" i="14"/>
  <c r="N20" i="14"/>
  <c r="J28" i="15"/>
  <c r="H28" i="15"/>
  <c r="I28" i="15"/>
  <c r="N21" i="14"/>
  <c r="K22" i="14"/>
  <c r="K27" i="15"/>
  <c r="J27" i="15"/>
  <c r="N26" i="15"/>
  <c r="L27" i="15"/>
  <c r="H27" i="15"/>
  <c r="G28" i="15" s="1"/>
  <c r="I27" i="15"/>
  <c r="P26" i="15"/>
  <c r="M26" i="15"/>
  <c r="O26" i="15"/>
  <c r="I22" i="14"/>
  <c r="L22" i="14"/>
  <c r="O20" i="14"/>
  <c r="M21" i="14"/>
  <c r="H22" i="14"/>
  <c r="L26" i="13"/>
  <c r="K26" i="13"/>
  <c r="M25" i="13"/>
  <c r="E27" i="13"/>
  <c r="F27" i="13"/>
  <c r="G25" i="13"/>
  <c r="L21" i="9"/>
  <c r="N20" i="9"/>
  <c r="I21" i="9"/>
  <c r="K21" i="9"/>
  <c r="J21" i="9"/>
  <c r="M20" i="9"/>
  <c r="G21" i="9"/>
  <c r="I22" i="9" s="1"/>
  <c r="P20" i="9"/>
  <c r="O20" i="9"/>
  <c r="G20" i="5"/>
  <c r="I21" i="5" s="1"/>
  <c r="N19" i="5"/>
  <c r="L20" i="5"/>
  <c r="J20" i="5"/>
  <c r="O19" i="5"/>
  <c r="P19" i="5"/>
  <c r="I20" i="5"/>
  <c r="M19" i="5"/>
  <c r="K20" i="5"/>
  <c r="M22" i="14" l="1"/>
  <c r="G23" i="14"/>
  <c r="J23" i="14"/>
  <c r="I23" i="14"/>
  <c r="M23" i="14" s="1"/>
  <c r="P22" i="14"/>
  <c r="H23" i="14"/>
  <c r="M27" i="15"/>
  <c r="L23" i="14"/>
  <c r="L24" i="14" s="1"/>
  <c r="P21" i="14"/>
  <c r="O21" i="14"/>
  <c r="N22" i="14"/>
  <c r="L28" i="15"/>
  <c r="M28" i="15" s="1"/>
  <c r="K28" i="15"/>
  <c r="O27" i="15"/>
  <c r="P27" i="15"/>
  <c r="G29" i="15"/>
  <c r="K29" i="15"/>
  <c r="J29" i="15"/>
  <c r="N28" i="15"/>
  <c r="I29" i="15"/>
  <c r="P28" i="15"/>
  <c r="H29" i="15"/>
  <c r="L29" i="15"/>
  <c r="N27" i="15"/>
  <c r="O28" i="15"/>
  <c r="K23" i="14"/>
  <c r="O22" i="14"/>
  <c r="L27" i="13"/>
  <c r="K27" i="13"/>
  <c r="I24" i="14"/>
  <c r="H24" i="14"/>
  <c r="J24" i="14"/>
  <c r="P23" i="14"/>
  <c r="G24" i="14"/>
  <c r="M26" i="13"/>
  <c r="E28" i="13"/>
  <c r="F28" i="13"/>
  <c r="G26" i="13"/>
  <c r="P21" i="9"/>
  <c r="O21" i="9"/>
  <c r="G22" i="9"/>
  <c r="J23" i="9" s="1"/>
  <c r="H22" i="9"/>
  <c r="N21" i="9"/>
  <c r="L21" i="5"/>
  <c r="L22" i="9"/>
  <c r="J22" i="9"/>
  <c r="K22" i="9"/>
  <c r="M21" i="9"/>
  <c r="G21" i="5"/>
  <c r="J22" i="5" s="1"/>
  <c r="H21" i="5"/>
  <c r="J21" i="5"/>
  <c r="O20" i="5"/>
  <c r="N20" i="5"/>
  <c r="K21" i="5"/>
  <c r="P20" i="5"/>
  <c r="M20" i="5"/>
  <c r="O29" i="15" l="1"/>
  <c r="O23" i="14"/>
  <c r="N23" i="14"/>
  <c r="K24" i="14"/>
  <c r="K25" i="14" s="1"/>
  <c r="K30" i="15"/>
  <c r="J30" i="15"/>
  <c r="N29" i="15"/>
  <c r="I30" i="15"/>
  <c r="O30" i="15" s="1"/>
  <c r="L30" i="15"/>
  <c r="P29" i="15"/>
  <c r="H30" i="15"/>
  <c r="M29" i="15"/>
  <c r="G30" i="15"/>
  <c r="L28" i="13"/>
  <c r="K28" i="13"/>
  <c r="O24" i="14"/>
  <c r="G25" i="14"/>
  <c r="P24" i="14"/>
  <c r="I25" i="14"/>
  <c r="J25" i="14"/>
  <c r="N24" i="14"/>
  <c r="H25" i="14"/>
  <c r="L25" i="14"/>
  <c r="M27" i="13"/>
  <c r="E29" i="13"/>
  <c r="F29" i="13"/>
  <c r="G27" i="13"/>
  <c r="G22" i="5"/>
  <c r="J23" i="5" s="1"/>
  <c r="P22" i="9"/>
  <c r="O21" i="5"/>
  <c r="M22" i="9"/>
  <c r="G23" i="9"/>
  <c r="H23" i="9"/>
  <c r="O22" i="9"/>
  <c r="I23" i="9"/>
  <c r="K23" i="9"/>
  <c r="L23" i="9"/>
  <c r="N21" i="5"/>
  <c r="N22" i="9"/>
  <c r="L22" i="5"/>
  <c r="K22" i="5"/>
  <c r="I22" i="5"/>
  <c r="H22" i="5"/>
  <c r="P21" i="5"/>
  <c r="M21" i="5"/>
  <c r="M24" i="14" l="1"/>
  <c r="G31" i="15"/>
  <c r="K31" i="15"/>
  <c r="J31" i="15"/>
  <c r="N30" i="15"/>
  <c r="I31" i="15"/>
  <c r="M30" i="15"/>
  <c r="L31" i="15"/>
  <c r="P30" i="15"/>
  <c r="H31" i="15"/>
  <c r="G26" i="14"/>
  <c r="J27" i="14" s="1"/>
  <c r="K29" i="13"/>
  <c r="L29" i="13"/>
  <c r="O25" i="14"/>
  <c r="L26" i="14"/>
  <c r="K26" i="14"/>
  <c r="N25" i="14"/>
  <c r="H26" i="14"/>
  <c r="I26" i="14"/>
  <c r="J26" i="14"/>
  <c r="P25" i="14"/>
  <c r="M25" i="14"/>
  <c r="M28" i="13"/>
  <c r="E30" i="13"/>
  <c r="F30" i="13"/>
  <c r="G28" i="13"/>
  <c r="L23" i="5"/>
  <c r="I23" i="5"/>
  <c r="P23" i="9"/>
  <c r="P22" i="5"/>
  <c r="H23" i="5"/>
  <c r="G24" i="9"/>
  <c r="J25" i="9" s="1"/>
  <c r="K24" i="9"/>
  <c r="L24" i="9"/>
  <c r="J24" i="9"/>
  <c r="M23" i="9"/>
  <c r="H24" i="9"/>
  <c r="O23" i="9"/>
  <c r="I24" i="9"/>
  <c r="N23" i="9"/>
  <c r="K23" i="5"/>
  <c r="N22" i="5"/>
  <c r="M22" i="5"/>
  <c r="G23" i="5"/>
  <c r="O22" i="5"/>
  <c r="I27" i="14" l="1"/>
  <c r="G32" i="15"/>
  <c r="O31" i="15"/>
  <c r="K32" i="15"/>
  <c r="J32" i="15"/>
  <c r="N31" i="15"/>
  <c r="I32" i="15"/>
  <c r="M31" i="15"/>
  <c r="H32" i="15"/>
  <c r="L32" i="15"/>
  <c r="P31" i="15"/>
  <c r="L27" i="14"/>
  <c r="M26" i="14"/>
  <c r="H27" i="14"/>
  <c r="L30" i="13"/>
  <c r="K30" i="13"/>
  <c r="P26" i="14"/>
  <c r="O26" i="14"/>
  <c r="N26" i="14"/>
  <c r="G27" i="14"/>
  <c r="O27" i="14" s="1"/>
  <c r="K27" i="14"/>
  <c r="M29" i="13"/>
  <c r="E31" i="13"/>
  <c r="F31" i="13"/>
  <c r="G29" i="13"/>
  <c r="O23" i="5"/>
  <c r="N24" i="9"/>
  <c r="L25" i="9"/>
  <c r="I25" i="9"/>
  <c r="M23" i="5"/>
  <c r="K24" i="5"/>
  <c r="G24" i="5"/>
  <c r="H24" i="5"/>
  <c r="O24" i="9"/>
  <c r="H25" i="9"/>
  <c r="L24" i="5"/>
  <c r="P24" i="9"/>
  <c r="K25" i="9"/>
  <c r="M24" i="9"/>
  <c r="G25" i="9"/>
  <c r="J24" i="5"/>
  <c r="P23" i="5"/>
  <c r="I24" i="5"/>
  <c r="N23" i="5"/>
  <c r="O32" i="15" l="1"/>
  <c r="K33" i="15"/>
  <c r="J33" i="15"/>
  <c r="N32" i="15"/>
  <c r="I33" i="15"/>
  <c r="M32" i="15"/>
  <c r="L33" i="15"/>
  <c r="P32" i="15"/>
  <c r="H33" i="15"/>
  <c r="G33" i="15"/>
  <c r="G28" i="14"/>
  <c r="H29" i="14" s="1"/>
  <c r="L31" i="13"/>
  <c r="K31" i="13"/>
  <c r="H28" i="14"/>
  <c r="J28" i="14"/>
  <c r="I28" i="14"/>
  <c r="L28" i="14"/>
  <c r="M27" i="14"/>
  <c r="N27" i="14"/>
  <c r="K28" i="14"/>
  <c r="P27" i="14"/>
  <c r="M30" i="13"/>
  <c r="E32" i="13"/>
  <c r="F32" i="13"/>
  <c r="G30" i="13"/>
  <c r="G31" i="13"/>
  <c r="L26" i="9"/>
  <c r="L25" i="5"/>
  <c r="N24" i="5"/>
  <c r="G26" i="9"/>
  <c r="J26" i="9"/>
  <c r="I26" i="9"/>
  <c r="K25" i="5"/>
  <c r="I25" i="5"/>
  <c r="H25" i="5"/>
  <c r="M24" i="5"/>
  <c r="O25" i="9"/>
  <c r="P25" i="9"/>
  <c r="N25" i="9"/>
  <c r="M25" i="9"/>
  <c r="J25" i="5"/>
  <c r="H26" i="9"/>
  <c r="K26" i="9"/>
  <c r="O24" i="5"/>
  <c r="G25" i="5"/>
  <c r="P24" i="5"/>
  <c r="G34" i="15" l="1"/>
  <c r="J35" i="15" s="1"/>
  <c r="O33" i="15"/>
  <c r="I35" i="15"/>
  <c r="H35" i="15"/>
  <c r="L29" i="14"/>
  <c r="K34" i="15"/>
  <c r="J34" i="15"/>
  <c r="N33" i="15"/>
  <c r="I34" i="15"/>
  <c r="M33" i="15"/>
  <c r="L34" i="15"/>
  <c r="P33" i="15"/>
  <c r="H34" i="15"/>
  <c r="O28" i="14"/>
  <c r="N28" i="14"/>
  <c r="I29" i="14"/>
  <c r="P28" i="14"/>
  <c r="J29" i="14"/>
  <c r="M28" i="14"/>
  <c r="L32" i="13"/>
  <c r="K32" i="13"/>
  <c r="K29" i="14"/>
  <c r="G29" i="14"/>
  <c r="M31" i="13"/>
  <c r="E33" i="13"/>
  <c r="F33" i="13"/>
  <c r="G32" i="13"/>
  <c r="L27" i="9"/>
  <c r="O26" i="9"/>
  <c r="G27" i="9"/>
  <c r="H28" i="9" s="1"/>
  <c r="N26" i="9"/>
  <c r="I27" i="9"/>
  <c r="H27" i="9"/>
  <c r="J27" i="9"/>
  <c r="K27" i="9"/>
  <c r="M26" i="9"/>
  <c r="P26" i="9"/>
  <c r="G26" i="5"/>
  <c r="H27" i="5" s="1"/>
  <c r="N25" i="5"/>
  <c r="O25" i="5"/>
  <c r="K26" i="5"/>
  <c r="P25" i="5"/>
  <c r="L26" i="5"/>
  <c r="M25" i="5"/>
  <c r="J26" i="5"/>
  <c r="H26" i="5"/>
  <c r="I26" i="5"/>
  <c r="G35" i="15" l="1"/>
  <c r="G36" i="15" s="1"/>
  <c r="L35" i="15"/>
  <c r="O35" i="15"/>
  <c r="P34" i="15"/>
  <c r="N34" i="15"/>
  <c r="N35" i="15"/>
  <c r="I36" i="15"/>
  <c r="L36" i="15"/>
  <c r="P35" i="15"/>
  <c r="O34" i="15"/>
  <c r="M34" i="15"/>
  <c r="K35" i="15"/>
  <c r="K36" i="15" s="1"/>
  <c r="K33" i="13"/>
  <c r="L33" i="13"/>
  <c r="I30" i="14"/>
  <c r="P29" i="14"/>
  <c r="L30" i="14"/>
  <c r="H30" i="14"/>
  <c r="J30" i="14"/>
  <c r="K30" i="14"/>
  <c r="N29" i="14"/>
  <c r="M29" i="14"/>
  <c r="O29" i="14"/>
  <c r="G30" i="14"/>
  <c r="M32" i="13"/>
  <c r="E34" i="13"/>
  <c r="F34" i="13"/>
  <c r="G33" i="13"/>
  <c r="L28" i="9"/>
  <c r="K28" i="9"/>
  <c r="I28" i="9"/>
  <c r="J28" i="9"/>
  <c r="G28" i="9"/>
  <c r="I29" i="9" s="1"/>
  <c r="O27" i="9"/>
  <c r="N27" i="9"/>
  <c r="J27" i="5"/>
  <c r="M27" i="9"/>
  <c r="I27" i="5"/>
  <c r="P27" i="9"/>
  <c r="P26" i="5"/>
  <c r="M26" i="5"/>
  <c r="L27" i="5"/>
  <c r="K27" i="5"/>
  <c r="O26" i="5"/>
  <c r="G27" i="5"/>
  <c r="N26" i="5"/>
  <c r="H37" i="15" l="1"/>
  <c r="J37" i="15"/>
  <c r="I37" i="15"/>
  <c r="H36" i="15"/>
  <c r="K37" i="15" s="1"/>
  <c r="J36" i="15"/>
  <c r="L37" i="15" s="1"/>
  <c r="M35" i="15"/>
  <c r="O36" i="15"/>
  <c r="M36" i="15"/>
  <c r="P36" i="15"/>
  <c r="N36" i="15"/>
  <c r="G37" i="15"/>
  <c r="O37" i="15" s="1"/>
  <c r="G34" i="13"/>
  <c r="G31" i="14"/>
  <c r="I32" i="14" s="1"/>
  <c r="K34" i="13"/>
  <c r="L34" i="13"/>
  <c r="N30" i="14"/>
  <c r="H31" i="14"/>
  <c r="J31" i="14"/>
  <c r="L31" i="14"/>
  <c r="P30" i="14"/>
  <c r="K31" i="14"/>
  <c r="I31" i="14"/>
  <c r="M30" i="14"/>
  <c r="O30" i="14"/>
  <c r="M33" i="13"/>
  <c r="E35" i="13"/>
  <c r="F35" i="13"/>
  <c r="G29" i="9"/>
  <c r="I30" i="9" s="1"/>
  <c r="H29" i="9"/>
  <c r="J29" i="9"/>
  <c r="N28" i="9"/>
  <c r="K29" i="9"/>
  <c r="O28" i="9"/>
  <c r="M28" i="9"/>
  <c r="P28" i="9"/>
  <c r="L29" i="9"/>
  <c r="K28" i="5"/>
  <c r="G28" i="5"/>
  <c r="H29" i="5" s="1"/>
  <c r="M27" i="5"/>
  <c r="N27" i="5"/>
  <c r="O27" i="5"/>
  <c r="H28" i="5"/>
  <c r="I28" i="5"/>
  <c r="J28" i="5"/>
  <c r="L28" i="5"/>
  <c r="P27" i="5"/>
  <c r="K38" i="15" l="1"/>
  <c r="J38" i="15"/>
  <c r="N37" i="15"/>
  <c r="I38" i="15"/>
  <c r="M37" i="15"/>
  <c r="L38" i="15"/>
  <c r="P37" i="15"/>
  <c r="H38" i="15"/>
  <c r="G38" i="15"/>
  <c r="G35" i="13"/>
  <c r="J32" i="14"/>
  <c r="L32" i="14"/>
  <c r="H32" i="14"/>
  <c r="N31" i="14"/>
  <c r="K35" i="13"/>
  <c r="L35" i="13"/>
  <c r="O31" i="14"/>
  <c r="K32" i="14"/>
  <c r="P31" i="14"/>
  <c r="M31" i="14"/>
  <c r="G32" i="14"/>
  <c r="M34" i="13"/>
  <c r="E36" i="13"/>
  <c r="F36" i="13"/>
  <c r="G30" i="9"/>
  <c r="J31" i="9" s="1"/>
  <c r="L30" i="9"/>
  <c r="N29" i="9"/>
  <c r="J30" i="9"/>
  <c r="H30" i="9"/>
  <c r="O29" i="9"/>
  <c r="P29" i="9"/>
  <c r="K30" i="9"/>
  <c r="M29" i="9"/>
  <c r="K29" i="5"/>
  <c r="N28" i="5"/>
  <c r="L29" i="5"/>
  <c r="I29" i="5"/>
  <c r="J29" i="5"/>
  <c r="O28" i="5"/>
  <c r="P28" i="5"/>
  <c r="G29" i="5"/>
  <c r="M28" i="5"/>
  <c r="G39" i="15" l="1"/>
  <c r="J40" i="15" s="1"/>
  <c r="H40" i="15"/>
  <c r="O38" i="15"/>
  <c r="O32" i="14"/>
  <c r="K39" i="15"/>
  <c r="H39" i="15"/>
  <c r="G40" i="15" s="1"/>
  <c r="L39" i="15"/>
  <c r="N38" i="15"/>
  <c r="J39" i="15"/>
  <c r="M38" i="15"/>
  <c r="P38" i="15"/>
  <c r="I39" i="15"/>
  <c r="K36" i="13"/>
  <c r="L36" i="13"/>
  <c r="N32" i="14"/>
  <c r="K33" i="14"/>
  <c r="H33" i="14"/>
  <c r="P32" i="14"/>
  <c r="I33" i="14"/>
  <c r="M32" i="14"/>
  <c r="L33" i="14"/>
  <c r="J33" i="14"/>
  <c r="G33" i="14"/>
  <c r="M35" i="13"/>
  <c r="E37" i="13"/>
  <c r="F37" i="13"/>
  <c r="G37" i="13" s="1"/>
  <c r="G36" i="13"/>
  <c r="O30" i="9"/>
  <c r="H31" i="9"/>
  <c r="G31" i="9"/>
  <c r="J32" i="9" s="1"/>
  <c r="L31" i="9"/>
  <c r="N30" i="9"/>
  <c r="M30" i="9"/>
  <c r="K31" i="9"/>
  <c r="P30" i="9"/>
  <c r="I31" i="9"/>
  <c r="M29" i="5"/>
  <c r="I30" i="5"/>
  <c r="N29" i="5"/>
  <c r="P29" i="5"/>
  <c r="J30" i="5"/>
  <c r="L30" i="5"/>
  <c r="H30" i="5"/>
  <c r="G30" i="5"/>
  <c r="O29" i="5"/>
  <c r="K30" i="5"/>
  <c r="L40" i="15" l="1"/>
  <c r="I40" i="15"/>
  <c r="J41" i="15"/>
  <c r="I41" i="15"/>
  <c r="P40" i="15"/>
  <c r="H41" i="15"/>
  <c r="N40" i="15"/>
  <c r="L41" i="15"/>
  <c r="G41" i="15"/>
  <c r="N39" i="15"/>
  <c r="M39" i="15"/>
  <c r="O39" i="15"/>
  <c r="P39" i="15"/>
  <c r="O40" i="15"/>
  <c r="K40" i="15"/>
  <c r="K41" i="15" s="1"/>
  <c r="O33" i="14"/>
  <c r="L37" i="13"/>
  <c r="K37" i="13"/>
  <c r="K34" i="14"/>
  <c r="J34" i="14"/>
  <c r="H34" i="14"/>
  <c r="P33" i="14"/>
  <c r="M33" i="14"/>
  <c r="L34" i="14"/>
  <c r="N33" i="14"/>
  <c r="I34" i="14"/>
  <c r="G34" i="14"/>
  <c r="M36" i="13"/>
  <c r="E38" i="13"/>
  <c r="F38" i="13"/>
  <c r="I32" i="9"/>
  <c r="P31" i="9"/>
  <c r="H32" i="9"/>
  <c r="L32" i="9"/>
  <c r="N31" i="9"/>
  <c r="O31" i="9"/>
  <c r="G32" i="9"/>
  <c r="J33" i="9" s="1"/>
  <c r="M31" i="9"/>
  <c r="K32" i="9"/>
  <c r="M30" i="5"/>
  <c r="H31" i="5"/>
  <c r="K31" i="5"/>
  <c r="N30" i="5"/>
  <c r="I31" i="5"/>
  <c r="P30" i="5"/>
  <c r="J31" i="5"/>
  <c r="L31" i="5"/>
  <c r="G31" i="5"/>
  <c r="O30" i="5"/>
  <c r="M40" i="15" l="1"/>
  <c r="O41" i="15"/>
  <c r="K42" i="15"/>
  <c r="I42" i="15"/>
  <c r="O42" i="15" s="1"/>
  <c r="P41" i="15"/>
  <c r="H42" i="15"/>
  <c r="N41" i="15"/>
  <c r="L42" i="15"/>
  <c r="M41" i="15"/>
  <c r="J42" i="15"/>
  <c r="G42" i="15"/>
  <c r="K33" i="9"/>
  <c r="G33" i="9"/>
  <c r="G38" i="13"/>
  <c r="G35" i="14"/>
  <c r="H36" i="14" s="1"/>
  <c r="L38" i="13"/>
  <c r="K38" i="13"/>
  <c r="P34" i="14"/>
  <c r="I35" i="14"/>
  <c r="J35" i="14"/>
  <c r="K35" i="14"/>
  <c r="M34" i="14"/>
  <c r="H35" i="14"/>
  <c r="N34" i="14"/>
  <c r="L35" i="14"/>
  <c r="O34" i="14"/>
  <c r="M37" i="13"/>
  <c r="E39" i="13"/>
  <c r="F39" i="13"/>
  <c r="H33" i="9"/>
  <c r="N32" i="9"/>
  <c r="M32" i="9"/>
  <c r="P32" i="9"/>
  <c r="I33" i="9"/>
  <c r="L33" i="9"/>
  <c r="L34" i="9" s="1"/>
  <c r="O32" i="9"/>
  <c r="O31" i="5"/>
  <c r="G32" i="5"/>
  <c r="K32" i="5"/>
  <c r="M31" i="5"/>
  <c r="N31" i="5"/>
  <c r="L32" i="5"/>
  <c r="J32" i="5"/>
  <c r="I32" i="5"/>
  <c r="H32" i="5"/>
  <c r="P31" i="5"/>
  <c r="H34" i="9"/>
  <c r="I34" i="9"/>
  <c r="J34" i="9"/>
  <c r="K43" i="15" l="1"/>
  <c r="H43" i="15"/>
  <c r="N42" i="15"/>
  <c r="L43" i="15"/>
  <c r="M42" i="15"/>
  <c r="J43" i="15"/>
  <c r="P42" i="15"/>
  <c r="I43" i="15"/>
  <c r="O43" i="15" s="1"/>
  <c r="G43" i="15"/>
  <c r="M35" i="14"/>
  <c r="N35" i="14"/>
  <c r="J36" i="14"/>
  <c r="I36" i="14"/>
  <c r="G39" i="13"/>
  <c r="G36" i="14"/>
  <c r="J37" i="14" s="1"/>
  <c r="L36" i="14"/>
  <c r="M33" i="9"/>
  <c r="K39" i="13"/>
  <c r="L39" i="13"/>
  <c r="O33" i="9"/>
  <c r="N33" i="9"/>
  <c r="P33" i="9"/>
  <c r="P35" i="14"/>
  <c r="G34" i="9"/>
  <c r="H35" i="9" s="1"/>
  <c r="K34" i="9"/>
  <c r="O35" i="14"/>
  <c r="H37" i="14"/>
  <c r="I37" i="14"/>
  <c r="K36" i="14"/>
  <c r="M38" i="13"/>
  <c r="E40" i="13"/>
  <c r="F40" i="13"/>
  <c r="O32" i="5"/>
  <c r="L33" i="5"/>
  <c r="I33" i="5"/>
  <c r="P32" i="5"/>
  <c r="H33" i="5"/>
  <c r="N32" i="5"/>
  <c r="M32" i="5"/>
  <c r="K33" i="5"/>
  <c r="J33" i="5"/>
  <c r="G33" i="5"/>
  <c r="J35" i="9" l="1"/>
  <c r="O34" i="9"/>
  <c r="G44" i="15"/>
  <c r="G35" i="9"/>
  <c r="I36" i="9" s="1"/>
  <c r="K37" i="14"/>
  <c r="G37" i="14"/>
  <c r="K44" i="15"/>
  <c r="L44" i="15"/>
  <c r="M43" i="15"/>
  <c r="J44" i="15"/>
  <c r="I44" i="15"/>
  <c r="O44" i="15" s="1"/>
  <c r="P43" i="15"/>
  <c r="N43" i="15"/>
  <c r="H44" i="15"/>
  <c r="L37" i="14"/>
  <c r="O36" i="14"/>
  <c r="P36" i="14"/>
  <c r="M36" i="14"/>
  <c r="N36" i="14"/>
  <c r="G38" i="14"/>
  <c r="J39" i="14" s="1"/>
  <c r="K40" i="13"/>
  <c r="L40" i="13"/>
  <c r="I35" i="9"/>
  <c r="P37" i="14"/>
  <c r="H38" i="14"/>
  <c r="J38" i="14"/>
  <c r="L38" i="14"/>
  <c r="N37" i="14"/>
  <c r="I38" i="14"/>
  <c r="N34" i="9"/>
  <c r="O37" i="14"/>
  <c r="M34" i="9"/>
  <c r="K35" i="9"/>
  <c r="L35" i="9"/>
  <c r="P34" i="9"/>
  <c r="M39" i="13"/>
  <c r="E41" i="13"/>
  <c r="F41" i="13"/>
  <c r="G40" i="13"/>
  <c r="G34" i="5"/>
  <c r="I35" i="5" s="1"/>
  <c r="H34" i="5"/>
  <c r="M33" i="5"/>
  <c r="N33" i="5"/>
  <c r="P33" i="5"/>
  <c r="I34" i="5"/>
  <c r="J34" i="5"/>
  <c r="K34" i="5"/>
  <c r="L34" i="5"/>
  <c r="O33" i="5"/>
  <c r="O35" i="9"/>
  <c r="J36" i="9" l="1"/>
  <c r="L36" i="9"/>
  <c r="H36" i="9"/>
  <c r="K38" i="14"/>
  <c r="M38" i="14" s="1"/>
  <c r="M37" i="14"/>
  <c r="I39" i="14"/>
  <c r="K45" i="15"/>
  <c r="J45" i="15"/>
  <c r="I45" i="15"/>
  <c r="P44" i="15"/>
  <c r="H45" i="15"/>
  <c r="N44" i="15"/>
  <c r="M44" i="15"/>
  <c r="L45" i="15"/>
  <c r="G45" i="15"/>
  <c r="H39" i="14"/>
  <c r="M35" i="9"/>
  <c r="O38" i="14"/>
  <c r="K41" i="13"/>
  <c r="L41" i="13"/>
  <c r="P38" i="14"/>
  <c r="G36" i="9"/>
  <c r="I37" i="9" s="1"/>
  <c r="N35" i="9"/>
  <c r="N38" i="14"/>
  <c r="G39" i="14"/>
  <c r="K36" i="9"/>
  <c r="P35" i="9"/>
  <c r="K39" i="14"/>
  <c r="L39" i="14"/>
  <c r="M40" i="13"/>
  <c r="E42" i="13"/>
  <c r="F42" i="13"/>
  <c r="G41" i="13"/>
  <c r="P34" i="5"/>
  <c r="G35" i="5"/>
  <c r="H36" i="5" s="1"/>
  <c r="H35" i="5"/>
  <c r="J35" i="5"/>
  <c r="L37" i="9"/>
  <c r="N34" i="5"/>
  <c r="L35" i="5"/>
  <c r="M34" i="5"/>
  <c r="K35" i="5"/>
  <c r="O34" i="5"/>
  <c r="K46" i="15" l="1"/>
  <c r="I46" i="15"/>
  <c r="P45" i="15"/>
  <c r="H46" i="15"/>
  <c r="N45" i="15"/>
  <c r="L46" i="15"/>
  <c r="M45" i="15"/>
  <c r="J46" i="15"/>
  <c r="G46" i="15"/>
  <c r="O45" i="15"/>
  <c r="N36" i="9"/>
  <c r="O36" i="9"/>
  <c r="P36" i="9"/>
  <c r="G37" i="9"/>
  <c r="H38" i="9" s="1"/>
  <c r="M36" i="9"/>
  <c r="K42" i="13"/>
  <c r="L42" i="13"/>
  <c r="K37" i="9"/>
  <c r="J37" i="9"/>
  <c r="H37" i="9"/>
  <c r="L40" i="14"/>
  <c r="K40" i="14"/>
  <c r="I40" i="14"/>
  <c r="M39" i="14"/>
  <c r="H40" i="14"/>
  <c r="P39" i="14"/>
  <c r="J40" i="14"/>
  <c r="N39" i="14"/>
  <c r="G40" i="14"/>
  <c r="O39" i="14"/>
  <c r="M41" i="13"/>
  <c r="F43" i="13"/>
  <c r="E43" i="13"/>
  <c r="G42" i="13"/>
  <c r="L36" i="5"/>
  <c r="J36" i="5"/>
  <c r="I36" i="5"/>
  <c r="G36" i="5"/>
  <c r="I37" i="5" s="1"/>
  <c r="O35" i="5"/>
  <c r="K36" i="5"/>
  <c r="N35" i="5"/>
  <c r="P35" i="5"/>
  <c r="M35" i="5"/>
  <c r="I38" i="9"/>
  <c r="G47" i="15" l="1"/>
  <c r="O46" i="15"/>
  <c r="K47" i="15"/>
  <c r="H47" i="15"/>
  <c r="N46" i="15"/>
  <c r="L47" i="15"/>
  <c r="M46" i="15"/>
  <c r="J47" i="15"/>
  <c r="I47" i="15"/>
  <c r="P46" i="15"/>
  <c r="G41" i="14"/>
  <c r="P37" i="9"/>
  <c r="N37" i="9"/>
  <c r="O37" i="9"/>
  <c r="J38" i="9"/>
  <c r="M37" i="9"/>
  <c r="K38" i="9"/>
  <c r="G38" i="9"/>
  <c r="J39" i="9" s="1"/>
  <c r="L38" i="9"/>
  <c r="L43" i="13"/>
  <c r="K43" i="13"/>
  <c r="J41" i="14"/>
  <c r="P40" i="14"/>
  <c r="L41" i="14"/>
  <c r="N40" i="14"/>
  <c r="K41" i="14"/>
  <c r="M40" i="14"/>
  <c r="I41" i="14"/>
  <c r="H41" i="14"/>
  <c r="J42" i="14"/>
  <c r="H42" i="14"/>
  <c r="I42" i="14"/>
  <c r="O40" i="14"/>
  <c r="M42" i="13"/>
  <c r="E44" i="13"/>
  <c r="F44" i="13"/>
  <c r="G43" i="13"/>
  <c r="N36" i="5"/>
  <c r="O36" i="5"/>
  <c r="P36" i="5"/>
  <c r="K37" i="5"/>
  <c r="G37" i="5"/>
  <c r="I38" i="5" s="1"/>
  <c r="J37" i="5"/>
  <c r="H37" i="5"/>
  <c r="M36" i="5"/>
  <c r="L37" i="5"/>
  <c r="G48" i="15" l="1"/>
  <c r="O47" i="15"/>
  <c r="P41" i="14"/>
  <c r="K48" i="15"/>
  <c r="L48" i="15"/>
  <c r="M47" i="15"/>
  <c r="J48" i="15"/>
  <c r="I48" i="15"/>
  <c r="O48" i="15" s="1"/>
  <c r="P47" i="15"/>
  <c r="N47" i="15"/>
  <c r="H48" i="15"/>
  <c r="G42" i="14"/>
  <c r="N42" i="14" s="1"/>
  <c r="L42" i="14"/>
  <c r="I39" i="9"/>
  <c r="N38" i="9"/>
  <c r="M38" i="9"/>
  <c r="O38" i="9"/>
  <c r="H39" i="9"/>
  <c r="L39" i="9"/>
  <c r="G39" i="9"/>
  <c r="I40" i="9" s="1"/>
  <c r="P38" i="9"/>
  <c r="K39" i="9"/>
  <c r="L44" i="13"/>
  <c r="K44" i="13"/>
  <c r="M41" i="14"/>
  <c r="O41" i="14"/>
  <c r="K42" i="14"/>
  <c r="N41" i="14"/>
  <c r="M43" i="13"/>
  <c r="E45" i="13"/>
  <c r="F45" i="13"/>
  <c r="G44" i="13"/>
  <c r="O37" i="5"/>
  <c r="H38" i="5"/>
  <c r="G38" i="5"/>
  <c r="H39" i="5" s="1"/>
  <c r="J38" i="5"/>
  <c r="P37" i="5"/>
  <c r="L38" i="5"/>
  <c r="N37" i="5"/>
  <c r="M37" i="5"/>
  <c r="K38" i="5"/>
  <c r="P39" i="9"/>
  <c r="G43" i="14" l="1"/>
  <c r="L43" i="14"/>
  <c r="O42" i="14"/>
  <c r="J43" i="14"/>
  <c r="K44" i="14" s="1"/>
  <c r="G40" i="9"/>
  <c r="H41" i="9" s="1"/>
  <c r="H43" i="14"/>
  <c r="I43" i="14"/>
  <c r="O39" i="9"/>
  <c r="N39" i="9"/>
  <c r="L40" i="9"/>
  <c r="G49" i="15"/>
  <c r="K40" i="9"/>
  <c r="J40" i="9"/>
  <c r="K43" i="14"/>
  <c r="P42" i="14"/>
  <c r="K49" i="15"/>
  <c r="J49" i="15"/>
  <c r="I49" i="15"/>
  <c r="P48" i="15"/>
  <c r="H49" i="15"/>
  <c r="N48" i="15"/>
  <c r="L49" i="15"/>
  <c r="M48" i="15"/>
  <c r="M39" i="9"/>
  <c r="M42" i="14"/>
  <c r="H40" i="9"/>
  <c r="L45" i="13"/>
  <c r="K45" i="13"/>
  <c r="J44" i="14"/>
  <c r="I44" i="14"/>
  <c r="H44" i="14"/>
  <c r="M44" i="13"/>
  <c r="E46" i="13"/>
  <c r="F46" i="13"/>
  <c r="G45" i="13"/>
  <c r="G39" i="5"/>
  <c r="I40" i="5" s="1"/>
  <c r="P38" i="5"/>
  <c r="M38" i="5"/>
  <c r="J39" i="5"/>
  <c r="K39" i="5"/>
  <c r="N38" i="5"/>
  <c r="J41" i="9"/>
  <c r="O38" i="5"/>
  <c r="I41" i="9"/>
  <c r="I39" i="5"/>
  <c r="L39" i="5"/>
  <c r="G41" i="9"/>
  <c r="L44" i="14" l="1"/>
  <c r="M40" i="9"/>
  <c r="O49" i="15"/>
  <c r="L41" i="9"/>
  <c r="L42" i="9" s="1"/>
  <c r="G44" i="14"/>
  <c r="L45" i="14" s="1"/>
  <c r="P40" i="9"/>
  <c r="H45" i="14"/>
  <c r="N40" i="9"/>
  <c r="O40" i="9"/>
  <c r="O43" i="14"/>
  <c r="M43" i="14"/>
  <c r="N43" i="14"/>
  <c r="G50" i="15"/>
  <c r="K41" i="9"/>
  <c r="P43" i="14"/>
  <c r="K50" i="15"/>
  <c r="I50" i="15"/>
  <c r="P49" i="15"/>
  <c r="H50" i="15"/>
  <c r="N49" i="15"/>
  <c r="L50" i="15"/>
  <c r="M49" i="15"/>
  <c r="J50" i="15"/>
  <c r="G45" i="14"/>
  <c r="K46" i="13"/>
  <c r="L46" i="13"/>
  <c r="P44" i="14"/>
  <c r="O44" i="14"/>
  <c r="N44" i="14"/>
  <c r="M44" i="14"/>
  <c r="K45" i="14"/>
  <c r="M45" i="13"/>
  <c r="E47" i="13"/>
  <c r="F47" i="13"/>
  <c r="G46" i="13"/>
  <c r="J40" i="5"/>
  <c r="H40" i="5"/>
  <c r="N39" i="5"/>
  <c r="O39" i="5"/>
  <c r="P39" i="5"/>
  <c r="L40" i="5"/>
  <c r="M39" i="5"/>
  <c r="O41" i="9"/>
  <c r="K40" i="5"/>
  <c r="G40" i="5"/>
  <c r="H41" i="5" s="1"/>
  <c r="N41" i="9"/>
  <c r="K42" i="9"/>
  <c r="P41" i="9"/>
  <c r="I42" i="9"/>
  <c r="H42" i="9"/>
  <c r="G42" i="9"/>
  <c r="H43" i="9" s="1"/>
  <c r="J42" i="9"/>
  <c r="M41" i="9"/>
  <c r="O50" i="15" l="1"/>
  <c r="I45" i="14"/>
  <c r="O45" i="14" s="1"/>
  <c r="J45" i="14"/>
  <c r="N45" i="14" s="1"/>
  <c r="G51" i="15"/>
  <c r="K51" i="15"/>
  <c r="H51" i="15"/>
  <c r="N50" i="15"/>
  <c r="L51" i="15"/>
  <c r="M50" i="15"/>
  <c r="J51" i="15"/>
  <c r="I51" i="15"/>
  <c r="P50" i="15"/>
  <c r="I46" i="14"/>
  <c r="G46" i="14"/>
  <c r="I47" i="14" s="1"/>
  <c r="J46" i="14"/>
  <c r="H46" i="14"/>
  <c r="M45" i="14"/>
  <c r="L47" i="13"/>
  <c r="K47" i="13"/>
  <c r="M46" i="13"/>
  <c r="E48" i="13"/>
  <c r="F48" i="13"/>
  <c r="G47" i="13"/>
  <c r="G41" i="5"/>
  <c r="J42" i="5" s="1"/>
  <c r="L41" i="5"/>
  <c r="N40" i="5"/>
  <c r="K41" i="5"/>
  <c r="M40" i="5"/>
  <c r="O40" i="5"/>
  <c r="J41" i="5"/>
  <c r="P40" i="5"/>
  <c r="I41" i="5"/>
  <c r="G43" i="9"/>
  <c r="I44" i="9" s="1"/>
  <c r="K43" i="9"/>
  <c r="O42" i="9"/>
  <c r="N42" i="9"/>
  <c r="M42" i="9"/>
  <c r="L43" i="9"/>
  <c r="I43" i="9"/>
  <c r="J43" i="9"/>
  <c r="P42" i="9"/>
  <c r="L46" i="14" l="1"/>
  <c r="P45" i="14"/>
  <c r="K46" i="14"/>
  <c r="O51" i="15"/>
  <c r="K47" i="14"/>
  <c r="G52" i="15"/>
  <c r="H47" i="14"/>
  <c r="N46" i="14"/>
  <c r="K52" i="15"/>
  <c r="L52" i="15"/>
  <c r="M51" i="15"/>
  <c r="J52" i="15"/>
  <c r="I52" i="15"/>
  <c r="P51" i="15"/>
  <c r="H52" i="15"/>
  <c r="N51" i="15"/>
  <c r="G47" i="14"/>
  <c r="H48" i="14" s="1"/>
  <c r="J47" i="14"/>
  <c r="K48" i="14" s="1"/>
  <c r="M46" i="14"/>
  <c r="L47" i="14"/>
  <c r="L48" i="14" s="1"/>
  <c r="P46" i="14"/>
  <c r="O46" i="14"/>
  <c r="L48" i="13"/>
  <c r="K48" i="13"/>
  <c r="J48" i="14"/>
  <c r="I48" i="14"/>
  <c r="P47" i="14"/>
  <c r="M47" i="13"/>
  <c r="E49" i="13"/>
  <c r="F49" i="13"/>
  <c r="G48" i="13"/>
  <c r="H42" i="5"/>
  <c r="L42" i="5"/>
  <c r="I42" i="5"/>
  <c r="G42" i="5"/>
  <c r="I43" i="5" s="1"/>
  <c r="N41" i="5"/>
  <c r="P41" i="5"/>
  <c r="K42" i="5"/>
  <c r="M41" i="5"/>
  <c r="O41" i="5"/>
  <c r="J44" i="9"/>
  <c r="O43" i="9"/>
  <c r="L44" i="9"/>
  <c r="H44" i="9"/>
  <c r="N43" i="9"/>
  <c r="G44" i="9"/>
  <c r="I45" i="9" s="1"/>
  <c r="P43" i="9"/>
  <c r="M43" i="9"/>
  <c r="K44" i="9"/>
  <c r="O47" i="14" l="1"/>
  <c r="G48" i="14"/>
  <c r="K53" i="15"/>
  <c r="J53" i="15"/>
  <c r="I53" i="15"/>
  <c r="P52" i="15"/>
  <c r="H53" i="15"/>
  <c r="N52" i="15"/>
  <c r="L53" i="15"/>
  <c r="M52" i="15"/>
  <c r="G53" i="15"/>
  <c r="M47" i="14"/>
  <c r="O52" i="15"/>
  <c r="N47" i="14"/>
  <c r="O48" i="14"/>
  <c r="K49" i="13"/>
  <c r="L49" i="13"/>
  <c r="G49" i="14"/>
  <c r="L49" i="14"/>
  <c r="P48" i="14"/>
  <c r="K49" i="14"/>
  <c r="H49" i="14"/>
  <c r="J49" i="14"/>
  <c r="M48" i="14"/>
  <c r="N48" i="14"/>
  <c r="I49" i="14"/>
  <c r="M48" i="13"/>
  <c r="E50" i="13"/>
  <c r="F50" i="13"/>
  <c r="G49" i="13"/>
  <c r="K43" i="5"/>
  <c r="G43" i="5"/>
  <c r="J44" i="5" s="1"/>
  <c r="N42" i="5"/>
  <c r="O42" i="5"/>
  <c r="L43" i="5"/>
  <c r="H43" i="5"/>
  <c r="J43" i="5"/>
  <c r="M42" i="5"/>
  <c r="P42" i="5"/>
  <c r="G45" i="9"/>
  <c r="O44" i="9"/>
  <c r="L45" i="9"/>
  <c r="J45" i="9"/>
  <c r="K45" i="9"/>
  <c r="H45" i="9"/>
  <c r="P44" i="9"/>
  <c r="N44" i="9"/>
  <c r="M44" i="9"/>
  <c r="O53" i="15" l="1"/>
  <c r="K54" i="15"/>
  <c r="I54" i="15"/>
  <c r="P53" i="15"/>
  <c r="H54" i="15"/>
  <c r="N53" i="15"/>
  <c r="L54" i="15"/>
  <c r="M53" i="15"/>
  <c r="J54" i="15"/>
  <c r="G54" i="15"/>
  <c r="O49" i="14"/>
  <c r="K50" i="13"/>
  <c r="L50" i="13"/>
  <c r="G50" i="14"/>
  <c r="K50" i="14"/>
  <c r="L50" i="14"/>
  <c r="N49" i="14"/>
  <c r="J50" i="14"/>
  <c r="H50" i="14"/>
  <c r="I50" i="14"/>
  <c r="M49" i="14"/>
  <c r="P49" i="14"/>
  <c r="M49" i="13"/>
  <c r="E51" i="13"/>
  <c r="F51" i="13"/>
  <c r="G50" i="13"/>
  <c r="O43" i="5"/>
  <c r="L44" i="5"/>
  <c r="H44" i="5"/>
  <c r="M43" i="5"/>
  <c r="P43" i="5"/>
  <c r="N43" i="5"/>
  <c r="G44" i="5"/>
  <c r="H45" i="5" s="1"/>
  <c r="I44" i="5"/>
  <c r="K44" i="5"/>
  <c r="N45" i="9"/>
  <c r="J46" i="9"/>
  <c r="I46" i="9"/>
  <c r="L46" i="9"/>
  <c r="G46" i="9"/>
  <c r="I47" i="9" s="1"/>
  <c r="K46" i="9"/>
  <c r="M45" i="9"/>
  <c r="P45" i="9"/>
  <c r="H46" i="9"/>
  <c r="O45" i="9"/>
  <c r="G55" i="15" l="1"/>
  <c r="J56" i="15" s="1"/>
  <c r="H56" i="15"/>
  <c r="O54" i="15"/>
  <c r="K55" i="15"/>
  <c r="H55" i="15"/>
  <c r="N54" i="15"/>
  <c r="L55" i="15"/>
  <c r="M54" i="15"/>
  <c r="J55" i="15"/>
  <c r="P54" i="15"/>
  <c r="I55" i="15"/>
  <c r="O55" i="15" s="1"/>
  <c r="L51" i="13"/>
  <c r="K51" i="13"/>
  <c r="O50" i="14"/>
  <c r="M50" i="14"/>
  <c r="G51" i="14"/>
  <c r="L51" i="14"/>
  <c r="I51" i="14"/>
  <c r="J51" i="14"/>
  <c r="N50" i="14"/>
  <c r="H51" i="14"/>
  <c r="K51" i="14"/>
  <c r="P50" i="14"/>
  <c r="M50" i="13"/>
  <c r="E52" i="13"/>
  <c r="F52" i="13"/>
  <c r="G51" i="13"/>
  <c r="O44" i="5"/>
  <c r="P44" i="5"/>
  <c r="G45" i="5"/>
  <c r="I46" i="5" s="1"/>
  <c r="N44" i="5"/>
  <c r="M44" i="5"/>
  <c r="K45" i="5"/>
  <c r="L45" i="5"/>
  <c r="J45" i="5"/>
  <c r="I45" i="5"/>
  <c r="L47" i="9"/>
  <c r="P46" i="9"/>
  <c r="K47" i="9"/>
  <c r="N46" i="9"/>
  <c r="H47" i="9"/>
  <c r="J47" i="9"/>
  <c r="M46" i="9"/>
  <c r="G47" i="9"/>
  <c r="H48" i="9" s="1"/>
  <c r="O46" i="9"/>
  <c r="L56" i="15" l="1"/>
  <c r="I56" i="15"/>
  <c r="G56" i="15"/>
  <c r="N55" i="15"/>
  <c r="M55" i="15"/>
  <c r="P55" i="15"/>
  <c r="O56" i="15"/>
  <c r="K56" i="15"/>
  <c r="K52" i="13"/>
  <c r="L52" i="13"/>
  <c r="G52" i="14"/>
  <c r="N51" i="14"/>
  <c r="H52" i="14"/>
  <c r="P51" i="14"/>
  <c r="J52" i="14"/>
  <c r="I52" i="14"/>
  <c r="M51" i="14"/>
  <c r="L52" i="14"/>
  <c r="K52" i="14"/>
  <c r="O51" i="14"/>
  <c r="H46" i="5"/>
  <c r="L46" i="5"/>
  <c r="J46" i="5"/>
  <c r="M51" i="13"/>
  <c r="E53" i="13"/>
  <c r="F53" i="13"/>
  <c r="G52" i="13"/>
  <c r="G46" i="5"/>
  <c r="J47" i="5" s="1"/>
  <c r="O45" i="5"/>
  <c r="M45" i="5"/>
  <c r="P45" i="5"/>
  <c r="K46" i="5"/>
  <c r="N45" i="5"/>
  <c r="L48" i="9"/>
  <c r="G48" i="9"/>
  <c r="J49" i="9" s="1"/>
  <c r="M47" i="9"/>
  <c r="P47" i="9"/>
  <c r="J48" i="9"/>
  <c r="I48" i="9"/>
  <c r="N47" i="9"/>
  <c r="O47" i="9"/>
  <c r="K48" i="9"/>
  <c r="K57" i="15" l="1"/>
  <c r="J57" i="15"/>
  <c r="I57" i="15"/>
  <c r="P56" i="15"/>
  <c r="H57" i="15"/>
  <c r="N56" i="15"/>
  <c r="M56" i="15"/>
  <c r="L57" i="15"/>
  <c r="G57" i="15"/>
  <c r="O52" i="14"/>
  <c r="K53" i="13"/>
  <c r="L53" i="13"/>
  <c r="G53" i="14"/>
  <c r="P52" i="14"/>
  <c r="K53" i="14"/>
  <c r="N52" i="14"/>
  <c r="M52" i="14"/>
  <c r="L53" i="14"/>
  <c r="I53" i="14"/>
  <c r="J53" i="14"/>
  <c r="H53" i="14"/>
  <c r="M52" i="13"/>
  <c r="E54" i="13"/>
  <c r="F54" i="13"/>
  <c r="G53" i="13"/>
  <c r="O46" i="5"/>
  <c r="P46" i="5"/>
  <c r="K47" i="5"/>
  <c r="G47" i="5"/>
  <c r="H48" i="5" s="1"/>
  <c r="H47" i="5"/>
  <c r="L47" i="5"/>
  <c r="M46" i="5"/>
  <c r="I47" i="5"/>
  <c r="N46" i="5"/>
  <c r="H49" i="9"/>
  <c r="I49" i="9"/>
  <c r="N48" i="9"/>
  <c r="P48" i="9"/>
  <c r="G49" i="9"/>
  <c r="O48" i="9"/>
  <c r="L49" i="9"/>
  <c r="M48" i="9"/>
  <c r="K49" i="9"/>
  <c r="O57" i="15" l="1"/>
  <c r="K58" i="15"/>
  <c r="I58" i="15"/>
  <c r="P57" i="15"/>
  <c r="H58" i="15"/>
  <c r="N57" i="15"/>
  <c r="L58" i="15"/>
  <c r="M57" i="15"/>
  <c r="J58" i="15"/>
  <c r="G58" i="15"/>
  <c r="L54" i="13"/>
  <c r="K54" i="13"/>
  <c r="O53" i="14"/>
  <c r="G54" i="14"/>
  <c r="J54" i="14"/>
  <c r="N53" i="14"/>
  <c r="H54" i="14"/>
  <c r="I54" i="14"/>
  <c r="P53" i="14"/>
  <c r="M53" i="14"/>
  <c r="L54" i="14"/>
  <c r="K54" i="14"/>
  <c r="I48" i="5"/>
  <c r="O47" i="5"/>
  <c r="N47" i="5"/>
  <c r="G48" i="5"/>
  <c r="H49" i="5" s="1"/>
  <c r="M53" i="13"/>
  <c r="E55" i="13"/>
  <c r="F55" i="13"/>
  <c r="G54" i="13"/>
  <c r="L48" i="5"/>
  <c r="J48" i="5"/>
  <c r="P47" i="5"/>
  <c r="K48" i="5"/>
  <c r="M47" i="5"/>
  <c r="N49" i="9"/>
  <c r="O49" i="9"/>
  <c r="K50" i="9"/>
  <c r="L50" i="9"/>
  <c r="M49" i="9"/>
  <c r="P49" i="9"/>
  <c r="H50" i="9"/>
  <c r="J50" i="9"/>
  <c r="I50" i="9"/>
  <c r="G50" i="9"/>
  <c r="O58" i="15" l="1"/>
  <c r="K59" i="15"/>
  <c r="H59" i="15"/>
  <c r="N58" i="15"/>
  <c r="L59" i="15"/>
  <c r="M58" i="15"/>
  <c r="J59" i="15"/>
  <c r="P58" i="15"/>
  <c r="I59" i="15"/>
  <c r="G59" i="15"/>
  <c r="O48" i="5"/>
  <c r="K55" i="13"/>
  <c r="L55" i="13"/>
  <c r="O54" i="14"/>
  <c r="G55" i="14"/>
  <c r="G49" i="5"/>
  <c r="I50" i="5" s="1"/>
  <c r="L55" i="14"/>
  <c r="J55" i="14"/>
  <c r="M54" i="14"/>
  <c r="P54" i="14"/>
  <c r="I55" i="14"/>
  <c r="K55" i="14"/>
  <c r="N54" i="14"/>
  <c r="H55" i="14"/>
  <c r="J49" i="5"/>
  <c r="I49" i="5"/>
  <c r="N48" i="5"/>
  <c r="L49" i="5"/>
  <c r="P48" i="5"/>
  <c r="K49" i="5"/>
  <c r="M48" i="5"/>
  <c r="M54" i="13"/>
  <c r="E56" i="13"/>
  <c r="F56" i="13"/>
  <c r="G55" i="13"/>
  <c r="O50" i="9"/>
  <c r="G51" i="9"/>
  <c r="I52" i="9" s="1"/>
  <c r="H51" i="9"/>
  <c r="N50" i="9"/>
  <c r="I51" i="9"/>
  <c r="P50" i="9"/>
  <c r="J51" i="9"/>
  <c r="M50" i="9"/>
  <c r="K51" i="9"/>
  <c r="L51" i="9"/>
  <c r="G60" i="15" l="1"/>
  <c r="P49" i="5"/>
  <c r="K60" i="15"/>
  <c r="L60" i="15"/>
  <c r="M59" i="15"/>
  <c r="J60" i="15"/>
  <c r="I60" i="15"/>
  <c r="P59" i="15"/>
  <c r="N59" i="15"/>
  <c r="H60" i="15"/>
  <c r="O59" i="15"/>
  <c r="J50" i="5"/>
  <c r="H50" i="5"/>
  <c r="N49" i="5"/>
  <c r="K56" i="13"/>
  <c r="L56" i="13"/>
  <c r="K50" i="5"/>
  <c r="O55" i="14"/>
  <c r="M49" i="5"/>
  <c r="G56" i="14"/>
  <c r="O49" i="5"/>
  <c r="H56" i="14"/>
  <c r="M55" i="14"/>
  <c r="L56" i="14"/>
  <c r="P55" i="14"/>
  <c r="K56" i="14"/>
  <c r="J56" i="14"/>
  <c r="N55" i="14"/>
  <c r="I56" i="14"/>
  <c r="L50" i="5"/>
  <c r="G50" i="5"/>
  <c r="I51" i="5" s="1"/>
  <c r="M55" i="13"/>
  <c r="E57" i="13"/>
  <c r="F57" i="13"/>
  <c r="G56" i="13"/>
  <c r="N51" i="9"/>
  <c r="H52" i="9"/>
  <c r="O51" i="9"/>
  <c r="L52" i="9"/>
  <c r="J52" i="9"/>
  <c r="K52" i="9"/>
  <c r="M51" i="9"/>
  <c r="P51" i="9"/>
  <c r="G52" i="9"/>
  <c r="I53" i="9" s="1"/>
  <c r="K61" i="15" l="1"/>
  <c r="J61" i="15"/>
  <c r="I61" i="15"/>
  <c r="P60" i="15"/>
  <c r="H61" i="15"/>
  <c r="N60" i="15"/>
  <c r="M60" i="15"/>
  <c r="L61" i="15"/>
  <c r="O60" i="15"/>
  <c r="G61" i="15"/>
  <c r="K57" i="13"/>
  <c r="L57" i="13"/>
  <c r="G57" i="14"/>
  <c r="O56" i="14"/>
  <c r="J57" i="14"/>
  <c r="N56" i="14"/>
  <c r="P56" i="14"/>
  <c r="L57" i="14"/>
  <c r="M56" i="14"/>
  <c r="I57" i="14"/>
  <c r="H57" i="14"/>
  <c r="K57" i="14"/>
  <c r="J51" i="5"/>
  <c r="K51" i="5"/>
  <c r="L51" i="5"/>
  <c r="O50" i="5"/>
  <c r="M50" i="5"/>
  <c r="P50" i="5"/>
  <c r="G51" i="5"/>
  <c r="J52" i="5" s="1"/>
  <c r="H51" i="5"/>
  <c r="N50" i="5"/>
  <c r="M56" i="13"/>
  <c r="E58" i="13"/>
  <c r="F58" i="13"/>
  <c r="G57" i="13"/>
  <c r="G53" i="9"/>
  <c r="H54" i="9" s="1"/>
  <c r="P52" i="9"/>
  <c r="K53" i="9"/>
  <c r="M52" i="9"/>
  <c r="L53" i="9"/>
  <c r="N52" i="9"/>
  <c r="J53" i="9"/>
  <c r="O52" i="9"/>
  <c r="H53" i="9"/>
  <c r="O61" i="15" l="1"/>
  <c r="K62" i="15"/>
  <c r="I62" i="15"/>
  <c r="P61" i="15"/>
  <c r="H62" i="15"/>
  <c r="N61" i="15"/>
  <c r="L62" i="15"/>
  <c r="M61" i="15"/>
  <c r="J62" i="15"/>
  <c r="G62" i="15"/>
  <c r="O57" i="14"/>
  <c r="L52" i="5"/>
  <c r="L58" i="13"/>
  <c r="K58" i="13"/>
  <c r="M57" i="14"/>
  <c r="G52" i="5"/>
  <c r="J53" i="5" s="1"/>
  <c r="G58" i="14"/>
  <c r="H58" i="14"/>
  <c r="L58" i="14"/>
  <c r="P57" i="14"/>
  <c r="J58" i="14"/>
  <c r="I58" i="14"/>
  <c r="K58" i="14"/>
  <c r="N57" i="14"/>
  <c r="H52" i="5"/>
  <c r="K52" i="5"/>
  <c r="I52" i="5"/>
  <c r="O51" i="5"/>
  <c r="M51" i="5"/>
  <c r="P51" i="5"/>
  <c r="N51" i="5"/>
  <c r="M57" i="13"/>
  <c r="E59" i="13"/>
  <c r="F59" i="13"/>
  <c r="G58" i="13"/>
  <c r="J54" i="9"/>
  <c r="I54" i="9"/>
  <c r="M53" i="9"/>
  <c r="K54" i="9"/>
  <c r="G54" i="9"/>
  <c r="I55" i="9" s="1"/>
  <c r="O53" i="9"/>
  <c r="P53" i="9"/>
  <c r="L54" i="9"/>
  <c r="N53" i="9"/>
  <c r="G63" i="15" l="1"/>
  <c r="H64" i="15" s="1"/>
  <c r="H53" i="5"/>
  <c r="O62" i="15"/>
  <c r="J64" i="15"/>
  <c r="I64" i="15"/>
  <c r="K63" i="15"/>
  <c r="H63" i="15"/>
  <c r="G64" i="15" s="1"/>
  <c r="N62" i="15"/>
  <c r="L63" i="15"/>
  <c r="M62" i="15"/>
  <c r="J63" i="15"/>
  <c r="L64" i="15" s="1"/>
  <c r="P62" i="15"/>
  <c r="I63" i="15"/>
  <c r="G53" i="5"/>
  <c r="H54" i="5" s="1"/>
  <c r="I53" i="5"/>
  <c r="O53" i="5" s="1"/>
  <c r="L53" i="5"/>
  <c r="O52" i="5"/>
  <c r="M52" i="5"/>
  <c r="P52" i="5"/>
  <c r="K59" i="13"/>
  <c r="L59" i="13"/>
  <c r="G59" i="14"/>
  <c r="O58" i="14"/>
  <c r="M58" i="14"/>
  <c r="H59" i="14"/>
  <c r="K59" i="14"/>
  <c r="L59" i="14"/>
  <c r="P58" i="14"/>
  <c r="N58" i="14"/>
  <c r="J59" i="14"/>
  <c r="I59" i="14"/>
  <c r="K53" i="5"/>
  <c r="N52" i="5"/>
  <c r="M58" i="13"/>
  <c r="E60" i="13"/>
  <c r="F60" i="13"/>
  <c r="G59" i="13"/>
  <c r="P54" i="9"/>
  <c r="G54" i="5"/>
  <c r="I55" i="5" s="1"/>
  <c r="G55" i="9"/>
  <c r="I56" i="9" s="1"/>
  <c r="I54" i="5"/>
  <c r="H55" i="9"/>
  <c r="N53" i="5"/>
  <c r="N54" i="9"/>
  <c r="M54" i="9"/>
  <c r="K55" i="9"/>
  <c r="J55" i="9"/>
  <c r="O54" i="9"/>
  <c r="L55" i="9"/>
  <c r="P63" i="15" l="1"/>
  <c r="O63" i="15"/>
  <c r="N63" i="15"/>
  <c r="J65" i="15"/>
  <c r="I65" i="15"/>
  <c r="P64" i="15"/>
  <c r="H65" i="15"/>
  <c r="G66" i="15" s="1"/>
  <c r="N64" i="15"/>
  <c r="L65" i="15"/>
  <c r="O64" i="15"/>
  <c r="K64" i="15"/>
  <c r="M64" i="15" s="1"/>
  <c r="P53" i="5"/>
  <c r="L54" i="5"/>
  <c r="J54" i="5"/>
  <c r="G55" i="5" s="1"/>
  <c r="H56" i="5" s="1"/>
  <c r="K54" i="5"/>
  <c r="M54" i="5" s="1"/>
  <c r="G65" i="15"/>
  <c r="M63" i="15"/>
  <c r="K60" i="13"/>
  <c r="L60" i="13"/>
  <c r="M53" i="5"/>
  <c r="G60" i="14"/>
  <c r="O59" i="14"/>
  <c r="N59" i="14"/>
  <c r="H60" i="14"/>
  <c r="I60" i="14"/>
  <c r="M59" i="14"/>
  <c r="K60" i="14"/>
  <c r="L60" i="14"/>
  <c r="P59" i="14"/>
  <c r="J60" i="14"/>
  <c r="M59" i="13"/>
  <c r="E61" i="13"/>
  <c r="F61" i="13"/>
  <c r="G60" i="13"/>
  <c r="J55" i="5"/>
  <c r="H55" i="5"/>
  <c r="P54" i="5"/>
  <c r="J56" i="9"/>
  <c r="N55" i="9"/>
  <c r="H56" i="9"/>
  <c r="N54" i="5"/>
  <c r="M55" i="9"/>
  <c r="G56" i="9"/>
  <c r="I57" i="9" s="1"/>
  <c r="P55" i="9"/>
  <c r="L56" i="9"/>
  <c r="K56" i="9"/>
  <c r="O55" i="9"/>
  <c r="K65" i="15" l="1"/>
  <c r="K55" i="5"/>
  <c r="K66" i="15"/>
  <c r="J66" i="15"/>
  <c r="I66" i="15"/>
  <c r="P65" i="15"/>
  <c r="H66" i="15"/>
  <c r="N65" i="15"/>
  <c r="M65" i="15"/>
  <c r="L66" i="15"/>
  <c r="O65" i="15"/>
  <c r="P66" i="15"/>
  <c r="P68" i="15" s="1"/>
  <c r="O54" i="5"/>
  <c r="L55" i="5"/>
  <c r="M55" i="5" s="1"/>
  <c r="O60" i="14"/>
  <c r="L61" i="13"/>
  <c r="K61" i="13"/>
  <c r="G61" i="14"/>
  <c r="N60" i="14"/>
  <c r="J61" i="14"/>
  <c r="M60" i="14"/>
  <c r="H61" i="14"/>
  <c r="I61" i="14"/>
  <c r="L61" i="14"/>
  <c r="P60" i="14"/>
  <c r="K61" i="14"/>
  <c r="M60" i="13"/>
  <c r="E62" i="13"/>
  <c r="F62" i="13"/>
  <c r="G61" i="13"/>
  <c r="K57" i="9"/>
  <c r="J57" i="9"/>
  <c r="H57" i="9"/>
  <c r="N55" i="5"/>
  <c r="I56" i="5"/>
  <c r="L57" i="9"/>
  <c r="L56" i="5"/>
  <c r="G56" i="5"/>
  <c r="J57" i="5" s="1"/>
  <c r="O55" i="5"/>
  <c r="K56" i="5"/>
  <c r="O56" i="9"/>
  <c r="N56" i="9"/>
  <c r="J56" i="5"/>
  <c r="P55" i="5"/>
  <c r="P56" i="9"/>
  <c r="G57" i="9"/>
  <c r="M56" i="9"/>
  <c r="O66" i="15" l="1"/>
  <c r="O68" i="15" s="1"/>
  <c r="N66" i="15"/>
  <c r="N68" i="15" s="1"/>
  <c r="M66" i="15"/>
  <c r="K62" i="13"/>
  <c r="L62" i="13"/>
  <c r="O61" i="14"/>
  <c r="G62" i="14"/>
  <c r="L62" i="14"/>
  <c r="J62" i="14"/>
  <c r="I62" i="14"/>
  <c r="H62" i="14"/>
  <c r="P61" i="14"/>
  <c r="N61" i="14"/>
  <c r="K62" i="14"/>
  <c r="M61" i="14"/>
  <c r="M61" i="13"/>
  <c r="E63" i="13"/>
  <c r="F63" i="13"/>
  <c r="G62" i="13"/>
  <c r="K58" i="9"/>
  <c r="G58" i="9"/>
  <c r="H59" i="9" s="1"/>
  <c r="L57" i="5"/>
  <c r="N56" i="5"/>
  <c r="M56" i="5"/>
  <c r="I57" i="5"/>
  <c r="O56" i="5"/>
  <c r="O57" i="9"/>
  <c r="P56" i="5"/>
  <c r="N57" i="9"/>
  <c r="G57" i="5"/>
  <c r="P57" i="9"/>
  <c r="H58" i="9"/>
  <c r="K57" i="5"/>
  <c r="J58" i="9"/>
  <c r="M57" i="9"/>
  <c r="H57" i="5"/>
  <c r="I58" i="9"/>
  <c r="L58" i="9"/>
  <c r="J59" i="9" l="1"/>
  <c r="G63" i="14"/>
  <c r="J64" i="14" s="1"/>
  <c r="L63" i="13"/>
  <c r="K63" i="13"/>
  <c r="O62" i="14"/>
  <c r="J63" i="14"/>
  <c r="I63" i="14"/>
  <c r="M62" i="14"/>
  <c r="N62" i="14"/>
  <c r="K63" i="14"/>
  <c r="H63" i="14"/>
  <c r="P62" i="14"/>
  <c r="L63" i="14"/>
  <c r="M62" i="13"/>
  <c r="E64" i="13"/>
  <c r="F64" i="13"/>
  <c r="G63" i="13"/>
  <c r="I59" i="9"/>
  <c r="N58" i="9"/>
  <c r="O57" i="5"/>
  <c r="K59" i="9"/>
  <c r="L59" i="9"/>
  <c r="K58" i="5"/>
  <c r="P58" i="9"/>
  <c r="I58" i="5"/>
  <c r="N57" i="5"/>
  <c r="J58" i="5"/>
  <c r="G59" i="9"/>
  <c r="I60" i="9" s="1"/>
  <c r="H58" i="5"/>
  <c r="G58" i="5"/>
  <c r="J59" i="5" s="1"/>
  <c r="P57" i="5"/>
  <c r="O58" i="9"/>
  <c r="M57" i="5"/>
  <c r="L58" i="5"/>
  <c r="M58" i="9"/>
  <c r="L64" i="14" l="1"/>
  <c r="H64" i="14"/>
  <c r="K64" i="14"/>
  <c r="G64" i="14"/>
  <c r="P64" i="14" s="1"/>
  <c r="I64" i="14"/>
  <c r="K64" i="13"/>
  <c r="L64" i="13"/>
  <c r="P63" i="14"/>
  <c r="N63" i="14"/>
  <c r="O63" i="14"/>
  <c r="M63" i="14"/>
  <c r="M63" i="13"/>
  <c r="E65" i="13"/>
  <c r="F65" i="13"/>
  <c r="G64" i="13"/>
  <c r="I59" i="5"/>
  <c r="H59" i="5"/>
  <c r="K59" i="5"/>
  <c r="G60" i="9"/>
  <c r="I61" i="9" s="1"/>
  <c r="N59" i="9"/>
  <c r="J60" i="9"/>
  <c r="M59" i="9"/>
  <c r="L60" i="9"/>
  <c r="G59" i="5"/>
  <c r="H60" i="9"/>
  <c r="K60" i="9"/>
  <c r="O58" i="5"/>
  <c r="N58" i="5"/>
  <c r="P59" i="9"/>
  <c r="L59" i="5"/>
  <c r="M58" i="5"/>
  <c r="O59" i="9"/>
  <c r="P58" i="5"/>
  <c r="G65" i="14" l="1"/>
  <c r="H65" i="14"/>
  <c r="M64" i="14"/>
  <c r="I65" i="14"/>
  <c r="P65" i="14" s="1"/>
  <c r="L65" i="14"/>
  <c r="K65" i="14"/>
  <c r="J65" i="14"/>
  <c r="O64" i="14"/>
  <c r="N64" i="14"/>
  <c r="K65" i="13"/>
  <c r="L65" i="13"/>
  <c r="J66" i="14"/>
  <c r="I66" i="14"/>
  <c r="O59" i="5"/>
  <c r="M64" i="13"/>
  <c r="E66" i="13"/>
  <c r="F66" i="13"/>
  <c r="G65" i="13"/>
  <c r="N59" i="5"/>
  <c r="M60" i="9"/>
  <c r="G60" i="5"/>
  <c r="J61" i="5" s="1"/>
  <c r="N60" i="9"/>
  <c r="K60" i="5"/>
  <c r="P59" i="5"/>
  <c r="J61" i="9"/>
  <c r="H60" i="5"/>
  <c r="L61" i="9"/>
  <c r="H61" i="9"/>
  <c r="J60" i="5"/>
  <c r="L60" i="5"/>
  <c r="O60" i="9"/>
  <c r="G61" i="9"/>
  <c r="I62" i="9" s="1"/>
  <c r="P60" i="9"/>
  <c r="I60" i="5"/>
  <c r="K61" i="9"/>
  <c r="M59" i="5"/>
  <c r="L66" i="14" l="1"/>
  <c r="H66" i="14"/>
  <c r="K66" i="14"/>
  <c r="M65" i="14"/>
  <c r="N65" i="14"/>
  <c r="G66" i="14"/>
  <c r="P66" i="14" s="1"/>
  <c r="P68" i="14" s="1"/>
  <c r="O65" i="14"/>
  <c r="G66" i="13"/>
  <c r="K66" i="13"/>
  <c r="L66" i="13"/>
  <c r="L61" i="5"/>
  <c r="H61" i="5"/>
  <c r="I61" i="5"/>
  <c r="M65" i="13"/>
  <c r="N60" i="5"/>
  <c r="K61" i="5"/>
  <c r="G62" i="9"/>
  <c r="I63" i="9" s="1"/>
  <c r="P60" i="5"/>
  <c r="O61" i="9"/>
  <c r="J62" i="9"/>
  <c r="M61" i="9"/>
  <c r="P61" i="9"/>
  <c r="O60" i="5"/>
  <c r="K62" i="9"/>
  <c r="M60" i="5"/>
  <c r="H62" i="9"/>
  <c r="L62" i="9"/>
  <c r="N61" i="9"/>
  <c r="G61" i="5"/>
  <c r="I62" i="5" s="1"/>
  <c r="N66" i="14" l="1"/>
  <c r="N68" i="14" s="1"/>
  <c r="M66" i="14"/>
  <c r="O66" i="14"/>
  <c r="O68" i="14" s="1"/>
  <c r="J62" i="5"/>
  <c r="M66" i="13"/>
  <c r="J63" i="9"/>
  <c r="K62" i="5"/>
  <c r="G63" i="9"/>
  <c r="L64" i="9" s="1"/>
  <c r="L62" i="5"/>
  <c r="O61" i="5"/>
  <c r="M61" i="5"/>
  <c r="P62" i="9"/>
  <c r="H63" i="9"/>
  <c r="H62" i="5"/>
  <c r="L63" i="9"/>
  <c r="P61" i="5"/>
  <c r="M62" i="9"/>
  <c r="O62" i="9"/>
  <c r="K63" i="9"/>
  <c r="N62" i="9"/>
  <c r="G62" i="5"/>
  <c r="H63" i="5" s="1"/>
  <c r="N61" i="5"/>
  <c r="O63" i="9" l="1"/>
  <c r="J64" i="9"/>
  <c r="H64" i="9"/>
  <c r="N63" i="9"/>
  <c r="O62" i="5"/>
  <c r="I64" i="9"/>
  <c r="P62" i="5"/>
  <c r="M63" i="9"/>
  <c r="L63" i="5"/>
  <c r="N62" i="5"/>
  <c r="J63" i="5"/>
  <c r="G63" i="5"/>
  <c r="J64" i="5" s="1"/>
  <c r="I63" i="5"/>
  <c r="P63" i="9"/>
  <c r="G64" i="9"/>
  <c r="J65" i="9" s="1"/>
  <c r="K63" i="5"/>
  <c r="M62" i="5"/>
  <c r="K64" i="9"/>
  <c r="H64" i="5" l="1"/>
  <c r="M63" i="5"/>
  <c r="O63" i="5"/>
  <c r="K64" i="5"/>
  <c r="O64" i="9"/>
  <c r="I65" i="9"/>
  <c r="P64" i="9"/>
  <c r="M64" i="9"/>
  <c r="G64" i="5"/>
  <c r="N64" i="9"/>
  <c r="L64" i="5"/>
  <c r="P63" i="5"/>
  <c r="G65" i="9"/>
  <c r="J66" i="9" s="1"/>
  <c r="H65" i="9"/>
  <c r="N63" i="5"/>
  <c r="L65" i="9"/>
  <c r="I64" i="5"/>
  <c r="K65" i="9"/>
  <c r="O64" i="5" l="1"/>
  <c r="N64" i="5"/>
  <c r="L65" i="5"/>
  <c r="K65" i="5"/>
  <c r="G65" i="5"/>
  <c r="I66" i="5" s="1"/>
  <c r="I65" i="5"/>
  <c r="M64" i="5"/>
  <c r="L66" i="9"/>
  <c r="I66" i="9"/>
  <c r="G66" i="9"/>
  <c r="H66" i="9"/>
  <c r="N65" i="9"/>
  <c r="P65" i="9"/>
  <c r="K66" i="9"/>
  <c r="O65" i="9"/>
  <c r="J65" i="5"/>
  <c r="P64" i="5"/>
  <c r="H65" i="5"/>
  <c r="M65" i="9"/>
  <c r="O66" i="9" l="1"/>
  <c r="O65" i="5"/>
  <c r="M65" i="5"/>
  <c r="L66" i="5"/>
  <c r="P65" i="5"/>
  <c r="P66" i="9"/>
  <c r="P68" i="9" s="1"/>
  <c r="K66" i="5"/>
  <c r="M66" i="9"/>
  <c r="N65" i="5"/>
  <c r="G66" i="5"/>
  <c r="H66" i="5"/>
  <c r="J66" i="5"/>
  <c r="N66" i="9"/>
  <c r="N68" i="9" s="1"/>
  <c r="O68" i="9"/>
  <c r="N66" i="5" l="1"/>
  <c r="N68" i="5" s="1"/>
  <c r="D14" i="3" s="1"/>
  <c r="D16" i="3" s="1"/>
  <c r="M66" i="5"/>
  <c r="O66" i="5"/>
  <c r="O68" i="5" s="1"/>
  <c r="P66" i="5"/>
  <c r="P68" i="5" s="1"/>
  <c r="E14" i="3" s="1"/>
  <c r="E16" i="3" s="1"/>
  <c r="D19" i="3" l="1"/>
  <c r="D23" i="3"/>
</calcChain>
</file>

<file path=xl/comments1.xml><?xml version="1.0" encoding="utf-8"?>
<comments xmlns="http://schemas.openxmlformats.org/spreadsheetml/2006/main">
  <authors>
    <author>Andrew Briggs</author>
  </authors>
  <commentList>
    <comment ref="B3" authorId="0" shapeId="0">
      <text>
        <r>
          <rPr>
            <sz val="8"/>
            <color indexed="81"/>
            <rFont val="Tahoma"/>
            <family val="2"/>
          </rPr>
          <t xml:space="preserve">Note that this is the cell that is linked to the 'form' on the &lt;Analysis&gt; sheet where male (returns value 1) or female (returns value 2) is chosen
</t>
        </r>
      </text>
    </comment>
    <comment ref="B36" authorId="0" shapeId="0">
      <text>
        <r>
          <rPr>
            <sz val="8"/>
            <color indexed="81"/>
            <rFont val="Tahoma"/>
            <family val="2"/>
          </rPr>
          <t>Note that the cost of the primary procedure is excluded: since both arms have this procedure it is assumed to net out of the incremental analysis.  However, if the model was to be used to estimate lifetime costs of THR it would be important to include.</t>
        </r>
      </text>
    </comment>
    <comment ref="B38" authorId="0" shapeId="0">
      <text>
        <r>
          <rPr>
            <sz val="8"/>
            <color indexed="81"/>
            <rFont val="Tahoma"/>
            <family val="2"/>
          </rPr>
          <t>There are assumed to be no ongoing monitoring costs for successful THR.  However, this parameter is included in case users want to change this assumption.</t>
        </r>
      </text>
    </comment>
  </commentList>
</comments>
</file>

<file path=xl/comments2.xml><?xml version="1.0" encoding="utf-8"?>
<comments xmlns="http://schemas.openxmlformats.org/spreadsheetml/2006/main">
  <authors>
    <author>Andrew Briggs</author>
  </authors>
  <commentList>
    <comment ref="G1" authorId="0" shapeId="0">
      <text>
        <r>
          <rPr>
            <sz val="8"/>
            <color indexed="81"/>
            <rFont val="Tahoma"/>
            <family val="2"/>
          </rPr>
          <t>Taken from "Health Statistics Quarterly 09", published Spring 1999 by the Office of National Statistics (www.statistics.gov.uk)</t>
        </r>
      </text>
    </comment>
  </commentList>
</comments>
</file>

<file path=xl/sharedStrings.xml><?xml version="1.0" encoding="utf-8"?>
<sst xmlns="http://schemas.openxmlformats.org/spreadsheetml/2006/main" count="268" uniqueCount="162">
  <si>
    <t>States of the model in the represented by the ovals, transitions between states represented by the arrows</t>
  </si>
  <si>
    <r>
      <t xml:space="preserve">State utility variables shown in </t>
    </r>
    <r>
      <rPr>
        <b/>
        <sz val="10"/>
        <color indexed="17"/>
        <rFont val="Arial"/>
        <family val="2"/>
      </rPr>
      <t>green</t>
    </r>
  </si>
  <si>
    <r>
      <t xml:space="preserve">See </t>
    </r>
    <r>
      <rPr>
        <b/>
        <i/>
        <sz val="10"/>
        <rFont val="Arial"/>
        <family val="2"/>
      </rPr>
      <t>&lt;Parameters&gt;</t>
    </r>
    <r>
      <rPr>
        <sz val="10"/>
        <rFont val="Arial"/>
        <family val="2"/>
      </rPr>
      <t xml:space="preserve"> page for definitions</t>
    </r>
  </si>
  <si>
    <r>
      <t xml:space="preserve">All transisition probability variables shown in </t>
    </r>
    <r>
      <rPr>
        <b/>
        <sz val="10"/>
        <color indexed="56"/>
        <rFont val="Arial"/>
        <family val="2"/>
      </rPr>
      <t xml:space="preserve">blue </t>
    </r>
    <r>
      <rPr>
        <b/>
        <sz val="10"/>
        <rFont val="Arial"/>
        <family val="2"/>
      </rPr>
      <t>and</t>
    </r>
    <r>
      <rPr>
        <b/>
        <sz val="10"/>
        <color indexed="56"/>
        <rFont val="Arial"/>
        <family val="2"/>
      </rPr>
      <t xml:space="preserve"> </t>
    </r>
    <r>
      <rPr>
        <b/>
        <sz val="10"/>
        <color rgb="FFFF0000"/>
        <rFont val="Arial"/>
        <family val="2"/>
      </rPr>
      <t>red</t>
    </r>
  </si>
  <si>
    <r>
      <t xml:space="preserve">State cost variables shown in </t>
    </r>
    <r>
      <rPr>
        <sz val="11"/>
        <color theme="5"/>
        <rFont val="Calibri"/>
        <family val="2"/>
        <scheme val="minor"/>
      </rPr>
      <t>orange</t>
    </r>
  </si>
  <si>
    <t>per QALY</t>
  </si>
  <si>
    <t>WTP</t>
  </si>
  <si>
    <t>INMB:</t>
  </si>
  <si>
    <t>ICERs:</t>
  </si>
  <si>
    <t>difference</t>
  </si>
  <si>
    <t>QALYs</t>
  </si>
  <si>
    <t>Cost</t>
  </si>
  <si>
    <t>Prosthesis</t>
  </si>
  <si>
    <t>Results</t>
  </si>
  <si>
    <t>(enter value between 40 and 90 years)</t>
  </si>
  <si>
    <t>Patient age</t>
  </si>
  <si>
    <t>Step 2: Enter age of patient</t>
  </si>
  <si>
    <t>Step 1: Choose male or female</t>
  </si>
  <si>
    <t>Cost-effectiveness of Total Hip Replacement</t>
  </si>
  <si>
    <t>Life-years</t>
  </si>
  <si>
    <t>Check</t>
  </si>
  <si>
    <t>Death risk</t>
  </si>
  <si>
    <t>Revision risk</t>
  </si>
  <si>
    <t>Cycle</t>
  </si>
  <si>
    <t>Model for Usual Care</t>
  </si>
  <si>
    <t>age</t>
  </si>
  <si>
    <t>male</t>
  </si>
  <si>
    <t>Parameters</t>
  </si>
  <si>
    <t>Name</t>
  </si>
  <si>
    <t>Value</t>
  </si>
  <si>
    <t>Description</t>
  </si>
  <si>
    <t>Average age of all patients at receipt of primary implant</t>
  </si>
  <si>
    <t>Sex indicator (0 for female, 1 for male)</t>
  </si>
  <si>
    <t>cDR</t>
  </si>
  <si>
    <t>Cost discount rate</t>
  </si>
  <si>
    <t>oDR</t>
  </si>
  <si>
    <t>Outcome discount rate</t>
  </si>
  <si>
    <t>Resource cost parameters</t>
  </si>
  <si>
    <t>Utility of Markov states per cycle</t>
  </si>
  <si>
    <t>UC</t>
  </si>
  <si>
    <t>PH+UC</t>
  </si>
  <si>
    <t>PH+UCvUC</t>
  </si>
  <si>
    <t>Female</t>
  </si>
  <si>
    <t>Death Probability from Social Security</t>
  </si>
  <si>
    <t>AGE</t>
  </si>
  <si>
    <t>MALE</t>
  </si>
  <si>
    <t>Death Prob</t>
  </si>
  <si>
    <t># of lives</t>
  </si>
  <si>
    <t>Life Exp</t>
  </si>
  <si>
    <t>Death prob</t>
  </si>
  <si>
    <t>Life exp</t>
  </si>
  <si>
    <t>Source</t>
  </si>
  <si>
    <t>https://www.ssa.gov/oact/STATS/table4c6.html</t>
  </si>
  <si>
    <t>Non Ex State</t>
  </si>
  <si>
    <t>OC Burst</t>
  </si>
  <si>
    <t>ER Ex</t>
  </si>
  <si>
    <t>Hosp Ex</t>
  </si>
  <si>
    <t>OC Death</t>
  </si>
  <si>
    <t>Asthma Death</t>
  </si>
  <si>
    <t>amrHOEX</t>
  </si>
  <si>
    <t>Outcome</t>
  </si>
  <si>
    <t>ER ex</t>
  </si>
  <si>
    <t>HO ex</t>
  </si>
  <si>
    <t>prob 1 yr</t>
  </si>
  <si>
    <t>Rate p-wk</t>
  </si>
  <si>
    <t>2wk prob</t>
  </si>
  <si>
    <t>year</t>
  </si>
  <si>
    <t>wks</t>
  </si>
  <si>
    <t>Probability of OC Burst per 2 week</t>
  </si>
  <si>
    <t>Probability of Emergency Room Visit per 2 week</t>
  </si>
  <si>
    <t>Probability of Asthma Hospitalization per 2 week</t>
  </si>
  <si>
    <t>Modelling the Probabilities for Asthma Exacerbation Events</t>
  </si>
  <si>
    <t>30 day prob</t>
  </si>
  <si>
    <t>Transition time</t>
  </si>
  <si>
    <t>Weeks</t>
  </si>
  <si>
    <t>amr</t>
  </si>
  <si>
    <t>Rate per person-year</t>
  </si>
  <si>
    <t>Asthma Related Mortality Rate per 100 person year</t>
  </si>
  <si>
    <t>Reference</t>
  </si>
  <si>
    <t>de Vries et al. 2010</t>
  </si>
  <si>
    <t>amrrate</t>
  </si>
  <si>
    <t>Probability of Asthma-related Mortality for 2 weeks</t>
  </si>
  <si>
    <t>Additional risk of death given asthma hospitalization</t>
  </si>
  <si>
    <t>Additional risk of death given emergency department visit</t>
  </si>
  <si>
    <t>Additional risk of death given OC burst</t>
  </si>
  <si>
    <t>Mortality</t>
  </si>
  <si>
    <t>Exacerbations</t>
  </si>
  <si>
    <r>
      <t>Transition probability variables</t>
    </r>
    <r>
      <rPr>
        <sz val="11"/>
        <color indexed="18"/>
        <rFont val="Arial"/>
        <family val="2"/>
      </rPr>
      <t xml:space="preserve"> (see diagram on page </t>
    </r>
    <r>
      <rPr>
        <b/>
        <i/>
        <sz val="11"/>
        <color indexed="18"/>
        <rFont val="Arial"/>
        <family val="2"/>
      </rPr>
      <t>&lt;Model Figure&gt;</t>
    </r>
    <r>
      <rPr>
        <sz val="11"/>
        <color indexed="18"/>
        <rFont val="Arial"/>
        <family val="2"/>
      </rPr>
      <t xml:space="preserve"> for details)</t>
    </r>
  </si>
  <si>
    <t>cNES</t>
  </si>
  <si>
    <t>uNES</t>
  </si>
  <si>
    <t xml:space="preserve">Utility score for Non Exacerbation State (Chronic Asthma) </t>
  </si>
  <si>
    <t>Humbert et al.</t>
  </si>
  <si>
    <t>uOCEX</t>
  </si>
  <si>
    <t>uEREX</t>
  </si>
  <si>
    <t>Utility score for OC Burst</t>
  </si>
  <si>
    <t>Utility score for ER visit</t>
  </si>
  <si>
    <t>uHOEX</t>
  </si>
  <si>
    <t>Utility score for Hospitalization</t>
  </si>
  <si>
    <t>SE</t>
  </si>
  <si>
    <t>Cost of Non Exacerbation State (usual pharmacotherapy cost)</t>
  </si>
  <si>
    <t>cOSEX</t>
  </si>
  <si>
    <t>cEREX</t>
  </si>
  <si>
    <t>cHOEX</t>
  </si>
  <si>
    <t>Mild exacerbation unit cost</t>
  </si>
  <si>
    <t>Emergency room unit cost</t>
  </si>
  <si>
    <t>Hospitalization stay unit cost</t>
  </si>
  <si>
    <t>One time cost of PH system registration</t>
  </si>
  <si>
    <t>cPH1</t>
  </si>
  <si>
    <t>cPHr</t>
  </si>
  <si>
    <t>Cost of PH system per 2 weeks (recurrent)</t>
  </si>
  <si>
    <t>Price et al.</t>
  </si>
  <si>
    <t>UC Denver Source</t>
  </si>
  <si>
    <t>Ayres et al.</t>
  </si>
  <si>
    <t>MarketScan</t>
  </si>
  <si>
    <t>UCcost</t>
  </si>
  <si>
    <t>UClys</t>
  </si>
  <si>
    <t>UCqalys</t>
  </si>
  <si>
    <t>Propeller Health + Usual Care</t>
  </si>
  <si>
    <t>Uncontrolled Asthma Probability</t>
  </si>
  <si>
    <t>Controlled Asthma Probability</t>
  </si>
  <si>
    <t>rrOSEXuc</t>
  </si>
  <si>
    <t>rrEREXuc</t>
  </si>
  <si>
    <t>rrHOEXuc</t>
  </si>
  <si>
    <t>rrOSEXc</t>
  </si>
  <si>
    <t>rrEREXc</t>
  </si>
  <si>
    <t>rrHOEXc</t>
  </si>
  <si>
    <t>Unadj Mean per 4 month</t>
  </si>
  <si>
    <t>month</t>
  </si>
  <si>
    <t>Decision Tree Portion</t>
  </si>
  <si>
    <t>Unadj Mean/Rate per 4 month</t>
  </si>
  <si>
    <t>PH + UC</t>
  </si>
  <si>
    <t>Uncontrolled Dr. Campbell Source 2009</t>
  </si>
  <si>
    <t>Uncontrolled 2014 source</t>
  </si>
  <si>
    <t>Controlled 2014 source Kaiser</t>
  </si>
  <si>
    <t>Probability of OC Burst per 2 week for controlled asthma</t>
  </si>
  <si>
    <t xml:space="preserve">Probability of Emergency Room Visit per 2 week for controlled asthma </t>
  </si>
  <si>
    <t>Probability of Asthma Hospitalization per 2 week for controlled asthma</t>
  </si>
  <si>
    <t>Sullivan et al 2014</t>
  </si>
  <si>
    <t>Decision Tree Probabilities</t>
  </si>
  <si>
    <t>pCAPH</t>
  </si>
  <si>
    <t>Probability of Controlled Asthma using PH system at 12 months</t>
  </si>
  <si>
    <t>pCAUC</t>
  </si>
  <si>
    <t>Probability of Controlled Asthma under Usual Care at 12 months</t>
  </si>
  <si>
    <t>Initially Uncontrolled</t>
  </si>
  <si>
    <t>Controlled</t>
  </si>
  <si>
    <t>Uncontrolled</t>
  </si>
  <si>
    <t>Usual Care Controlled</t>
  </si>
  <si>
    <t>Usual Care Uncontrolled</t>
  </si>
  <si>
    <t>Model for Level 2 Markov Chain</t>
  </si>
  <si>
    <t>Diagrammatic representation of the 2 Level Markov Model</t>
  </si>
  <si>
    <t>Level 2 (Upper Level)</t>
  </si>
  <si>
    <t>Level 1 (Lower Level)</t>
  </si>
  <si>
    <t>Probability of Uncontrolled Asthma using PH system at 12 months as initially controlled</t>
  </si>
  <si>
    <t>Probability of Uncontrolled Asthma under Usual Care at 12 months as initially controlled</t>
  </si>
  <si>
    <t>pUAPH</t>
  </si>
  <si>
    <t>pUAUC</t>
  </si>
  <si>
    <t>Merchant et al.</t>
  </si>
  <si>
    <t>Usual Care Control and Uncontrolled Level 2 Markov Chain</t>
  </si>
  <si>
    <t>PH System Control and Uncontrolled Level 2 Markov Chain</t>
  </si>
  <si>
    <t>in cont UC</t>
  </si>
  <si>
    <t>in cont PH</t>
  </si>
  <si>
    <t>Model for Usual Care Uncontrolled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</si>
</sst>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quot;£&quot;* #,##0.00_-;\-&quot;£&quot;* #,##0.00_-;_-&quot;£&quot;* &quot;-&quot;??_-;_-@_-"/>
    <numFmt numFmtId="165" formatCode="_-* #,##0.00_-;\-* #,##0.00_-;_-* &quot;-&quot;??_-;_-@_-"/>
    <numFmt numFmtId="166" formatCode="0.000"/>
    <numFmt numFmtId="167" formatCode="0.00000"/>
    <numFmt numFmtId="168" formatCode="0.0000"/>
    <numFmt numFmtId="169" formatCode="_-* #,##0_-;\-* #,##0_-;_-* &quot;-&quot;??_-;_-@_-"/>
    <numFmt numFmtId="170" formatCode="_-&quot;£&quot;* #,##0_-;\-&quot;£&quot;* #,##0_-;_-&quot;£&quot;* &quot;-&quot;??_-;_-@_-"/>
    <numFmt numFmtId="171" formatCode="0.0%"/>
    <numFmt numFmtId="172" formatCode="&quot;£&quot;#,##0"/>
    <numFmt numFmtId="173" formatCode="&quot;$&quot;#,##0"/>
    <numFmt numFmtId="174" formatCode="&quot;$&quot;#,##0.00"/>
  </numFmts>
  <fonts count="31" x14ac:knownFonts="1">
    <font>
      <sz val="11"/>
      <color theme="1"/>
      <name val="Calibri"/>
      <family val="2"/>
      <scheme val="minor"/>
    </font>
    <font>
      <sz val="10"/>
      <name val="Arial"/>
      <family val="2"/>
    </font>
    <font>
      <b/>
      <i/>
      <sz val="10"/>
      <name val="Arial"/>
      <family val="2"/>
    </font>
    <font>
      <b/>
      <sz val="12"/>
      <color indexed="18"/>
      <name val="Arial"/>
      <family val="2"/>
    </font>
    <font>
      <i/>
      <sz val="10"/>
      <color indexed="18"/>
      <name val="Arial"/>
      <family val="2"/>
    </font>
    <font>
      <b/>
      <sz val="10"/>
      <color indexed="17"/>
      <name val="Arial"/>
      <family val="2"/>
    </font>
    <font>
      <b/>
      <sz val="12"/>
      <color indexed="32"/>
      <name val="Arial"/>
      <family val="2"/>
    </font>
    <font>
      <b/>
      <sz val="10"/>
      <color indexed="56"/>
      <name val="Arial"/>
      <family val="2"/>
    </font>
    <font>
      <b/>
      <sz val="10"/>
      <name val="Arial"/>
      <family val="2"/>
    </font>
    <font>
      <b/>
      <sz val="12"/>
      <name val="Arial"/>
      <family val="2"/>
    </font>
    <font>
      <b/>
      <sz val="10"/>
      <color indexed="9"/>
      <name val="Arial"/>
      <family val="2"/>
    </font>
    <font>
      <sz val="10"/>
      <name val="Arial"/>
      <family val="2"/>
    </font>
    <font>
      <sz val="8"/>
      <name val="Arial"/>
      <family val="2"/>
    </font>
    <font>
      <i/>
      <sz val="8"/>
      <name val="Arial"/>
      <family val="2"/>
    </font>
    <font>
      <sz val="8"/>
      <color indexed="81"/>
      <name val="Tahoma"/>
      <family val="2"/>
    </font>
    <font>
      <b/>
      <sz val="10"/>
      <color rgb="FFFF0000"/>
      <name val="Arial"/>
      <family val="2"/>
    </font>
    <font>
      <sz val="11"/>
      <color theme="5"/>
      <name val="Calibri"/>
      <family val="2"/>
      <scheme val="minor"/>
    </font>
    <font>
      <sz val="10"/>
      <color indexed="9"/>
      <name val="Arial"/>
      <family val="2"/>
    </font>
    <font>
      <sz val="8"/>
      <color rgb="FF000000"/>
      <name val="Tahoma"/>
      <family val="2"/>
    </font>
    <font>
      <b/>
      <sz val="10"/>
      <color indexed="32"/>
      <name val="Arial"/>
      <family val="2"/>
    </font>
    <font>
      <sz val="10"/>
      <color indexed="8"/>
      <name val="Arial"/>
      <family val="2"/>
    </font>
    <font>
      <b/>
      <sz val="10"/>
      <color indexed="18"/>
      <name val="Arial"/>
      <family val="2"/>
    </font>
    <font>
      <sz val="10"/>
      <color indexed="19"/>
      <name val="Arial"/>
      <family val="2"/>
    </font>
    <font>
      <sz val="10"/>
      <color indexed="16"/>
      <name val="Arial"/>
      <family val="2"/>
    </font>
    <font>
      <sz val="10"/>
      <color indexed="10"/>
      <name val="Arial"/>
      <family val="2"/>
    </font>
    <font>
      <sz val="14"/>
      <color rgb="FF212121"/>
      <name val="Segoe UI"/>
      <family val="2"/>
    </font>
    <font>
      <sz val="10"/>
      <color rgb="FF0070C0"/>
      <name val="Arial"/>
      <family val="2"/>
    </font>
    <font>
      <sz val="10"/>
      <color rgb="FF00B050"/>
      <name val="Arial"/>
      <family val="2"/>
    </font>
    <font>
      <b/>
      <sz val="11"/>
      <color indexed="18"/>
      <name val="Arial"/>
      <family val="2"/>
    </font>
    <font>
      <sz val="11"/>
      <color indexed="18"/>
      <name val="Arial"/>
      <family val="2"/>
    </font>
    <font>
      <b/>
      <i/>
      <sz val="11"/>
      <color indexed="18"/>
      <name val="Arial"/>
      <family val="2"/>
    </font>
  </fonts>
  <fills count="12">
    <fill>
      <patternFill patternType="none"/>
    </fill>
    <fill>
      <patternFill patternType="gray125"/>
    </fill>
    <fill>
      <patternFill patternType="solid">
        <fgColor indexed="45"/>
        <bgColor indexed="64"/>
      </patternFill>
    </fill>
    <fill>
      <patternFill patternType="solid">
        <fgColor indexed="17"/>
        <bgColor indexed="64"/>
      </patternFill>
    </fill>
    <fill>
      <patternFill patternType="solid">
        <fgColor indexed="42"/>
        <bgColor indexed="64"/>
      </patternFill>
    </fill>
    <fill>
      <patternFill patternType="solid">
        <fgColor indexed="9"/>
        <bgColor indexed="64"/>
      </patternFill>
    </fill>
    <fill>
      <patternFill patternType="solid">
        <fgColor indexed="16"/>
        <bgColor indexed="64"/>
      </patternFill>
    </fill>
    <fill>
      <patternFill patternType="solid">
        <fgColor indexed="18"/>
        <bgColor indexed="64"/>
      </patternFill>
    </fill>
    <fill>
      <patternFill patternType="solid">
        <fgColor indexed="44"/>
        <bgColor indexed="64"/>
      </patternFill>
    </fill>
    <fill>
      <patternFill patternType="solid">
        <fgColor indexed="43"/>
        <bgColor indexed="64"/>
      </patternFill>
    </fill>
    <fill>
      <patternFill patternType="solid">
        <fgColor rgb="FFFFFFFF"/>
        <bgColor indexed="64"/>
      </patternFill>
    </fill>
    <fill>
      <patternFill patternType="solid">
        <fgColor rgb="FFEEEFEF"/>
        <bgColor indexed="64"/>
      </patternFill>
    </fill>
  </fills>
  <borders count="4">
    <border>
      <left/>
      <right/>
      <top/>
      <bottom/>
      <diagonal/>
    </border>
    <border>
      <left/>
      <right/>
      <top/>
      <bottom style="thin">
        <color indexed="64"/>
      </bottom>
      <diagonal/>
    </border>
    <border>
      <left style="thin">
        <color indexed="17"/>
      </left>
      <right style="thin">
        <color indexed="17"/>
      </right>
      <top style="thin">
        <color indexed="17"/>
      </top>
      <bottom style="thin">
        <color indexed="17"/>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 fillId="0" borderId="0"/>
    <xf numFmtId="165" fontId="1" fillId="0" borderId="0" applyFont="0" applyFill="0" applyBorder="0" applyAlignment="0" applyProtection="0"/>
    <xf numFmtId="164" fontId="1" fillId="0" borderId="0" applyFont="0" applyFill="0" applyBorder="0" applyAlignment="0" applyProtection="0"/>
    <xf numFmtId="2" fontId="1" fillId="0" borderId="0" applyFont="0" applyFill="0" applyBorder="0" applyAlignment="0" applyProtection="0"/>
    <xf numFmtId="9" fontId="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43" fontId="1" fillId="0" borderId="0" applyFont="0" applyFill="0" applyBorder="0" applyAlignment="0" applyProtection="0"/>
  </cellStyleXfs>
  <cellXfs count="119">
    <xf numFmtId="0" fontId="0" fillId="0" borderId="0" xfId="0"/>
    <xf numFmtId="0" fontId="3" fillId="0" borderId="0" xfId="1" applyFont="1"/>
    <xf numFmtId="0" fontId="4" fillId="0" borderId="0" xfId="1" applyFont="1"/>
    <xf numFmtId="0" fontId="1" fillId="0" borderId="0" xfId="0" applyFont="1"/>
    <xf numFmtId="0" fontId="11" fillId="0" borderId="0" xfId="6"/>
    <xf numFmtId="0" fontId="11" fillId="8" borderId="0" xfId="6" applyFill="1" applyBorder="1"/>
    <xf numFmtId="170" fontId="0" fillId="8" borderId="0" xfId="7" applyNumberFormat="1" applyFont="1" applyFill="1" applyBorder="1"/>
    <xf numFmtId="0" fontId="11" fillId="8" borderId="0" xfId="6" applyFill="1" applyBorder="1" applyAlignment="1">
      <alignment horizontal="right"/>
    </xf>
    <xf numFmtId="170" fontId="0" fillId="9" borderId="3" xfId="7" applyNumberFormat="1" applyFont="1" applyFill="1" applyBorder="1" applyAlignment="1">
      <alignment horizontal="right"/>
    </xf>
    <xf numFmtId="2" fontId="11" fillId="8" borderId="0" xfId="6" applyNumberFormat="1" applyFill="1" applyBorder="1" applyAlignment="1">
      <alignment horizontal="right"/>
    </xf>
    <xf numFmtId="170" fontId="0" fillId="8" borderId="0" xfId="7" applyNumberFormat="1" applyFont="1" applyFill="1" applyBorder="1" applyAlignment="1">
      <alignment horizontal="right"/>
    </xf>
    <xf numFmtId="2" fontId="11" fillId="8" borderId="0" xfId="6" applyNumberFormat="1" applyFill="1" applyBorder="1"/>
    <xf numFmtId="2" fontId="11" fillId="9" borderId="3" xfId="6" applyNumberFormat="1" applyFill="1" applyBorder="1" applyAlignment="1">
      <alignment horizontal="right"/>
    </xf>
    <xf numFmtId="0" fontId="11" fillId="7" borderId="0" xfId="6" applyFill="1" applyBorder="1"/>
    <xf numFmtId="0" fontId="10" fillId="7" borderId="0" xfId="6" applyFont="1" applyFill="1" applyBorder="1"/>
    <xf numFmtId="0" fontId="11" fillId="4" borderId="0" xfId="6" applyFill="1" applyBorder="1"/>
    <xf numFmtId="0" fontId="11" fillId="2" borderId="0" xfId="6" applyFill="1" applyBorder="1"/>
    <xf numFmtId="0" fontId="13" fillId="4" borderId="0" xfId="6" applyFont="1" applyFill="1" applyBorder="1"/>
    <xf numFmtId="0" fontId="12" fillId="4" borderId="0" xfId="6" applyFont="1" applyFill="1" applyBorder="1"/>
    <xf numFmtId="0" fontId="11" fillId="5" borderId="2" xfId="6" applyFill="1" applyBorder="1"/>
    <xf numFmtId="0" fontId="11" fillId="3" borderId="0" xfId="6" applyFill="1" applyBorder="1"/>
    <xf numFmtId="0" fontId="10" fillId="3" borderId="0" xfId="6" applyFont="1" applyFill="1" applyBorder="1"/>
    <xf numFmtId="0" fontId="10" fillId="6" borderId="0" xfId="6" applyFont="1" applyFill="1" applyBorder="1"/>
    <xf numFmtId="0" fontId="9" fillId="0" borderId="0" xfId="6" applyFont="1"/>
    <xf numFmtId="168" fontId="11" fillId="0" borderId="0" xfId="6" applyNumberFormat="1"/>
    <xf numFmtId="0" fontId="8" fillId="0" borderId="0" xfId="6" applyFont="1"/>
    <xf numFmtId="167" fontId="11" fillId="0" borderId="0" xfId="6" applyNumberFormat="1"/>
    <xf numFmtId="166" fontId="11" fillId="0" borderId="0" xfId="6" applyNumberFormat="1"/>
    <xf numFmtId="0" fontId="8" fillId="0" borderId="0" xfId="6" applyFont="1" applyAlignment="1">
      <alignment horizontal="left"/>
    </xf>
    <xf numFmtId="0" fontId="17" fillId="0" borderId="0" xfId="6" applyFont="1" applyFill="1" applyBorder="1"/>
    <xf numFmtId="0" fontId="8" fillId="0" borderId="0" xfId="6" applyFont="1" applyAlignment="1">
      <alignment horizontal="right"/>
    </xf>
    <xf numFmtId="0" fontId="8" fillId="0" borderId="0" xfId="6" applyFont="1" applyAlignment="1">
      <alignment horizontal="center"/>
    </xf>
    <xf numFmtId="10" fontId="0" fillId="0" borderId="0" xfId="8" applyNumberFormat="1" applyFont="1"/>
    <xf numFmtId="169" fontId="11" fillId="0" borderId="0" xfId="6" applyNumberFormat="1"/>
    <xf numFmtId="165" fontId="11" fillId="9" borderId="3" xfId="6" applyNumberFormat="1" applyFill="1" applyBorder="1" applyAlignment="1">
      <alignment horizontal="right"/>
    </xf>
    <xf numFmtId="170" fontId="11" fillId="9" borderId="3" xfId="6" applyNumberFormat="1" applyFill="1" applyBorder="1" applyAlignment="1">
      <alignment horizontal="right"/>
    </xf>
    <xf numFmtId="1" fontId="11" fillId="9" borderId="3" xfId="6" applyNumberFormat="1" applyFill="1" applyBorder="1"/>
    <xf numFmtId="169" fontId="11" fillId="9" borderId="3" xfId="6" applyNumberFormat="1" applyFill="1" applyBorder="1"/>
    <xf numFmtId="170" fontId="0" fillId="9" borderId="3" xfId="7" applyNumberFormat="1" applyFont="1" applyFill="1" applyBorder="1"/>
    <xf numFmtId="169" fontId="0" fillId="9" borderId="3" xfId="9" applyNumberFormat="1" applyFont="1" applyFill="1" applyBorder="1"/>
    <xf numFmtId="169" fontId="0" fillId="0" borderId="0" xfId="9" applyNumberFormat="1" applyFont="1"/>
    <xf numFmtId="10" fontId="0" fillId="9" borderId="3" xfId="8" applyNumberFormat="1" applyFont="1" applyFill="1" applyBorder="1"/>
    <xf numFmtId="1" fontId="11" fillId="0" borderId="0" xfId="6" applyNumberFormat="1"/>
    <xf numFmtId="10" fontId="11" fillId="0" borderId="0" xfId="6" applyNumberFormat="1"/>
    <xf numFmtId="10" fontId="8" fillId="0" borderId="0" xfId="8" applyNumberFormat="1" applyFont="1"/>
    <xf numFmtId="10" fontId="8" fillId="0" borderId="0" xfId="8" applyNumberFormat="1" applyFont="1" applyAlignment="1">
      <alignment horizontal="center"/>
    </xf>
    <xf numFmtId="0" fontId="11" fillId="0" borderId="1" xfId="6" applyBorder="1" applyAlignment="1">
      <alignment horizontal="centerContinuous"/>
    </xf>
    <xf numFmtId="0" fontId="8" fillId="0" borderId="1" xfId="6" applyFont="1" applyBorder="1" applyAlignment="1">
      <alignment horizontal="centerContinuous"/>
    </xf>
    <xf numFmtId="10" fontId="0" fillId="0" borderId="0" xfId="8" applyNumberFormat="1" applyFont="1" applyBorder="1"/>
    <xf numFmtId="0" fontId="6" fillId="0" borderId="0" xfId="6" applyFont="1"/>
    <xf numFmtId="0" fontId="9" fillId="0" borderId="0" xfId="1" applyFont="1"/>
    <xf numFmtId="168" fontId="9" fillId="0" borderId="0" xfId="1" applyNumberFormat="1" applyFont="1"/>
    <xf numFmtId="0" fontId="1" fillId="0" borderId="0" xfId="1" applyFont="1"/>
    <xf numFmtId="0" fontId="8" fillId="0" borderId="0" xfId="1" applyFont="1"/>
    <xf numFmtId="168" fontId="8" fillId="0" borderId="0" xfId="1" applyNumberFormat="1" applyFont="1"/>
    <xf numFmtId="0" fontId="1" fillId="0" borderId="0" xfId="1"/>
    <xf numFmtId="168" fontId="1" fillId="0" borderId="0" xfId="1" applyNumberFormat="1"/>
    <xf numFmtId="0" fontId="6" fillId="0" borderId="0" xfId="1" applyFont="1"/>
    <xf numFmtId="0" fontId="19" fillId="0" borderId="0" xfId="1" applyFont="1"/>
    <xf numFmtId="1" fontId="20" fillId="0" borderId="0" xfId="2" applyNumberFormat="1" applyFont="1"/>
    <xf numFmtId="0" fontId="19" fillId="0" borderId="0" xfId="1" applyFont="1" applyAlignment="1">
      <alignment horizontal="center"/>
    </xf>
    <xf numFmtId="0" fontId="21" fillId="0" borderId="0" xfId="1" applyFont="1"/>
    <xf numFmtId="0" fontId="17" fillId="0" borderId="0" xfId="1" applyFont="1" applyFill="1" applyBorder="1"/>
    <xf numFmtId="0" fontId="1" fillId="0" borderId="0" xfId="1" applyFill="1"/>
    <xf numFmtId="0" fontId="20" fillId="0" borderId="0" xfId="1" applyFont="1"/>
    <xf numFmtId="0" fontId="17" fillId="0" borderId="0" xfId="1" applyFont="1" applyFill="1" applyBorder="1" applyAlignment="1">
      <alignment horizontal="center"/>
    </xf>
    <xf numFmtId="171" fontId="0" fillId="0" borderId="0" xfId="5" applyNumberFormat="1" applyFont="1"/>
    <xf numFmtId="0" fontId="22" fillId="0" borderId="0" xfId="1" applyFont="1"/>
    <xf numFmtId="0" fontId="23" fillId="0" borderId="0" xfId="1" applyFont="1" applyFill="1" applyBorder="1"/>
    <xf numFmtId="0" fontId="23" fillId="0" borderId="0" xfId="1" applyFont="1" applyFill="1"/>
    <xf numFmtId="0" fontId="23" fillId="0" borderId="0" xfId="1" applyFont="1"/>
    <xf numFmtId="10" fontId="1" fillId="0" borderId="0" xfId="5" applyNumberFormat="1" applyFont="1"/>
    <xf numFmtId="2" fontId="1" fillId="9" borderId="3" xfId="1" applyNumberFormat="1" applyFont="1" applyFill="1" applyBorder="1" applyAlignment="1">
      <alignment horizontal="right"/>
    </xf>
    <xf numFmtId="0" fontId="1" fillId="0" borderId="0" xfId="1" applyFont="1" applyFill="1" applyBorder="1"/>
    <xf numFmtId="0" fontId="1" fillId="0" borderId="0" xfId="1" applyFont="1" applyFill="1" applyBorder="1" applyAlignment="1">
      <alignment horizontal="center"/>
    </xf>
    <xf numFmtId="0" fontId="1" fillId="0" borderId="0" xfId="1" applyFont="1" applyBorder="1" applyAlignment="1">
      <alignment horizontal="centerContinuous"/>
    </xf>
    <xf numFmtId="0" fontId="1" fillId="0" borderId="0" xfId="1" applyFont="1" applyFill="1" applyBorder="1" applyAlignment="1">
      <alignment horizontal="centerContinuous"/>
    </xf>
    <xf numFmtId="0" fontId="1" fillId="0" borderId="0" xfId="1" applyFill="1" applyBorder="1"/>
    <xf numFmtId="0" fontId="1" fillId="0" borderId="0" xfId="1" applyBorder="1"/>
    <xf numFmtId="170" fontId="0" fillId="0" borderId="0" xfId="3" applyNumberFormat="1" applyFont="1"/>
    <xf numFmtId="172" fontId="1" fillId="0" borderId="0" xfId="1" applyNumberFormat="1"/>
    <xf numFmtId="170" fontId="24" fillId="0" borderId="0" xfId="1" applyNumberFormat="1" applyFont="1" applyFill="1" applyBorder="1"/>
    <xf numFmtId="0" fontId="23" fillId="0" borderId="0" xfId="1" applyFont="1" applyBorder="1" applyAlignment="1">
      <alignment horizontal="centerContinuous"/>
    </xf>
    <xf numFmtId="0" fontId="23" fillId="0" borderId="0" xfId="1" applyFont="1" applyFill="1" applyBorder="1" applyAlignment="1">
      <alignment horizontal="centerContinuous"/>
    </xf>
    <xf numFmtId="170" fontId="1" fillId="0" borderId="0" xfId="3" applyNumberFormat="1" applyFont="1"/>
    <xf numFmtId="0" fontId="22" fillId="0" borderId="0" xfId="1" applyFont="1" applyBorder="1" applyAlignment="1">
      <alignment horizontal="centerContinuous"/>
    </xf>
    <xf numFmtId="0" fontId="1" fillId="0" borderId="0" xfId="1" applyFill="1" applyBorder="1" applyAlignment="1">
      <alignment horizontal="centerContinuous"/>
    </xf>
    <xf numFmtId="0" fontId="1" fillId="0" borderId="0" xfId="1" applyBorder="1" applyAlignment="1">
      <alignment horizontal="centerContinuous"/>
    </xf>
    <xf numFmtId="0" fontId="1" fillId="8" borderId="0" xfId="6" applyFont="1" applyFill="1" applyBorder="1"/>
    <xf numFmtId="16" fontId="0" fillId="0" borderId="0" xfId="0" applyNumberFormat="1"/>
    <xf numFmtId="16" fontId="11" fillId="0" borderId="0" xfId="6" applyNumberFormat="1"/>
    <xf numFmtId="2" fontId="11" fillId="0" borderId="0" xfId="6" applyNumberFormat="1"/>
    <xf numFmtId="0" fontId="1" fillId="0" borderId="0" xfId="6" applyFont="1"/>
    <xf numFmtId="0" fontId="25" fillId="11" borderId="0" xfId="0" applyFont="1" applyFill="1" applyAlignment="1">
      <alignment horizontal="center" vertical="center" wrapText="1"/>
    </xf>
    <xf numFmtId="0" fontId="25" fillId="11" borderId="0" xfId="0" applyFont="1" applyFill="1" applyAlignment="1">
      <alignment horizontal="right" vertical="center" wrapText="1"/>
    </xf>
    <xf numFmtId="3" fontId="25" fillId="11" borderId="0" xfId="0" applyNumberFormat="1" applyFont="1" applyFill="1" applyAlignment="1">
      <alignment horizontal="right" vertical="center" wrapText="1"/>
    </xf>
    <xf numFmtId="0" fontId="25" fillId="10" borderId="0" xfId="0" applyFont="1" applyFill="1" applyAlignment="1">
      <alignment horizontal="center" vertical="center" wrapText="1"/>
    </xf>
    <xf numFmtId="0" fontId="25" fillId="10" borderId="0" xfId="0" applyFont="1" applyFill="1" applyAlignment="1">
      <alignment horizontal="right" vertical="center" wrapText="1"/>
    </xf>
    <xf numFmtId="3" fontId="25" fillId="10" borderId="0" xfId="0" applyNumberFormat="1" applyFont="1" applyFill="1" applyAlignment="1">
      <alignment horizontal="right" vertical="center" wrapText="1"/>
    </xf>
    <xf numFmtId="166" fontId="26" fillId="0" borderId="0" xfId="1" applyNumberFormat="1" applyFont="1"/>
    <xf numFmtId="0" fontId="27" fillId="0" borderId="0" xfId="1" applyFont="1"/>
    <xf numFmtId="168" fontId="1" fillId="9" borderId="3" xfId="1" applyNumberFormat="1" applyFont="1" applyFill="1" applyBorder="1" applyAlignment="1">
      <alignment horizontal="right"/>
    </xf>
    <xf numFmtId="168" fontId="1" fillId="9" borderId="0" xfId="1" applyNumberFormat="1" applyFont="1" applyFill="1" applyBorder="1" applyAlignment="1">
      <alignment horizontal="right"/>
    </xf>
    <xf numFmtId="0" fontId="28" fillId="0" borderId="0" xfId="1" applyFont="1"/>
    <xf numFmtId="2" fontId="1" fillId="9" borderId="0" xfId="1" applyNumberFormat="1" applyFont="1" applyFill="1" applyBorder="1" applyAlignment="1">
      <alignment horizontal="right"/>
    </xf>
    <xf numFmtId="173" fontId="1" fillId="0" borderId="0" xfId="5" applyNumberFormat="1" applyFont="1"/>
    <xf numFmtId="173" fontId="1" fillId="9" borderId="3" xfId="1" applyNumberFormat="1" applyFont="1" applyFill="1" applyBorder="1" applyAlignment="1">
      <alignment horizontal="right"/>
    </xf>
    <xf numFmtId="173" fontId="1" fillId="0" borderId="0" xfId="3" applyNumberFormat="1" applyFont="1"/>
    <xf numFmtId="0" fontId="1" fillId="0" borderId="0" xfId="1" applyFont="1" applyBorder="1" applyAlignment="1">
      <alignment horizontal="left"/>
    </xf>
    <xf numFmtId="0" fontId="1" fillId="0" borderId="0" xfId="1" applyFont="1" applyBorder="1" applyAlignment="1"/>
    <xf numFmtId="0" fontId="1" fillId="0" borderId="0" xfId="1" applyBorder="1" applyAlignment="1">
      <alignment horizontal="left"/>
    </xf>
    <xf numFmtId="43" fontId="0" fillId="0" borderId="0" xfId="9" applyNumberFormat="1" applyFont="1"/>
    <xf numFmtId="43" fontId="0" fillId="9" borderId="3" xfId="9" applyNumberFormat="1" applyFont="1" applyFill="1" applyBorder="1"/>
    <xf numFmtId="0" fontId="1" fillId="0" borderId="0" xfId="6" applyNumberFormat="1" applyFont="1"/>
    <xf numFmtId="0" fontId="1" fillId="0" borderId="0" xfId="6" applyFont="1" applyAlignment="1">
      <alignment horizontal="right"/>
    </xf>
    <xf numFmtId="2" fontId="1" fillId="0" borderId="0" xfId="1" applyNumberFormat="1"/>
    <xf numFmtId="174" fontId="0" fillId="9" borderId="3" xfId="7" applyNumberFormat="1" applyFont="1" applyFill="1" applyBorder="1"/>
    <xf numFmtId="174" fontId="1" fillId="0" borderId="0" xfId="6" applyNumberFormat="1" applyFont="1" applyAlignment="1">
      <alignment horizontal="right"/>
    </xf>
    <xf numFmtId="174" fontId="11" fillId="9" borderId="3" xfId="6" applyNumberFormat="1" applyFill="1" applyBorder="1" applyAlignment="1">
      <alignment horizontal="right"/>
    </xf>
  </cellXfs>
  <cellStyles count="11">
    <cellStyle name="Comma 2" xfId="2"/>
    <cellStyle name="Comma 3" xfId="9"/>
    <cellStyle name="Comma 4" xfId="10"/>
    <cellStyle name="Currency 2" xfId="3"/>
    <cellStyle name="Currency 3" xfId="7"/>
    <cellStyle name="Fixed" xfId="4"/>
    <cellStyle name="Normal" xfId="0" builtinId="0"/>
    <cellStyle name="Normal 2" xfId="1"/>
    <cellStyle name="Normal 3" xfId="6"/>
    <cellStyle name="Percent 2" xfId="5"/>
    <cellStyle name="Percent 3"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2]Parameters!$B$3" lockText="1" noThreeD="1"/>
</file>

<file path=xl/ctrlProps/ctrlProp3.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0</xdr:col>
      <xdr:colOff>0</xdr:colOff>
      <xdr:row>19</xdr:row>
      <xdr:rowOff>57149</xdr:rowOff>
    </xdr:from>
    <xdr:to>
      <xdr:col>14</xdr:col>
      <xdr:colOff>442050</xdr:colOff>
      <xdr:row>39</xdr:row>
      <xdr:rowOff>93832</xdr:rowOff>
    </xdr:to>
    <xdr:grpSp>
      <xdr:nvGrpSpPr>
        <xdr:cNvPr id="132" name="Group 131"/>
        <xdr:cNvGrpSpPr/>
      </xdr:nvGrpSpPr>
      <xdr:grpSpPr>
        <a:xfrm>
          <a:off x="0" y="3686174"/>
          <a:ext cx="8976450" cy="3846683"/>
          <a:chOff x="845975" y="386145"/>
          <a:chExt cx="10447402" cy="5564642"/>
        </a:xfrm>
      </xdr:grpSpPr>
      <xdr:sp macro="" textlink="">
        <xdr:nvSpPr>
          <xdr:cNvPr id="133" name="Oval 132"/>
          <xdr:cNvSpPr/>
        </xdr:nvSpPr>
        <xdr:spPr>
          <a:xfrm>
            <a:off x="723770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Asthma-Related mortality </a:t>
            </a:r>
          </a:p>
        </xdr:txBody>
      </xdr:sp>
      <xdr:sp macro="" textlink="">
        <xdr:nvSpPr>
          <xdr:cNvPr id="134" name="Oval 133"/>
          <xdr:cNvSpPr/>
        </xdr:nvSpPr>
        <xdr:spPr>
          <a:xfrm>
            <a:off x="4470052" y="4715112"/>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Other-Cause mortality </a:t>
            </a:r>
          </a:p>
        </xdr:txBody>
      </xdr:sp>
      <xdr:grpSp>
        <xdr:nvGrpSpPr>
          <xdr:cNvPr id="135" name="Group 134"/>
          <xdr:cNvGrpSpPr/>
        </xdr:nvGrpSpPr>
        <xdr:grpSpPr>
          <a:xfrm rot="10800000">
            <a:off x="1480037" y="2758353"/>
            <a:ext cx="800794" cy="575169"/>
            <a:chOff x="5468432" y="5743907"/>
            <a:chExt cx="800794" cy="738966"/>
          </a:xfrm>
        </xdr:grpSpPr>
        <xdr:sp macro="" textlink="">
          <xdr:nvSpPr>
            <xdr:cNvPr id="173" name="Oval 172"/>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74" name="Straight Arrow Connector 173"/>
            <xdr:cNvCxnSpPr/>
          </xdr:nvCxnSpPr>
          <xdr:spPr>
            <a:xfrm rot="10800000" flipH="1">
              <a:off x="5577688" y="5764171"/>
              <a:ext cx="74645" cy="1026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5" name="Rectangle 174"/>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36" name="Oval 135"/>
          <xdr:cNvSpPr/>
        </xdr:nvSpPr>
        <xdr:spPr>
          <a:xfrm>
            <a:off x="845975" y="3290620"/>
            <a:ext cx="2051222" cy="1235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Controlled or Uncontrolled NES</a:t>
            </a:r>
          </a:p>
        </xdr:txBody>
      </xdr:sp>
      <xdr:cxnSp macro="">
        <xdr:nvCxnSpPr>
          <xdr:cNvPr id="137" name="Straight Arrow Connector 136"/>
          <xdr:cNvCxnSpPr>
            <a:stCxn id="136" idx="7"/>
            <a:endCxn id="145" idx="3"/>
          </xdr:cNvCxnSpPr>
        </xdr:nvCxnSpPr>
        <xdr:spPr>
          <a:xfrm flipV="1">
            <a:off x="2596802" y="1680133"/>
            <a:ext cx="785600" cy="17914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8" name="Straight Arrow Connector 137"/>
          <xdr:cNvCxnSpPr>
            <a:stCxn id="136" idx="7"/>
            <a:endCxn id="146" idx="3"/>
          </xdr:cNvCxnSpPr>
        </xdr:nvCxnSpPr>
        <xdr:spPr>
          <a:xfrm flipV="1">
            <a:off x="2596802" y="1680133"/>
            <a:ext cx="3835458" cy="17914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9" name="Straight Arrow Connector 138"/>
          <xdr:cNvCxnSpPr>
            <a:stCxn id="136" idx="7"/>
            <a:endCxn id="147" idx="3"/>
          </xdr:cNvCxnSpPr>
        </xdr:nvCxnSpPr>
        <xdr:spPr>
          <a:xfrm flipV="1">
            <a:off x="2596802" y="1687396"/>
            <a:ext cx="6985667" cy="17841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0" name="Straight Arrow Connector 139"/>
          <xdr:cNvCxnSpPr>
            <a:stCxn id="145" idx="4"/>
            <a:endCxn id="134" idx="0"/>
          </xdr:cNvCxnSpPr>
        </xdr:nvCxnSpPr>
        <xdr:spPr>
          <a:xfrm>
            <a:off x="4046231" y="1840320"/>
            <a:ext cx="1449432"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1" name="Straight Arrow Connector 140"/>
          <xdr:cNvCxnSpPr>
            <a:stCxn id="146" idx="4"/>
            <a:endCxn id="134" idx="0"/>
          </xdr:cNvCxnSpPr>
        </xdr:nvCxnSpPr>
        <xdr:spPr>
          <a:xfrm flipH="1">
            <a:off x="5495663" y="1840320"/>
            <a:ext cx="1617903" cy="28747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2" name="Straight Arrow Connector 141"/>
          <xdr:cNvCxnSpPr>
            <a:stCxn id="147" idx="4"/>
            <a:endCxn id="134" idx="0"/>
          </xdr:cNvCxnSpPr>
        </xdr:nvCxnSpPr>
        <xdr:spPr>
          <a:xfrm flipH="1">
            <a:off x="5495663" y="1841855"/>
            <a:ext cx="4795487" cy="28732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3" name="Straight Arrow Connector 142"/>
          <xdr:cNvCxnSpPr>
            <a:stCxn id="147" idx="4"/>
            <a:endCxn id="133" idx="0"/>
          </xdr:cNvCxnSpPr>
        </xdr:nvCxnSpPr>
        <xdr:spPr>
          <a:xfrm flipH="1">
            <a:off x="8263313" y="1841855"/>
            <a:ext cx="2027837" cy="28732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4" name="Straight Arrow Connector 143"/>
          <xdr:cNvCxnSpPr>
            <a:stCxn id="136" idx="5"/>
            <a:endCxn id="134" idx="0"/>
          </xdr:cNvCxnSpPr>
        </xdr:nvCxnSpPr>
        <xdr:spPr>
          <a:xfrm>
            <a:off x="2596802" y="4345334"/>
            <a:ext cx="2898861" cy="3697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5" name="Oval 144"/>
          <xdr:cNvSpPr/>
        </xdr:nvSpPr>
        <xdr:spPr>
          <a:xfrm>
            <a:off x="3107437" y="746497"/>
            <a:ext cx="1877589"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Oral Steroid Burst Exacerbation</a:t>
            </a:r>
          </a:p>
        </xdr:txBody>
      </xdr:sp>
      <xdr:sp macro="" textlink="">
        <xdr:nvSpPr>
          <xdr:cNvPr id="146" name="Oval 145"/>
          <xdr:cNvSpPr/>
        </xdr:nvSpPr>
        <xdr:spPr>
          <a:xfrm>
            <a:off x="6150054" y="746497"/>
            <a:ext cx="1927025" cy="10938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Emergency Room Exacerbation</a:t>
            </a:r>
          </a:p>
        </xdr:txBody>
      </xdr:sp>
      <xdr:sp macro="" textlink="">
        <xdr:nvSpPr>
          <xdr:cNvPr id="147" name="Oval 146"/>
          <xdr:cNvSpPr/>
        </xdr:nvSpPr>
        <xdr:spPr>
          <a:xfrm>
            <a:off x="9288924" y="787140"/>
            <a:ext cx="2004453" cy="105471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a:solidFill>
                  <a:schemeClr val="tx1"/>
                </a:solidFill>
              </a:rPr>
              <a:t>Hospitalization Exacerbation</a:t>
            </a:r>
          </a:p>
        </xdr:txBody>
      </xdr:sp>
      <xdr:cxnSp macro="">
        <xdr:nvCxnSpPr>
          <xdr:cNvPr id="148" name="Straight Arrow Connector 147"/>
          <xdr:cNvCxnSpPr>
            <a:stCxn id="145" idx="3"/>
            <a:endCxn id="136" idx="7"/>
          </xdr:cNvCxnSpPr>
        </xdr:nvCxnSpPr>
        <xdr:spPr>
          <a:xfrm flipH="1">
            <a:off x="2596802" y="1680133"/>
            <a:ext cx="785600" cy="179144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9" name="Straight Arrow Connector 148"/>
          <xdr:cNvCxnSpPr>
            <a:stCxn id="146" idx="3"/>
            <a:endCxn id="136" idx="7"/>
          </xdr:cNvCxnSpPr>
        </xdr:nvCxnSpPr>
        <xdr:spPr>
          <a:xfrm flipH="1">
            <a:off x="2596802" y="1680133"/>
            <a:ext cx="3835458" cy="179144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0" name="Straight Arrow Connector 149"/>
          <xdr:cNvCxnSpPr>
            <a:stCxn id="147" idx="3"/>
            <a:endCxn id="136" idx="7"/>
          </xdr:cNvCxnSpPr>
        </xdr:nvCxnSpPr>
        <xdr:spPr>
          <a:xfrm flipH="1">
            <a:off x="2596802" y="1687396"/>
            <a:ext cx="6985667" cy="178418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1" name="Text 42"/>
          <xdr:cNvSpPr txBox="1">
            <a:spLocks noChangeArrowheads="1"/>
          </xdr:cNvSpPr>
        </xdr:nvSpPr>
        <xdr:spPr bwMode="auto">
          <a:xfrm>
            <a:off x="3614938" y="4584104"/>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mr[age]</a:t>
            </a:r>
          </a:p>
        </xdr:txBody>
      </xdr:sp>
      <xdr:sp macro="" textlink="">
        <xdr:nvSpPr>
          <xdr:cNvPr id="152" name="Text 42"/>
          <xdr:cNvSpPr txBox="1">
            <a:spLocks noChangeArrowheads="1"/>
          </xdr:cNvSpPr>
        </xdr:nvSpPr>
        <xdr:spPr bwMode="auto">
          <a:xfrm>
            <a:off x="9093366" y="3631915"/>
            <a:ext cx="892984" cy="15301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amr + amr</a:t>
            </a:r>
            <a:r>
              <a:rPr lang="en-US" sz="600" b="0" i="0" u="none" strike="noStrike" baseline="0">
                <a:solidFill>
                  <a:srgbClr val="3333CC"/>
                </a:solidFill>
                <a:latin typeface="Arial"/>
                <a:cs typeface="Arial"/>
              </a:rPr>
              <a:t>Hosp</a:t>
            </a:r>
          </a:p>
        </xdr:txBody>
      </xdr:sp>
      <xdr:sp macro="" textlink="">
        <xdr:nvSpPr>
          <xdr:cNvPr id="153" name="Text 42"/>
          <xdr:cNvSpPr txBox="1">
            <a:spLocks noChangeArrowheads="1"/>
          </xdr:cNvSpPr>
        </xdr:nvSpPr>
        <xdr:spPr bwMode="auto">
          <a:xfrm>
            <a:off x="2670431" y="1820532"/>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rrOSEX</a:t>
            </a:r>
            <a:endParaRPr lang="en-US" sz="600" b="0" i="0" u="none" strike="noStrike" baseline="0">
              <a:solidFill>
                <a:srgbClr val="3333CC"/>
              </a:solidFill>
              <a:latin typeface="Arial"/>
              <a:cs typeface="Arial"/>
            </a:endParaRPr>
          </a:p>
        </xdr:txBody>
      </xdr:sp>
      <xdr:sp macro="" textlink="">
        <xdr:nvSpPr>
          <xdr:cNvPr id="154" name="Text 42"/>
          <xdr:cNvSpPr txBox="1">
            <a:spLocks noChangeArrowheads="1"/>
          </xdr:cNvSpPr>
        </xdr:nvSpPr>
        <xdr:spPr bwMode="auto">
          <a:xfrm>
            <a:off x="5666015" y="2084249"/>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rrEREX</a:t>
            </a:r>
            <a:endParaRPr lang="en-US" sz="600" b="0" i="0" u="none" strike="noStrike" baseline="0">
              <a:solidFill>
                <a:srgbClr val="3333CC"/>
              </a:solidFill>
              <a:latin typeface="Arial"/>
              <a:cs typeface="Arial"/>
            </a:endParaRPr>
          </a:p>
        </xdr:txBody>
      </xdr:sp>
      <xdr:sp macro="" textlink="">
        <xdr:nvSpPr>
          <xdr:cNvPr id="155" name="Text 42"/>
          <xdr:cNvSpPr txBox="1">
            <a:spLocks noChangeArrowheads="1"/>
          </xdr:cNvSpPr>
        </xdr:nvSpPr>
        <xdr:spPr bwMode="auto">
          <a:xfrm>
            <a:off x="8347774" y="1680133"/>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rrHOEX</a:t>
            </a:r>
            <a:endParaRPr lang="en-US" sz="600" b="0" i="0" u="none" strike="noStrike" baseline="0">
              <a:solidFill>
                <a:srgbClr val="3333CC"/>
              </a:solidFill>
              <a:latin typeface="Arial"/>
              <a:cs typeface="Arial"/>
            </a:endParaRPr>
          </a:p>
        </xdr:txBody>
      </xdr:sp>
      <xdr:sp macro="" textlink="">
        <xdr:nvSpPr>
          <xdr:cNvPr id="156" name="Text 42"/>
          <xdr:cNvSpPr txBox="1">
            <a:spLocks noChangeArrowheads="1"/>
          </xdr:cNvSpPr>
        </xdr:nvSpPr>
        <xdr:spPr bwMode="auto">
          <a:xfrm>
            <a:off x="3199002" y="2181925"/>
            <a:ext cx="564506" cy="2187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1-mr[age]</a:t>
            </a:r>
            <a:endParaRPr lang="en-US" sz="600" b="0" i="0" u="none" strike="noStrike" baseline="0">
              <a:solidFill>
                <a:srgbClr val="FF0000"/>
              </a:solidFill>
              <a:latin typeface="Arial"/>
              <a:cs typeface="Arial"/>
            </a:endParaRPr>
          </a:p>
        </xdr:txBody>
      </xdr:sp>
      <xdr:sp macro="" textlink="">
        <xdr:nvSpPr>
          <xdr:cNvPr id="157" name="Text 42"/>
          <xdr:cNvSpPr txBox="1">
            <a:spLocks noChangeArrowheads="1"/>
          </xdr:cNvSpPr>
        </xdr:nvSpPr>
        <xdr:spPr bwMode="auto">
          <a:xfrm>
            <a:off x="885893" y="2331831"/>
            <a:ext cx="1866845" cy="25894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1- (mr[age]+rrOSEX+rrEREX+rrHOEX+amr)</a:t>
            </a:r>
          </a:p>
        </xdr:txBody>
      </xdr:sp>
      <xdr:sp macro="" textlink="">
        <xdr:nvSpPr>
          <xdr:cNvPr id="158" name="Text 51"/>
          <xdr:cNvSpPr txBox="1">
            <a:spLocks noChangeArrowheads="1"/>
          </xdr:cNvSpPr>
        </xdr:nvSpPr>
        <xdr:spPr bwMode="auto">
          <a:xfrm>
            <a:off x="1573186" y="4609938"/>
            <a:ext cx="680690" cy="24058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cNES</a:t>
            </a:r>
          </a:p>
        </xdr:txBody>
      </xdr:sp>
      <xdr:sp macro="" textlink="">
        <xdr:nvSpPr>
          <xdr:cNvPr id="159" name="Text 51"/>
          <xdr:cNvSpPr txBox="1">
            <a:spLocks noChangeArrowheads="1"/>
          </xdr:cNvSpPr>
        </xdr:nvSpPr>
        <xdr:spPr bwMode="auto">
          <a:xfrm>
            <a:off x="3829823"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cOSEX</a:t>
            </a:r>
          </a:p>
        </xdr:txBody>
      </xdr:sp>
      <xdr:sp macro="" textlink="">
        <xdr:nvSpPr>
          <xdr:cNvPr id="160" name="Text 51"/>
          <xdr:cNvSpPr txBox="1">
            <a:spLocks noChangeArrowheads="1"/>
          </xdr:cNvSpPr>
        </xdr:nvSpPr>
        <xdr:spPr bwMode="auto">
          <a:xfrm>
            <a:off x="6808766"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cEREX</a:t>
            </a:r>
          </a:p>
        </xdr:txBody>
      </xdr:sp>
      <xdr:sp macro="" textlink="">
        <xdr:nvSpPr>
          <xdr:cNvPr id="161" name="Text 51"/>
          <xdr:cNvSpPr txBox="1">
            <a:spLocks noChangeArrowheads="1"/>
          </xdr:cNvSpPr>
        </xdr:nvSpPr>
        <xdr:spPr bwMode="auto">
          <a:xfrm>
            <a:off x="9986350" y="5284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b="0" i="0" u="none" strike="noStrike" baseline="0">
                <a:solidFill>
                  <a:schemeClr val="accent2"/>
                </a:solidFill>
                <a:latin typeface="Arial"/>
                <a:cs typeface="Arial"/>
              </a:rPr>
              <a:t>cHOEX</a:t>
            </a:r>
          </a:p>
        </xdr:txBody>
      </xdr:sp>
      <xdr:sp macro="" textlink="">
        <xdr:nvSpPr>
          <xdr:cNvPr id="162" name="Text 51"/>
          <xdr:cNvSpPr txBox="1">
            <a:spLocks noChangeArrowheads="1"/>
          </xdr:cNvSpPr>
        </xdr:nvSpPr>
        <xdr:spPr bwMode="auto">
          <a:xfrm>
            <a:off x="1573186" y="4769784"/>
            <a:ext cx="636347" cy="25986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a:t>
            </a:r>
            <a:r>
              <a:rPr lang="en-US" sz="800" b="0" i="0" u="none" strike="noStrike" baseline="0">
                <a:solidFill>
                  <a:schemeClr val="accent6"/>
                </a:solidFill>
                <a:latin typeface="Arial"/>
                <a:cs typeface="Arial"/>
              </a:rPr>
              <a:t>NES</a:t>
            </a:r>
          </a:p>
        </xdr:txBody>
      </xdr:sp>
      <xdr:sp macro="" textlink="">
        <xdr:nvSpPr>
          <xdr:cNvPr id="163" name="Text 51"/>
          <xdr:cNvSpPr txBox="1">
            <a:spLocks noChangeArrowheads="1"/>
          </xdr:cNvSpPr>
        </xdr:nvSpPr>
        <xdr:spPr bwMode="auto">
          <a:xfrm>
            <a:off x="3829823"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uOS</a:t>
            </a:r>
            <a:r>
              <a:rPr lang="en-US" sz="800" b="0" i="0" u="none" strike="noStrike" baseline="0">
                <a:solidFill>
                  <a:schemeClr val="accent6"/>
                </a:solidFill>
                <a:latin typeface="Arial"/>
                <a:cs typeface="Arial"/>
              </a:rPr>
              <a:t>EX</a:t>
            </a:r>
          </a:p>
        </xdr:txBody>
      </xdr:sp>
      <xdr:sp macro="" textlink="">
        <xdr:nvSpPr>
          <xdr:cNvPr id="164" name="Text 51"/>
          <xdr:cNvSpPr txBox="1">
            <a:spLocks noChangeArrowheads="1"/>
          </xdr:cNvSpPr>
        </xdr:nvSpPr>
        <xdr:spPr bwMode="auto">
          <a:xfrm>
            <a:off x="6808766"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uER</a:t>
            </a:r>
            <a:r>
              <a:rPr lang="en-US" sz="800" b="0" i="0" u="none" strike="noStrike" baseline="0">
                <a:solidFill>
                  <a:schemeClr val="accent6"/>
                </a:solidFill>
                <a:latin typeface="Arial"/>
                <a:cs typeface="Arial"/>
              </a:rPr>
              <a:t>EX</a:t>
            </a:r>
          </a:p>
        </xdr:txBody>
      </xdr:sp>
      <xdr:sp macro="" textlink="">
        <xdr:nvSpPr>
          <xdr:cNvPr id="165" name="Text 51"/>
          <xdr:cNvSpPr txBox="1">
            <a:spLocks noChangeArrowheads="1"/>
          </xdr:cNvSpPr>
        </xdr:nvSpPr>
        <xdr:spPr bwMode="auto">
          <a:xfrm>
            <a:off x="9986350" y="386145"/>
            <a:ext cx="609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0"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sz="800">
                <a:solidFill>
                  <a:schemeClr val="accent6"/>
                </a:solidFill>
                <a:latin typeface="Arial"/>
                <a:cs typeface="Arial"/>
              </a:rPr>
              <a:t>uHO</a:t>
            </a:r>
            <a:r>
              <a:rPr lang="en-US" sz="800" b="0" i="0" u="none" strike="noStrike" baseline="0">
                <a:solidFill>
                  <a:schemeClr val="accent6"/>
                </a:solidFill>
                <a:latin typeface="Arial"/>
                <a:cs typeface="Arial"/>
              </a:rPr>
              <a:t>EX</a:t>
            </a:r>
          </a:p>
        </xdr:txBody>
      </xdr:sp>
      <xdr:sp macro="" textlink="">
        <xdr:nvSpPr>
          <xdr:cNvPr id="166" name="Text 42"/>
          <xdr:cNvSpPr txBox="1">
            <a:spLocks noChangeArrowheads="1"/>
          </xdr:cNvSpPr>
        </xdr:nvSpPr>
        <xdr:spPr bwMode="auto">
          <a:xfrm>
            <a:off x="4353463" y="3632533"/>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mr[age]</a:t>
            </a:r>
          </a:p>
        </xdr:txBody>
      </xdr:sp>
      <xdr:sp macro="" textlink="">
        <xdr:nvSpPr>
          <xdr:cNvPr id="167" name="Text 42"/>
          <xdr:cNvSpPr txBox="1">
            <a:spLocks noChangeArrowheads="1"/>
          </xdr:cNvSpPr>
        </xdr:nvSpPr>
        <xdr:spPr bwMode="auto">
          <a:xfrm>
            <a:off x="5639806" y="3177548"/>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mr[age]</a:t>
            </a:r>
          </a:p>
        </xdr:txBody>
      </xdr:sp>
      <xdr:sp macro="" textlink="">
        <xdr:nvSpPr>
          <xdr:cNvPr id="168" name="Text 42"/>
          <xdr:cNvSpPr txBox="1">
            <a:spLocks noChangeArrowheads="1"/>
          </xdr:cNvSpPr>
        </xdr:nvSpPr>
        <xdr:spPr bwMode="auto">
          <a:xfrm>
            <a:off x="6970980" y="3329948"/>
            <a:ext cx="51968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b="0" i="0" u="none" strike="noStrike" baseline="0">
                <a:solidFill>
                  <a:srgbClr val="3333CC"/>
                </a:solidFill>
                <a:latin typeface="Arial"/>
                <a:cs typeface="Arial"/>
              </a:rPr>
              <a:t>mr[age]</a:t>
            </a:r>
          </a:p>
        </xdr:txBody>
      </xdr:sp>
      <xdr:sp macro="" textlink="">
        <xdr:nvSpPr>
          <xdr:cNvPr id="169" name="Text 42"/>
          <xdr:cNvSpPr txBox="1">
            <a:spLocks noChangeArrowheads="1"/>
          </xdr:cNvSpPr>
        </xdr:nvSpPr>
        <xdr:spPr bwMode="auto">
          <a:xfrm>
            <a:off x="5223777" y="1730921"/>
            <a:ext cx="564506" cy="21879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1-mr[age]</a:t>
            </a:r>
            <a:endParaRPr lang="en-US" sz="600" b="0" i="0" u="none" strike="noStrike" baseline="0">
              <a:solidFill>
                <a:srgbClr val="FF0000"/>
              </a:solidFill>
              <a:latin typeface="Arial"/>
              <a:cs typeface="Arial"/>
            </a:endParaRPr>
          </a:p>
        </xdr:txBody>
      </xdr:sp>
      <xdr:sp macro="" textlink="">
        <xdr:nvSpPr>
          <xdr:cNvPr id="170" name="Text 42"/>
          <xdr:cNvSpPr txBox="1">
            <a:spLocks noChangeArrowheads="1"/>
          </xdr:cNvSpPr>
        </xdr:nvSpPr>
        <xdr:spPr bwMode="auto">
          <a:xfrm>
            <a:off x="8183086" y="2050613"/>
            <a:ext cx="1105837" cy="4571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FF0000"/>
                </a:solidFill>
                <a:latin typeface="Arial"/>
                <a:cs typeface="Arial"/>
              </a:rPr>
              <a:t>1-mr[age]-(amr+amrHosp)</a:t>
            </a:r>
            <a:endParaRPr lang="en-US" sz="600" b="0" i="0" u="none" strike="noStrike" baseline="0">
              <a:solidFill>
                <a:srgbClr val="FF0000"/>
              </a:solidFill>
              <a:latin typeface="Arial"/>
              <a:cs typeface="Arial"/>
            </a:endParaRPr>
          </a:p>
        </xdr:txBody>
      </xdr:sp>
      <xdr:cxnSp macro="">
        <xdr:nvCxnSpPr>
          <xdr:cNvPr id="171" name="Straight Arrow Connector 170"/>
          <xdr:cNvCxnSpPr>
            <a:stCxn id="136" idx="5"/>
            <a:endCxn id="133" idx="1"/>
          </xdr:cNvCxnSpPr>
        </xdr:nvCxnSpPr>
        <xdr:spPr>
          <a:xfrm>
            <a:off x="2596802" y="4345334"/>
            <a:ext cx="4941294" cy="550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2" name="Text 42"/>
          <xdr:cNvSpPr txBox="1">
            <a:spLocks noChangeArrowheads="1"/>
          </xdr:cNvSpPr>
        </xdr:nvSpPr>
        <xdr:spPr bwMode="auto">
          <a:xfrm>
            <a:off x="6644698" y="4526295"/>
            <a:ext cx="489103" cy="146982"/>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square" lIns="27432" tIns="22860" rIns="27432" bIns="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n-US" sz="600">
                <a:solidFill>
                  <a:srgbClr val="3333CC"/>
                </a:solidFill>
                <a:latin typeface="Arial"/>
                <a:cs typeface="Arial"/>
              </a:rPr>
              <a:t>amr</a:t>
            </a:r>
            <a:endParaRPr lang="en-US" sz="600" b="0" i="0" u="none" strike="noStrike" baseline="0">
              <a:solidFill>
                <a:srgbClr val="3333CC"/>
              </a:solidFill>
              <a:latin typeface="Arial"/>
              <a:cs typeface="Arial"/>
            </a:endParaRPr>
          </a:p>
        </xdr:txBody>
      </xdr:sp>
    </xdr:grpSp>
    <xdr:clientData/>
  </xdr:twoCellAnchor>
  <xdr:twoCellAnchor>
    <xdr:from>
      <xdr:col>0</xdr:col>
      <xdr:colOff>0</xdr:colOff>
      <xdr:row>4</xdr:row>
      <xdr:rowOff>9526</xdr:rowOff>
    </xdr:from>
    <xdr:to>
      <xdr:col>11</xdr:col>
      <xdr:colOff>563699</xdr:colOff>
      <xdr:row>14</xdr:row>
      <xdr:rowOff>5302</xdr:rowOff>
    </xdr:to>
    <xdr:grpSp>
      <xdr:nvGrpSpPr>
        <xdr:cNvPr id="59" name="Group 58"/>
        <xdr:cNvGrpSpPr/>
      </xdr:nvGrpSpPr>
      <xdr:grpSpPr>
        <a:xfrm>
          <a:off x="0" y="781051"/>
          <a:ext cx="7269299" cy="1900776"/>
          <a:chOff x="95323" y="1835071"/>
          <a:chExt cx="11737966" cy="2635909"/>
        </a:xfrm>
      </xdr:grpSpPr>
      <xdr:grpSp>
        <xdr:nvGrpSpPr>
          <xdr:cNvPr id="60" name="Group 59"/>
          <xdr:cNvGrpSpPr/>
        </xdr:nvGrpSpPr>
        <xdr:grpSpPr>
          <a:xfrm rot="10800000">
            <a:off x="4277397" y="3078260"/>
            <a:ext cx="637819" cy="414438"/>
            <a:chOff x="5468432" y="5743907"/>
            <a:chExt cx="800794" cy="738966"/>
          </a:xfrm>
        </xdr:grpSpPr>
        <xdr:sp macro="" textlink="">
          <xdr:nvSpPr>
            <xdr:cNvPr id="85" name="Oval 84"/>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cxnSp macro="">
          <xdr:nvCxnSpPr>
            <xdr:cNvPr id="86" name="Straight Arrow Connector 85"/>
            <xdr:cNvCxnSpPr/>
          </xdr:nvCxnSpPr>
          <xdr:spPr>
            <a:xfrm rot="10800000" flipH="1">
              <a:off x="5577689" y="5764170"/>
              <a:ext cx="74644" cy="102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 name="Rectangle 86"/>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grpSp>
      <xdr:grpSp>
        <xdr:nvGrpSpPr>
          <xdr:cNvPr id="61" name="Group 60"/>
          <xdr:cNvGrpSpPr/>
        </xdr:nvGrpSpPr>
        <xdr:grpSpPr>
          <a:xfrm rot="10800000">
            <a:off x="781895" y="3089625"/>
            <a:ext cx="637819" cy="414438"/>
            <a:chOff x="5468432" y="5743907"/>
            <a:chExt cx="800794" cy="738966"/>
          </a:xfrm>
        </xdr:grpSpPr>
        <xdr:sp macro="" textlink="">
          <xdr:nvSpPr>
            <xdr:cNvPr id="82" name="Oval 81"/>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cxnSp macro="">
          <xdr:nvCxnSpPr>
            <xdr:cNvPr id="83" name="Straight Arrow Connector 82"/>
            <xdr:cNvCxnSpPr/>
          </xdr:nvCxnSpPr>
          <xdr:spPr>
            <a:xfrm rot="10800000" flipH="1">
              <a:off x="5577689" y="5764170"/>
              <a:ext cx="74644" cy="102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Rectangle 83"/>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grpSp>
      <xdr:sp macro="" textlink="">
        <xdr:nvSpPr>
          <xdr:cNvPr id="62" name="Oval 61"/>
          <xdr:cNvSpPr/>
        </xdr:nvSpPr>
        <xdr:spPr>
          <a:xfrm>
            <a:off x="3590123" y="3474113"/>
            <a:ext cx="2012366" cy="996867"/>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Controlled</a:t>
            </a:r>
          </a:p>
        </xdr:txBody>
      </xdr:sp>
      <xdr:sp macro="" textlink="">
        <xdr:nvSpPr>
          <xdr:cNvPr id="63" name="Oval 62"/>
          <xdr:cNvSpPr/>
        </xdr:nvSpPr>
        <xdr:spPr>
          <a:xfrm>
            <a:off x="95323" y="3492698"/>
            <a:ext cx="1982515" cy="95969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Uncontrolled</a:t>
            </a:r>
          </a:p>
        </xdr:txBody>
      </xdr:sp>
      <xdr:sp macro="" textlink="">
        <xdr:nvSpPr>
          <xdr:cNvPr id="64" name="Rectangle 63"/>
          <xdr:cNvSpPr/>
        </xdr:nvSpPr>
        <xdr:spPr>
          <a:xfrm>
            <a:off x="2302197" y="1835071"/>
            <a:ext cx="1128584" cy="9631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PH + UC</a:t>
            </a:r>
          </a:p>
        </xdr:txBody>
      </xdr:sp>
      <xdr:cxnSp macro="">
        <xdr:nvCxnSpPr>
          <xdr:cNvPr id="65" name="Straight Arrow Connector 64"/>
          <xdr:cNvCxnSpPr>
            <a:stCxn id="64" idx="2"/>
            <a:endCxn id="63" idx="0"/>
          </xdr:cNvCxnSpPr>
        </xdr:nvCxnSpPr>
        <xdr:spPr>
          <a:xfrm flipH="1">
            <a:off x="1086581" y="2798195"/>
            <a:ext cx="1779909" cy="6945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6" name="Straight Arrow Connector 65"/>
          <xdr:cNvCxnSpPr>
            <a:stCxn id="64" idx="2"/>
            <a:endCxn id="62" idx="0"/>
          </xdr:cNvCxnSpPr>
        </xdr:nvCxnSpPr>
        <xdr:spPr>
          <a:xfrm>
            <a:off x="2866490" y="2798195"/>
            <a:ext cx="1729817" cy="6759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7" name="Straight Arrow Connector 66"/>
          <xdr:cNvCxnSpPr>
            <a:stCxn id="62" idx="2"/>
          </xdr:cNvCxnSpPr>
        </xdr:nvCxnSpPr>
        <xdr:spPr>
          <a:xfrm flipH="1">
            <a:off x="2077840" y="3972547"/>
            <a:ext cx="1512283"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nvGrpSpPr>
          <xdr:cNvPr id="68" name="Group 67"/>
          <xdr:cNvGrpSpPr/>
        </xdr:nvGrpSpPr>
        <xdr:grpSpPr>
          <a:xfrm rot="10800000">
            <a:off x="10508197" y="3078260"/>
            <a:ext cx="637819" cy="414438"/>
            <a:chOff x="5468432" y="5743907"/>
            <a:chExt cx="800794" cy="738966"/>
          </a:xfrm>
        </xdr:grpSpPr>
        <xdr:sp macro="" textlink="">
          <xdr:nvSpPr>
            <xdr:cNvPr id="79" name="Oval 78"/>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cxnSp macro="">
          <xdr:nvCxnSpPr>
            <xdr:cNvPr id="80" name="Straight Arrow Connector 79"/>
            <xdr:cNvCxnSpPr/>
          </xdr:nvCxnSpPr>
          <xdr:spPr>
            <a:xfrm rot="10800000" flipH="1">
              <a:off x="5577689" y="5764170"/>
              <a:ext cx="74644" cy="102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1" name="Rectangle 80"/>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grpSp>
      <xdr:grpSp>
        <xdr:nvGrpSpPr>
          <xdr:cNvPr id="69" name="Group 68"/>
          <xdr:cNvGrpSpPr/>
        </xdr:nvGrpSpPr>
        <xdr:grpSpPr>
          <a:xfrm rot="10800000">
            <a:off x="7012695" y="3089625"/>
            <a:ext cx="637819" cy="414438"/>
            <a:chOff x="5468432" y="5743907"/>
            <a:chExt cx="800794" cy="738966"/>
          </a:xfrm>
        </xdr:grpSpPr>
        <xdr:sp macro="" textlink="">
          <xdr:nvSpPr>
            <xdr:cNvPr id="76" name="Oval 75"/>
            <xdr:cNvSpPr/>
          </xdr:nvSpPr>
          <xdr:spPr>
            <a:xfrm>
              <a:off x="5468432" y="5743907"/>
              <a:ext cx="800794" cy="73896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cxnSp macro="">
          <xdr:nvCxnSpPr>
            <xdr:cNvPr id="77" name="Straight Arrow Connector 76"/>
            <xdr:cNvCxnSpPr/>
          </xdr:nvCxnSpPr>
          <xdr:spPr>
            <a:xfrm rot="10800000" flipH="1">
              <a:off x="5577689" y="5764170"/>
              <a:ext cx="74644" cy="102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Rectangle 77"/>
            <xdr:cNvSpPr/>
          </xdr:nvSpPr>
          <xdr:spPr>
            <a:xfrm>
              <a:off x="5652334" y="5743907"/>
              <a:ext cx="468548" cy="19969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000"/>
            </a:p>
          </xdr:txBody>
        </xdr:sp>
      </xdr:grpSp>
      <xdr:sp macro="" textlink="">
        <xdr:nvSpPr>
          <xdr:cNvPr id="70" name="Oval 69"/>
          <xdr:cNvSpPr/>
        </xdr:nvSpPr>
        <xdr:spPr>
          <a:xfrm>
            <a:off x="9820923" y="3474113"/>
            <a:ext cx="2012366" cy="996867"/>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Controlled</a:t>
            </a:r>
          </a:p>
        </xdr:txBody>
      </xdr:sp>
      <xdr:sp macro="" textlink="">
        <xdr:nvSpPr>
          <xdr:cNvPr id="71" name="Oval 70"/>
          <xdr:cNvSpPr/>
        </xdr:nvSpPr>
        <xdr:spPr>
          <a:xfrm>
            <a:off x="6326123" y="3492698"/>
            <a:ext cx="1982515" cy="959698"/>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Uncontrolled</a:t>
            </a:r>
          </a:p>
        </xdr:txBody>
      </xdr:sp>
      <xdr:sp macro="" textlink="">
        <xdr:nvSpPr>
          <xdr:cNvPr id="72" name="Rectangle 71"/>
          <xdr:cNvSpPr/>
        </xdr:nvSpPr>
        <xdr:spPr>
          <a:xfrm>
            <a:off x="8532997" y="1835071"/>
            <a:ext cx="1128584" cy="9631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UC</a:t>
            </a:r>
          </a:p>
        </xdr:txBody>
      </xdr:sp>
      <xdr:cxnSp macro="">
        <xdr:nvCxnSpPr>
          <xdr:cNvPr id="73" name="Straight Arrow Connector 72"/>
          <xdr:cNvCxnSpPr>
            <a:stCxn id="72" idx="2"/>
            <a:endCxn id="71" idx="0"/>
          </xdr:cNvCxnSpPr>
        </xdr:nvCxnSpPr>
        <xdr:spPr>
          <a:xfrm flipH="1">
            <a:off x="7317381" y="2798195"/>
            <a:ext cx="1779909" cy="6945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 name="Straight Arrow Connector 73"/>
          <xdr:cNvCxnSpPr>
            <a:stCxn id="72" idx="2"/>
            <a:endCxn id="70" idx="0"/>
          </xdr:cNvCxnSpPr>
        </xdr:nvCxnSpPr>
        <xdr:spPr>
          <a:xfrm>
            <a:off x="9097290" y="2798195"/>
            <a:ext cx="1729817" cy="6759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Straight Arrow Connector 74"/>
          <xdr:cNvCxnSpPr>
            <a:stCxn id="70" idx="2"/>
            <a:endCxn id="71" idx="6"/>
          </xdr:cNvCxnSpPr>
        </xdr:nvCxnSpPr>
        <xdr:spPr>
          <a:xfrm flipH="1">
            <a:off x="8308639" y="3972547"/>
            <a:ext cx="151228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371475</xdr:colOff>
          <xdr:row>4</xdr:row>
          <xdr:rowOff>28575</xdr:rowOff>
        </xdr:from>
        <xdr:to>
          <xdr:col>4</xdr:col>
          <xdr:colOff>219075</xdr:colOff>
          <xdr:row>7</xdr:row>
          <xdr:rowOff>85725</xdr:rowOff>
        </xdr:to>
        <xdr:sp macro="" textlink="">
          <xdr:nvSpPr>
            <xdr:cNvPr id="2049" name="Group Box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4</xdr:row>
          <xdr:rowOff>66675</xdr:rowOff>
        </xdr:from>
        <xdr:to>
          <xdr:col>3</xdr:col>
          <xdr:colOff>295275</xdr:colOff>
          <xdr:row>5</xdr:row>
          <xdr:rowOff>114300</xdr:rowOff>
        </xdr:to>
        <xdr:sp macro="" textlink="">
          <xdr:nvSpPr>
            <xdr:cNvPr id="2050" name="Option Button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5</xdr:row>
          <xdr:rowOff>142875</xdr:rowOff>
        </xdr:from>
        <xdr:to>
          <xdr:col>3</xdr:col>
          <xdr:colOff>295275</xdr:colOff>
          <xdr:row>7</xdr:row>
          <xdr:rowOff>28575</xdr:rowOff>
        </xdr:to>
        <xdr:sp macro="" textlink="">
          <xdr:nvSpPr>
            <xdr:cNvPr id="2051" name="Option Button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RD_briggs_stud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2_Example_3.5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arameters"/>
      <sheetName val="Results"/>
      <sheetName val="CE plane"/>
      <sheetName val="CEA curves"/>
      <sheetName val="MC Results"/>
      <sheetName val="A - PPI Heal &amp; Wait"/>
      <sheetName val="B - PPI Heal &amp; Maintain"/>
      <sheetName val="C - H2 Heal &amp; Maintain"/>
      <sheetName val="D - PA Heal &amp; Maintain PA"/>
      <sheetName val="E - PPI Heal &amp; Maintain H2"/>
      <sheetName val="F - PPI Heal &amp; Maintain LDPPI"/>
    </sheetNames>
    <sheetDataSet>
      <sheetData sheetId="0"/>
      <sheetData sheetId="1">
        <row r="3">
          <cell r="B3">
            <v>0</v>
          </cell>
        </row>
        <row r="18">
          <cell r="B18">
            <v>0.41737747957049187</v>
          </cell>
        </row>
        <row r="19">
          <cell r="B19">
            <v>0.41783866594397834</v>
          </cell>
        </row>
        <row r="20">
          <cell r="B20">
            <v>0.51569905341114508</v>
          </cell>
        </row>
        <row r="21">
          <cell r="B21">
            <v>0.8202464765668569</v>
          </cell>
        </row>
        <row r="22">
          <cell r="B22">
            <v>0.81143070731215539</v>
          </cell>
        </row>
        <row r="25">
          <cell r="B25">
            <v>0.66548042704626331</v>
          </cell>
        </row>
        <row r="26">
          <cell r="B26">
            <v>0.23076923076923078</v>
          </cell>
        </row>
        <row r="27">
          <cell r="B27">
            <v>0.38082191780821917</v>
          </cell>
        </row>
        <row r="28">
          <cell r="B28">
            <v>0.1245944192083063</v>
          </cell>
        </row>
        <row r="29">
          <cell r="B29">
            <v>0.25440528634361231</v>
          </cell>
        </row>
        <row r="30">
          <cell r="B30">
            <v>0.1245944192083063</v>
          </cell>
        </row>
        <row r="31">
          <cell r="B31">
            <v>0.23414634146341465</v>
          </cell>
        </row>
        <row r="32">
          <cell r="B32">
            <v>0.13397129186602871</v>
          </cell>
        </row>
        <row r="33">
          <cell r="B33">
            <v>0.17788461538461539</v>
          </cell>
        </row>
        <row r="34">
          <cell r="B34">
            <v>7.8008298755186722E-2</v>
          </cell>
        </row>
        <row r="35">
          <cell r="B35">
            <v>0.13050570962479607</v>
          </cell>
        </row>
        <row r="38">
          <cell r="B38">
            <v>2.2798800907753947</v>
          </cell>
        </row>
        <row r="41">
          <cell r="B41">
            <v>2.3855888533626253</v>
          </cell>
        </row>
        <row r="42">
          <cell r="B42">
            <v>2.3825237524627134</v>
          </cell>
        </row>
        <row r="43">
          <cell r="B43">
            <v>0.5</v>
          </cell>
        </row>
        <row r="44">
          <cell r="B44">
            <v>12</v>
          </cell>
        </row>
        <row r="45">
          <cell r="B45">
            <v>8</v>
          </cell>
        </row>
        <row r="46">
          <cell r="B46">
            <v>9.2713503359294922</v>
          </cell>
        </row>
        <row r="47">
          <cell r="B47">
            <v>6.1786727874549392</v>
          </cell>
        </row>
        <row r="48">
          <cell r="B48">
            <v>5.6900895076349727</v>
          </cell>
        </row>
        <row r="49">
          <cell r="B49">
            <v>3.8236170408277701</v>
          </cell>
        </row>
        <row r="50">
          <cell r="B50">
            <v>3.8910780939654703</v>
          </cell>
        </row>
        <row r="53">
          <cell r="B53">
            <v>4.1100000000000003</v>
          </cell>
        </row>
        <row r="54">
          <cell r="B54">
            <v>0.44</v>
          </cell>
        </row>
        <row r="55">
          <cell r="B55">
            <v>0.61</v>
          </cell>
        </row>
        <row r="56">
          <cell r="B56">
            <v>2.42</v>
          </cell>
        </row>
        <row r="57">
          <cell r="B57">
            <v>1.93</v>
          </cell>
        </row>
        <row r="58">
          <cell r="B58">
            <v>48.2</v>
          </cell>
        </row>
        <row r="59">
          <cell r="B59">
            <v>28.1</v>
          </cell>
        </row>
        <row r="60">
          <cell r="B60">
            <v>16.25</v>
          </cell>
        </row>
        <row r="61">
          <cell r="B61">
            <v>38.65</v>
          </cell>
        </row>
        <row r="62">
          <cell r="B62">
            <v>23.1</v>
          </cell>
        </row>
        <row r="63">
          <cell r="B63">
            <v>118.22</v>
          </cell>
        </row>
        <row r="64">
          <cell r="B64">
            <v>141.43</v>
          </cell>
        </row>
        <row r="65">
          <cell r="B65">
            <v>84.81</v>
          </cell>
        </row>
        <row r="66">
          <cell r="B66">
            <v>42.77</v>
          </cell>
        </row>
        <row r="67">
          <cell r="B67">
            <v>135.1</v>
          </cell>
        </row>
        <row r="68">
          <cell r="B68">
            <v>2462.6</v>
          </cell>
        </row>
        <row r="76">
          <cell r="B76">
            <v>3.5000000000000003E-2</v>
          </cell>
        </row>
        <row r="77">
          <cell r="B77">
            <v>0.1</v>
          </cell>
        </row>
        <row r="78">
          <cell r="B78">
            <v>7.0000000000000007E-2</v>
          </cell>
        </row>
        <row r="79">
          <cell r="B79">
            <v>2.5</v>
          </cell>
        </row>
        <row r="80">
          <cell r="B80">
            <v>1.5</v>
          </cell>
        </row>
        <row r="82">
          <cell r="B82">
            <v>0.01</v>
          </cell>
        </row>
        <row r="83">
          <cell r="B83">
            <v>0.01</v>
          </cell>
        </row>
        <row r="84">
          <cell r="B84">
            <v>0.6</v>
          </cell>
        </row>
        <row r="85">
          <cell r="B85">
            <v>0.08</v>
          </cell>
        </row>
        <row r="89">
          <cell r="B89">
            <v>0.85799999999999998</v>
          </cell>
        </row>
        <row r="92">
          <cell r="B92">
            <v>116.223</v>
          </cell>
        </row>
        <row r="93">
          <cell r="B93">
            <v>167.55799999999999</v>
          </cell>
        </row>
        <row r="96">
          <cell r="B96">
            <v>139.63</v>
          </cell>
        </row>
        <row r="97">
          <cell r="B97">
            <v>174.33199999999999</v>
          </cell>
        </row>
        <row r="98">
          <cell r="B98">
            <v>313.55100000000004</v>
          </cell>
        </row>
        <row r="99">
          <cell r="B99">
            <v>452.77</v>
          </cell>
        </row>
        <row r="100">
          <cell r="B100">
            <v>251.81099999999998</v>
          </cell>
        </row>
        <row r="101">
          <cell r="B101">
            <v>363.59</v>
          </cell>
        </row>
        <row r="102">
          <cell r="B102">
            <v>275.14999999999998</v>
          </cell>
        </row>
        <row r="103">
          <cell r="B103">
            <v>52.884</v>
          </cell>
        </row>
        <row r="105">
          <cell r="B105">
            <v>209.07000000000002</v>
          </cell>
        </row>
        <row r="106">
          <cell r="B106">
            <v>123.67</v>
          </cell>
        </row>
        <row r="107">
          <cell r="B107">
            <v>159.06299999999999</v>
          </cell>
        </row>
        <row r="108">
          <cell r="B108">
            <v>229.43799999999999</v>
          </cell>
        </row>
        <row r="109">
          <cell r="B109">
            <v>102.675</v>
          </cell>
        </row>
        <row r="110">
          <cell r="B110">
            <v>102.675</v>
          </cell>
        </row>
        <row r="111">
          <cell r="B111">
            <v>138.3194</v>
          </cell>
        </row>
        <row r="112">
          <cell r="B112">
            <v>186.19719999999998</v>
          </cell>
        </row>
      </sheetData>
      <sheetData sheetId="2"/>
      <sheetData sheetId="3" refreshError="1"/>
      <sheetData sheetId="4" refreshError="1"/>
      <sheetData sheetId="5">
        <row r="2">
          <cell r="U2">
            <v>5000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Figure"/>
      <sheetName val="Analysis"/>
      <sheetName val="Parameters"/>
      <sheetName val="Life tables"/>
      <sheetName val="Hazard function"/>
      <sheetName val="Standard"/>
      <sheetName val="NP1"/>
      <sheetName val="Macros"/>
    </sheetNames>
    <sheetDataSet>
      <sheetData sheetId="0"/>
      <sheetData sheetId="1">
        <row r="6">
          <cell r="I6">
            <v>60</v>
          </cell>
        </row>
      </sheetData>
      <sheetData sheetId="2">
        <row r="8">
          <cell r="B8">
            <v>60</v>
          </cell>
        </row>
        <row r="9">
          <cell r="B9">
            <v>0</v>
          </cell>
        </row>
        <row r="22">
          <cell r="B22">
            <v>-5.4909350000000003</v>
          </cell>
        </row>
        <row r="23">
          <cell r="B23">
            <v>-3.6702199999999997E-2</v>
          </cell>
        </row>
        <row r="24">
          <cell r="B24">
            <v>0.768536</v>
          </cell>
        </row>
      </sheetData>
      <sheetData sheetId="3">
        <row r="15">
          <cell r="C15">
            <v>35</v>
          </cell>
          <cell r="D15">
            <v>1.5100000000000001E-3</v>
          </cell>
          <cell r="E15">
            <v>9.8999999999999999E-4</v>
          </cell>
        </row>
        <row r="16">
          <cell r="C16">
            <v>45</v>
          </cell>
          <cell r="D16">
            <v>3.9300000000000003E-3</v>
          </cell>
          <cell r="E16">
            <v>2.5999999999999999E-3</v>
          </cell>
        </row>
        <row r="17">
          <cell r="C17">
            <v>55</v>
          </cell>
          <cell r="D17">
            <v>1.09E-2</v>
          </cell>
          <cell r="E17">
            <v>6.7000000000000002E-3</v>
          </cell>
        </row>
        <row r="18">
          <cell r="C18">
            <v>65</v>
          </cell>
          <cell r="D18">
            <v>3.1600000000000003E-2</v>
          </cell>
          <cell r="E18">
            <v>1.9300000000000001E-2</v>
          </cell>
        </row>
        <row r="19">
          <cell r="C19">
            <v>75</v>
          </cell>
          <cell r="D19">
            <v>8.0099999999999991E-2</v>
          </cell>
          <cell r="E19">
            <v>5.3499999999999999E-2</v>
          </cell>
        </row>
        <row r="20">
          <cell r="C20">
            <v>85</v>
          </cell>
          <cell r="D20">
            <v>0.18790000000000001</v>
          </cell>
          <cell r="E20">
            <v>0.15480000000000002</v>
          </cell>
        </row>
      </sheetData>
      <sheetData sheetId="4"/>
      <sheetData sheetId="5">
        <row r="7">
          <cell r="C7">
            <v>4.5587359988585874E-4</v>
          </cell>
          <cell r="E7">
            <v>6.7000000000000002E-3</v>
          </cell>
        </row>
        <row r="8">
          <cell r="C8">
            <v>7.9265538125916635E-4</v>
          </cell>
          <cell r="E8">
            <v>6.7000000000000002E-3</v>
          </cell>
        </row>
        <row r="9">
          <cell r="C9">
            <v>1.0023202487118299E-3</v>
          </cell>
          <cell r="E9">
            <v>6.7000000000000002E-3</v>
          </cell>
        </row>
        <row r="10">
          <cell r="C10">
            <v>1.1684809383689654E-3</v>
          </cell>
          <cell r="E10">
            <v>6.7000000000000002E-3</v>
          </cell>
        </row>
        <row r="11">
          <cell r="C11">
            <v>1.309944799567142E-3</v>
          </cell>
          <cell r="E11">
            <v>1.9300000000000001E-2</v>
          </cell>
        </row>
        <row r="12">
          <cell r="C12">
            <v>1.4349523261396602E-3</v>
          </cell>
          <cell r="E12">
            <v>1.9300000000000001E-2</v>
          </cell>
        </row>
        <row r="13">
          <cell r="C13">
            <v>1.5479957647099862E-3</v>
          </cell>
          <cell r="E13">
            <v>1.9300000000000001E-2</v>
          </cell>
        </row>
        <row r="14">
          <cell r="C14">
            <v>1.6518431162551028E-3</v>
          </cell>
          <cell r="E14">
            <v>1.9300000000000001E-2</v>
          </cell>
        </row>
        <row r="15">
          <cell r="C15">
            <v>1.7483419148011103E-3</v>
          </cell>
          <cell r="E15">
            <v>1.9300000000000001E-2</v>
          </cell>
        </row>
        <row r="16">
          <cell r="C16">
            <v>1.8387973086411158E-3</v>
          </cell>
          <cell r="E16">
            <v>1.9300000000000001E-2</v>
          </cell>
        </row>
        <row r="17">
          <cell r="C17">
            <v>1.9241713306532571E-3</v>
          </cell>
          <cell r="E17">
            <v>1.9300000000000001E-2</v>
          </cell>
        </row>
        <row r="18">
          <cell r="C18">
            <v>2.0051969719669938E-3</v>
          </cell>
          <cell r="E18">
            <v>1.9300000000000001E-2</v>
          </cell>
        </row>
        <row r="19">
          <cell r="C19">
            <v>2.0824477370303685E-3</v>
          </cell>
          <cell r="E19">
            <v>1.9300000000000001E-2</v>
          </cell>
        </row>
        <row r="20">
          <cell r="C20">
            <v>2.1563822245680431E-3</v>
          </cell>
          <cell r="E20">
            <v>1.9300000000000001E-2</v>
          </cell>
        </row>
        <row r="21">
          <cell r="C21">
            <v>2.2273738841613877E-3</v>
          </cell>
          <cell r="E21">
            <v>5.3499999999999999E-2</v>
          </cell>
        </row>
        <row r="22">
          <cell r="C22">
            <v>2.295731557633518E-3</v>
          </cell>
          <cell r="E22">
            <v>5.3499999999999999E-2</v>
          </cell>
        </row>
        <row r="23">
          <cell r="C23">
            <v>2.361714067431353E-3</v>
          </cell>
          <cell r="E23">
            <v>5.3499999999999999E-2</v>
          </cell>
        </row>
        <row r="24">
          <cell r="C24">
            <v>2.425540832006079E-3</v>
          </cell>
          <cell r="E24">
            <v>5.3499999999999999E-2</v>
          </cell>
        </row>
        <row r="25">
          <cell r="C25">
            <v>2.4873997543983783E-3</v>
          </cell>
          <cell r="E25">
            <v>5.3499999999999999E-2</v>
          </cell>
        </row>
        <row r="26">
          <cell r="C26">
            <v>2.5474531933036282E-3</v>
          </cell>
          <cell r="E26">
            <v>5.3499999999999999E-2</v>
          </cell>
        </row>
        <row r="27">
          <cell r="C27">
            <v>2.6058425566612975E-3</v>
          </cell>
          <cell r="E27">
            <v>5.3499999999999999E-2</v>
          </cell>
        </row>
        <row r="28">
          <cell r="C28">
            <v>2.6626918868932758E-3</v>
          </cell>
          <cell r="E28">
            <v>5.3499999999999999E-2</v>
          </cell>
        </row>
        <row r="29">
          <cell r="C29">
            <v>2.7181106954937695E-3</v>
          </cell>
          <cell r="E29">
            <v>5.3499999999999999E-2</v>
          </cell>
        </row>
        <row r="30">
          <cell r="C30">
            <v>2.7721962303374204E-3</v>
          </cell>
          <cell r="E30">
            <v>5.3499999999999999E-2</v>
          </cell>
        </row>
        <row r="31">
          <cell r="C31">
            <v>2.8250353084126045E-3</v>
          </cell>
          <cell r="E31">
            <v>0.15480000000000002</v>
          </cell>
        </row>
        <row r="32">
          <cell r="C32">
            <v>2.8767058115199973E-3</v>
          </cell>
          <cell r="E32">
            <v>0.15480000000000002</v>
          </cell>
        </row>
        <row r="33">
          <cell r="C33">
            <v>2.9272779176283681E-3</v>
          </cell>
          <cell r="E33">
            <v>0.15480000000000002</v>
          </cell>
        </row>
        <row r="34">
          <cell r="C34">
            <v>2.9768151227684836E-3</v>
          </cell>
          <cell r="E34">
            <v>0.15480000000000002</v>
          </cell>
        </row>
        <row r="35">
          <cell r="C35">
            <v>3.0253750953738168E-3</v>
          </cell>
          <cell r="E35">
            <v>0.15480000000000002</v>
          </cell>
        </row>
        <row r="36">
          <cell r="C36">
            <v>3.0730103954259569E-3</v>
          </cell>
          <cell r="E36">
            <v>0.15480000000000002</v>
          </cell>
        </row>
        <row r="37">
          <cell r="C37">
            <v>3.1197690836320957E-3</v>
          </cell>
          <cell r="E37">
            <v>0.15480000000000002</v>
          </cell>
        </row>
        <row r="38">
          <cell r="C38">
            <v>3.1656952404857108E-3</v>
          </cell>
          <cell r="E38">
            <v>0.15480000000000002</v>
          </cell>
        </row>
        <row r="39">
          <cell r="C39">
            <v>3.2108294109639557E-3</v>
          </cell>
          <cell r="E39">
            <v>0.15480000000000002</v>
          </cell>
        </row>
        <row r="40">
          <cell r="C40">
            <v>3.2552089874650081E-3</v>
          </cell>
          <cell r="E40">
            <v>0.15480000000000002</v>
          </cell>
        </row>
        <row r="41">
          <cell r="C41">
            <v>3.2988685411393659E-3</v>
          </cell>
          <cell r="E41">
            <v>0.15480000000000002</v>
          </cell>
        </row>
        <row r="42">
          <cell r="C42">
            <v>3.3418401098594952E-3</v>
          </cell>
          <cell r="E42">
            <v>0.15480000000000002</v>
          </cell>
        </row>
        <row r="43">
          <cell r="C43">
            <v>3.3841534495534509E-3</v>
          </cell>
          <cell r="E43">
            <v>0.15480000000000002</v>
          </cell>
        </row>
        <row r="44">
          <cell r="C44">
            <v>3.4258362544402621E-3</v>
          </cell>
          <cell r="E44">
            <v>0.15480000000000002</v>
          </cell>
        </row>
        <row r="45">
          <cell r="C45">
            <v>3.4669143507320976E-3</v>
          </cell>
          <cell r="E45">
            <v>0.15480000000000002</v>
          </cell>
        </row>
        <row r="46">
          <cell r="C46">
            <v>3.5074118676067245E-3</v>
          </cell>
          <cell r="E46">
            <v>0.15480000000000002</v>
          </cell>
        </row>
        <row r="47">
          <cell r="C47">
            <v>3.5473513886211672E-3</v>
          </cell>
          <cell r="E47">
            <v>0.15480000000000002</v>
          </cell>
        </row>
        <row r="48">
          <cell r="C48">
            <v>3.5867540862291047E-3</v>
          </cell>
          <cell r="E48">
            <v>0.15480000000000002</v>
          </cell>
        </row>
        <row r="49">
          <cell r="C49">
            <v>3.6256398416483204E-3</v>
          </cell>
          <cell r="E49">
            <v>0.15480000000000002</v>
          </cell>
        </row>
        <row r="50">
          <cell r="C50">
            <v>3.6640273519783495E-3</v>
          </cell>
          <cell r="E50">
            <v>0.15480000000000002</v>
          </cell>
        </row>
        <row r="51">
          <cell r="C51">
            <v>3.701934226185033E-3</v>
          </cell>
          <cell r="E51">
            <v>0.15480000000000002</v>
          </cell>
        </row>
        <row r="52">
          <cell r="C52">
            <v>3.7393770713346486E-3</v>
          </cell>
          <cell r="E52">
            <v>0.15480000000000002</v>
          </cell>
        </row>
        <row r="53">
          <cell r="C53">
            <v>3.7763715702551215E-3</v>
          </cell>
          <cell r="E53">
            <v>0.15480000000000002</v>
          </cell>
        </row>
        <row r="54">
          <cell r="C54">
            <v>3.8129325516462753E-3</v>
          </cell>
          <cell r="E54">
            <v>0.15480000000000002</v>
          </cell>
        </row>
        <row r="55">
          <cell r="C55">
            <v>3.8490740535132018E-3</v>
          </cell>
          <cell r="E55">
            <v>0.15480000000000002</v>
          </cell>
        </row>
        <row r="56">
          <cell r="C56">
            <v>3.8848093806849171E-3</v>
          </cell>
          <cell r="E56">
            <v>0.15480000000000002</v>
          </cell>
        </row>
        <row r="57">
          <cell r="C57">
            <v>3.9201511570746694E-3</v>
          </cell>
          <cell r="E57">
            <v>0.15480000000000002</v>
          </cell>
        </row>
        <row r="58">
          <cell r="C58">
            <v>3.9551113732601006E-3</v>
          </cell>
          <cell r="E58">
            <v>0.15480000000000002</v>
          </cell>
        </row>
        <row r="59">
          <cell r="C59">
            <v>3.9897014298826416E-3</v>
          </cell>
          <cell r="E59">
            <v>0.15480000000000002</v>
          </cell>
        </row>
        <row r="60">
          <cell r="C60">
            <v>4.0239321773068992E-3</v>
          </cell>
          <cell r="E60">
            <v>0.15480000000000002</v>
          </cell>
        </row>
        <row r="61">
          <cell r="C61">
            <v>4.0578139519237277E-3</v>
          </cell>
          <cell r="E61">
            <v>0.15480000000000002</v>
          </cell>
        </row>
        <row r="62">
          <cell r="C62">
            <v>4.0913566094415987E-3</v>
          </cell>
          <cell r="E62">
            <v>0.15480000000000002</v>
          </cell>
        </row>
        <row r="63">
          <cell r="C63">
            <v>4.1245695554602557E-3</v>
          </cell>
          <cell r="E63">
            <v>0.15480000000000002</v>
          </cell>
        </row>
        <row r="64">
          <cell r="C64">
            <v>4.1574617735983255E-3</v>
          </cell>
          <cell r="E64">
            <v>0.15480000000000002</v>
          </cell>
        </row>
        <row r="65">
          <cell r="C65">
            <v>4.1900418514030369E-3</v>
          </cell>
          <cell r="E65">
            <v>0.15480000000000002</v>
          </cell>
        </row>
        <row r="66">
          <cell r="C66">
            <v>4.2223180042564312E-3</v>
          </cell>
          <cell r="E66">
            <v>0.15480000000000002</v>
          </cell>
        </row>
      </sheetData>
      <sheetData sheetId="6">
        <row r="68">
          <cell r="M68">
            <v>610.31181775758273</v>
          </cell>
          <cell r="O68">
            <v>14.697709857306155</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5"/>
  <sheetViews>
    <sheetView tabSelected="1" workbookViewId="0">
      <selection activeCell="O29" sqref="O29"/>
    </sheetView>
  </sheetViews>
  <sheetFormatPr defaultRowHeight="15" x14ac:dyDescent="0.25"/>
  <sheetData>
    <row r="1" spans="1:1" ht="15.75" x14ac:dyDescent="0.25">
      <c r="A1" s="1" t="s">
        <v>149</v>
      </c>
    </row>
    <row r="2" spans="1:1" x14ac:dyDescent="0.25">
      <c r="A2" s="2" t="s">
        <v>0</v>
      </c>
    </row>
    <row r="4" spans="1:1" x14ac:dyDescent="0.25">
      <c r="A4" s="2" t="s">
        <v>150</v>
      </c>
    </row>
    <row r="19" spans="1:1" x14ac:dyDescent="0.25">
      <c r="A19" s="2" t="s">
        <v>151</v>
      </c>
    </row>
    <row r="42" spans="1:1" x14ac:dyDescent="0.25">
      <c r="A42" t="s">
        <v>3</v>
      </c>
    </row>
    <row r="43" spans="1:1" x14ac:dyDescent="0.25">
      <c r="A43" t="s">
        <v>4</v>
      </c>
    </row>
    <row r="44" spans="1:1" x14ac:dyDescent="0.25">
      <c r="A44" t="s">
        <v>1</v>
      </c>
    </row>
    <row r="45" spans="1:1" x14ac:dyDescent="0.25">
      <c r="A45" s="3" t="s">
        <v>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C1" workbookViewId="0">
      <selection activeCell="N29" sqref="N29"/>
    </sheetView>
  </sheetViews>
  <sheetFormatPr defaultRowHeight="15" x14ac:dyDescent="0.25"/>
  <cols>
    <col min="1" max="1" width="9.140625" style="4"/>
    <col min="2" max="2" width="4.7109375" style="4" customWidth="1"/>
    <col min="3" max="3" width="8.85546875" style="32" customWidth="1"/>
    <col min="4" max="4" width="4.7109375" style="32" customWidth="1"/>
    <col min="5" max="5" width="10" style="32" bestFit="1" customWidth="1"/>
    <col min="6" max="6" width="9.140625" style="4"/>
    <col min="7" max="7" width="12.7109375" style="4" customWidth="1"/>
    <col min="8" max="8" width="8.85546875" style="4" bestFit="1" customWidth="1"/>
    <col min="9" max="9" width="8.5703125" style="4" bestFit="1" customWidth="1"/>
    <col min="10" max="10" width="8.28515625" style="4" bestFit="1" customWidth="1"/>
    <col min="11" max="11" width="9.5703125" style="4" bestFit="1" customWidth="1"/>
    <col min="12" max="12" width="13.7109375" style="4" bestFit="1" customWidth="1"/>
    <col min="13" max="16" width="12.7109375" style="4" customWidth="1"/>
    <col min="17" max="18" width="4.7109375" style="4" customWidth="1"/>
    <col min="19" max="16384" width="9.140625" style="4"/>
  </cols>
  <sheetData>
    <row r="1" spans="1:18" ht="15.75" x14ac:dyDescent="0.25">
      <c r="A1" s="49" t="s">
        <v>24</v>
      </c>
      <c r="B1" s="49"/>
    </row>
    <row r="2" spans="1:18" ht="15.75" x14ac:dyDescent="0.25">
      <c r="A2" s="49"/>
      <c r="B2" s="49"/>
      <c r="I2" s="113"/>
    </row>
    <row r="3" spans="1:18" x14ac:dyDescent="0.25">
      <c r="D3" s="48"/>
      <c r="G3" s="47" t="s">
        <v>117</v>
      </c>
      <c r="H3" s="47"/>
      <c r="I3" s="46"/>
      <c r="J3" s="46"/>
      <c r="K3" s="46"/>
      <c r="L3" s="47"/>
      <c r="M3" s="47"/>
      <c r="N3" s="46"/>
      <c r="O3" s="46"/>
      <c r="P3" s="46"/>
    </row>
    <row r="4" spans="1:18" ht="12.75" x14ac:dyDescent="0.2">
      <c r="A4" s="25" t="s">
        <v>23</v>
      </c>
      <c r="B4" s="25"/>
      <c r="C4" s="45" t="s">
        <v>22</v>
      </c>
      <c r="D4" s="44"/>
      <c r="E4" s="44" t="s">
        <v>21</v>
      </c>
      <c r="G4" s="25" t="s">
        <v>53</v>
      </c>
      <c r="H4" s="25" t="s">
        <v>54</v>
      </c>
      <c r="I4" s="25" t="s">
        <v>55</v>
      </c>
      <c r="J4" s="25" t="s">
        <v>56</v>
      </c>
      <c r="K4" s="25" t="s">
        <v>57</v>
      </c>
      <c r="L4" s="25" t="s">
        <v>58</v>
      </c>
      <c r="M4" s="25" t="s">
        <v>20</v>
      </c>
      <c r="N4" s="25" t="s">
        <v>11</v>
      </c>
      <c r="O4" s="25" t="s">
        <v>19</v>
      </c>
      <c r="P4" s="25" t="s">
        <v>10</v>
      </c>
    </row>
    <row r="5" spans="1:18" ht="12.75" x14ac:dyDescent="0.2">
      <c r="C5" s="4"/>
      <c r="D5" s="4"/>
      <c r="E5" s="43"/>
    </row>
    <row r="6" spans="1:18" x14ac:dyDescent="0.25">
      <c r="A6" s="4">
        <v>0</v>
      </c>
      <c r="G6" s="40">
        <v>1000</v>
      </c>
      <c r="H6" s="40"/>
      <c r="I6" s="40"/>
      <c r="J6" s="40"/>
      <c r="K6" s="40"/>
      <c r="L6" s="40"/>
      <c r="M6" s="39">
        <f t="shared" ref="M6:M66" si="0">SUM(G6:L6)</f>
        <v>1000</v>
      </c>
      <c r="N6" s="38">
        <f>(cNES)*G6</f>
        <v>2410000</v>
      </c>
      <c r="O6" s="33"/>
      <c r="P6" s="42"/>
      <c r="Q6" s="33"/>
      <c r="R6" s="33"/>
    </row>
    <row r="7" spans="1:18" x14ac:dyDescent="0.25">
      <c r="A7" s="4">
        <v>1</v>
      </c>
      <c r="C7" s="41" t="e">
        <f t="shared" ref="C7:C38" si="1">1-EXP(lambda*(A6^gamma-A7^gamma))</f>
        <v>#REF!</v>
      </c>
      <c r="E7" s="41">
        <f t="shared" ref="E7:E66" si="2">IF(male=0,VLOOKUP(A$5:A$65536+age,Lifetable,2,1),IF(male=1,VLOOKUP(A$5:A$65536+age,Lifetable,5,1),"error"))</f>
        <v>1.2009000000000001E-2</v>
      </c>
      <c r="G7" s="111">
        <f t="shared" ref="G7:G38" si="3">H6*(1-mr)+I6*(1-mr)+J6*(1-(mr+amr+amrHOEX))+G6*(1-(mr+rrOSEX+rrEREX+rrHOEX+amr))</f>
        <v>882.78804888245611</v>
      </c>
      <c r="H7" s="112">
        <f t="shared" ref="H7:H66" si="4">G6*(rrOSEX)</f>
        <v>100.45209288469181</v>
      </c>
      <c r="I7" s="39">
        <f t="shared" ref="I7:I66" si="5">G6*(rrEREX)</f>
        <v>2.2987227351808359</v>
      </c>
      <c r="J7" s="39">
        <f t="shared" ref="J7:J66" si="6">G6*(rrHOEX)</f>
        <v>2.2987227351808359</v>
      </c>
      <c r="K7" s="112">
        <f t="shared" ref="K7:K38" si="7">(G6*mr)+(H6*mr)+(I6*mr)+(J6*mr)+K6</f>
        <v>12.009</v>
      </c>
      <c r="L7" s="112">
        <f t="shared" ref="L7:L66" si="8">(G6*amr)+(J6*(amr+amrHOEX))+L6</f>
        <v>0.15341276249036806</v>
      </c>
      <c r="M7" s="39">
        <f t="shared" si="0"/>
        <v>999.99999999999989</v>
      </c>
      <c r="N7" s="38">
        <f t="shared" ref="N7:N66" si="9">(cNES*G7+cOSEX*H7+cEREX*I7+cHOEX*J7)/(1+cDR)^A$5:A$65536</f>
        <v>2039457.6273862575</v>
      </c>
      <c r="O7" s="37">
        <f>(I7+H7+G7+J7)</f>
        <v>987.83758723750964</v>
      </c>
      <c r="P7" s="36">
        <f>(uNES*G7+ uOCEX*H7+uEREX*'D - PH+C'!I7+uHOEX*'D - PH+C'!J7)/(1+oDR)^A$5:A$65536</f>
        <v>640.22198221888868</v>
      </c>
      <c r="Q7" s="33"/>
      <c r="R7" s="33"/>
    </row>
    <row r="8" spans="1:18" x14ac:dyDescent="0.25">
      <c r="A8" s="4">
        <v>2</v>
      </c>
      <c r="C8" s="41" t="e">
        <f t="shared" si="1"/>
        <v>#REF!</v>
      </c>
      <c r="E8" s="41">
        <f t="shared" si="2"/>
        <v>1.2867E-2</v>
      </c>
      <c r="G8" s="111">
        <f t="shared" si="3"/>
        <v>882.22803830478017</v>
      </c>
      <c r="H8" s="112">
        <f t="shared" si="4"/>
        <v>88.677907083836331</v>
      </c>
      <c r="I8" s="39">
        <f t="shared" si="5"/>
        <v>2.0292849583120329</v>
      </c>
      <c r="J8" s="39">
        <f t="shared" si="6"/>
        <v>2.0292849583120329</v>
      </c>
      <c r="K8" s="112">
        <f t="shared" si="7"/>
        <v>24.719506234985033</v>
      </c>
      <c r="L8" s="112">
        <f t="shared" si="8"/>
        <v>0.31597845977439443</v>
      </c>
      <c r="M8" s="39">
        <f t="shared" si="0"/>
        <v>1000</v>
      </c>
      <c r="N8" s="38">
        <f t="shared" si="9"/>
        <v>1919236.7386623716</v>
      </c>
      <c r="O8" s="37">
        <f t="shared" ref="O8:O66" si="10">(I8+H8+G8+J8)</f>
        <v>974.96451530524052</v>
      </c>
      <c r="P8" s="36">
        <f>(uNES*G8+ uOCEX*H8+uEREX*'D - PH+C'!I8+uHOEX*'D - PH+C'!J8)/(1+oDR)^A$5:A$65536</f>
        <v>623.65698397975621</v>
      </c>
      <c r="Q8" s="33"/>
      <c r="R8" s="33"/>
    </row>
    <row r="9" spans="1:18" x14ac:dyDescent="0.25">
      <c r="A9" s="4">
        <v>3</v>
      </c>
      <c r="C9" s="41" t="e">
        <f t="shared" si="1"/>
        <v>#REF!</v>
      </c>
      <c r="E9" s="41">
        <f t="shared" si="2"/>
        <v>1.3772E-2</v>
      </c>
      <c r="G9" s="111">
        <f t="shared" si="3"/>
        <v>868.70035658442953</v>
      </c>
      <c r="H9" s="112">
        <f t="shared" si="4"/>
        <v>88.621652849271229</v>
      </c>
      <c r="I9" s="39">
        <f t="shared" si="5"/>
        <v>2.0279976492651874</v>
      </c>
      <c r="J9" s="39">
        <f t="shared" si="6"/>
        <v>2.0279976492651874</v>
      </c>
      <c r="K9" s="112">
        <f t="shared" si="7"/>
        <v>38.146717539768808</v>
      </c>
      <c r="L9" s="112">
        <f t="shared" si="8"/>
        <v>0.47527772800001428</v>
      </c>
      <c r="M9" s="39">
        <f t="shared" si="0"/>
        <v>1000</v>
      </c>
      <c r="N9" s="38">
        <f t="shared" si="9"/>
        <v>1783211.5395219496</v>
      </c>
      <c r="O9" s="37">
        <f t="shared" si="10"/>
        <v>961.37800473223115</v>
      </c>
      <c r="P9" s="36">
        <f>(uNES*G9+ uOCEX*H9+uEREX*'D - PH+C'!I9+uHOEX*'D - PH+C'!J9)/(1+oDR)^A$5:A$65536</f>
        <v>605.75396537481924</v>
      </c>
      <c r="Q9" s="33"/>
      <c r="R9" s="33"/>
    </row>
    <row r="10" spans="1:18" x14ac:dyDescent="0.25">
      <c r="A10" s="4">
        <v>4</v>
      </c>
      <c r="C10" s="41" t="e">
        <f t="shared" si="1"/>
        <v>#REF!</v>
      </c>
      <c r="E10" s="41">
        <f t="shared" si="2"/>
        <v>1.4749E-2</v>
      </c>
      <c r="G10" s="111">
        <f t="shared" si="3"/>
        <v>855.78486035891171</v>
      </c>
      <c r="H10" s="112">
        <f t="shared" si="4"/>
        <v>87.262768908584007</v>
      </c>
      <c r="I10" s="39">
        <f t="shared" si="5"/>
        <v>1.9969012597403273</v>
      </c>
      <c r="J10" s="39">
        <f t="shared" si="6"/>
        <v>1.9969012597403273</v>
      </c>
      <c r="K10" s="112">
        <f t="shared" si="7"/>
        <v>52.326081731564486</v>
      </c>
      <c r="L10" s="112">
        <f t="shared" si="8"/>
        <v>0.63248648145915565</v>
      </c>
      <c r="M10" s="39">
        <f t="shared" si="0"/>
        <v>1000</v>
      </c>
      <c r="N10" s="38">
        <f t="shared" si="9"/>
        <v>1657252.4618019904</v>
      </c>
      <c r="O10" s="37">
        <f t="shared" si="10"/>
        <v>947.04143178697632</v>
      </c>
      <c r="P10" s="36">
        <f>(uNES*G10+ uOCEX*H10+uEREX*'D - PH+C'!I10+uHOEX*'D - PH+C'!J10)/(1+oDR)^A$5:A$65536</f>
        <v>587.9059757654951</v>
      </c>
      <c r="Q10" s="33"/>
      <c r="R10" s="33"/>
    </row>
    <row r="11" spans="1:18" x14ac:dyDescent="0.25">
      <c r="A11" s="4">
        <v>5</v>
      </c>
      <c r="C11" s="41" t="e">
        <f t="shared" si="1"/>
        <v>#REF!</v>
      </c>
      <c r="E11" s="41">
        <f t="shared" si="2"/>
        <v>1.5852000000000002E-2</v>
      </c>
      <c r="G11" s="111">
        <f t="shared" si="3"/>
        <v>841.974266217018</v>
      </c>
      <c r="H11" s="112">
        <f t="shared" si="4"/>
        <v>85.965380282086414</v>
      </c>
      <c r="I11" s="39">
        <f t="shared" si="5"/>
        <v>1.9672121149305872</v>
      </c>
      <c r="J11" s="39">
        <f t="shared" si="6"/>
        <v>1.9672121149305872</v>
      </c>
      <c r="K11" s="112">
        <f t="shared" si="7"/>
        <v>67.338582508251633</v>
      </c>
      <c r="L11" s="112">
        <f t="shared" si="8"/>
        <v>0.78734676278285587</v>
      </c>
      <c r="M11" s="39">
        <f t="shared" si="0"/>
        <v>1000</v>
      </c>
      <c r="N11" s="38">
        <f t="shared" si="9"/>
        <v>1538243.2341348419</v>
      </c>
      <c r="O11" s="37">
        <f t="shared" si="10"/>
        <v>931.87407072896553</v>
      </c>
      <c r="P11" s="36">
        <f>(uNES*G11+ uOCEX*H11+uEREX*'D - PH+C'!I11+uHOEX*'D - PH+C'!J11)/(1+oDR)^A$5:A$65536</f>
        <v>569.93101985714463</v>
      </c>
      <c r="Q11" s="33"/>
      <c r="R11" s="33"/>
    </row>
    <row r="12" spans="1:18" x14ac:dyDescent="0.25">
      <c r="A12" s="4">
        <v>6</v>
      </c>
      <c r="C12" s="41" t="e">
        <f t="shared" si="1"/>
        <v>#REF!</v>
      </c>
      <c r="E12" s="41">
        <f t="shared" si="2"/>
        <v>1.7097000000000001E-2</v>
      </c>
      <c r="G12" s="111">
        <f t="shared" si="3"/>
        <v>827.34042066753898</v>
      </c>
      <c r="H12" s="112">
        <f t="shared" si="4"/>
        <v>84.57807719655213</v>
      </c>
      <c r="I12" s="39">
        <f t="shared" si="5"/>
        <v>1.9354653881902608</v>
      </c>
      <c r="J12" s="39">
        <f t="shared" si="6"/>
        <v>1.9354653881902608</v>
      </c>
      <c r="K12" s="112">
        <f t="shared" si="7"/>
        <v>83.27083349550476</v>
      </c>
      <c r="L12" s="112">
        <f t="shared" si="8"/>
        <v>0.93973786402375414</v>
      </c>
      <c r="M12" s="39">
        <f t="shared" si="0"/>
        <v>1000.0000000000001</v>
      </c>
      <c r="N12" s="38">
        <f t="shared" si="9"/>
        <v>1425976.6192455688</v>
      </c>
      <c r="O12" s="37">
        <f t="shared" si="10"/>
        <v>915.78942864047156</v>
      </c>
      <c r="P12" s="36">
        <f>(uNES*G12+ uOCEX*H12+uEREX*'D - PH+C'!I12+uHOEX*'D - PH+C'!J12)/(1+oDR)^A$5:A$65536</f>
        <v>551.80676232188182</v>
      </c>
      <c r="Q12" s="33"/>
      <c r="R12" s="33"/>
    </row>
    <row r="13" spans="1:18" x14ac:dyDescent="0.25">
      <c r="A13" s="4">
        <v>7</v>
      </c>
      <c r="C13" s="41" t="e">
        <f t="shared" si="1"/>
        <v>#REF!</v>
      </c>
      <c r="E13" s="41">
        <f t="shared" si="2"/>
        <v>1.8463E-2</v>
      </c>
      <c r="G13" s="111">
        <f t="shared" si="3"/>
        <v>811.81970783024917</v>
      </c>
      <c r="H13" s="112">
        <f t="shared" si="4"/>
        <v>83.108076784155628</v>
      </c>
      <c r="I13" s="39">
        <f t="shared" si="5"/>
        <v>1.9018262347225485</v>
      </c>
      <c r="J13" s="39">
        <f t="shared" si="6"/>
        <v>1.9018262347225485</v>
      </c>
      <c r="K13" s="112">
        <f t="shared" si="7"/>
        <v>100.1790537164938</v>
      </c>
      <c r="L13" s="112">
        <f t="shared" si="8"/>
        <v>1.0895091996563626</v>
      </c>
      <c r="M13" s="39">
        <f t="shared" si="0"/>
        <v>1000.0000000000001</v>
      </c>
      <c r="N13" s="38">
        <f t="shared" si="9"/>
        <v>1320050.6781291887</v>
      </c>
      <c r="O13" s="37">
        <f t="shared" si="10"/>
        <v>898.73143708384987</v>
      </c>
      <c r="P13" s="36">
        <f>(uNES*G13+ uOCEX*H13+uEREX*'D - PH+C'!I13+uHOEX*'D - PH+C'!J13)/(1+oDR)^A$5:A$65536</f>
        <v>533.51519019242107</v>
      </c>
      <c r="Q13" s="33"/>
      <c r="R13" s="33"/>
    </row>
    <row r="14" spans="1:18" x14ac:dyDescent="0.25">
      <c r="A14" s="4">
        <v>8</v>
      </c>
      <c r="C14" s="41" t="e">
        <f t="shared" si="1"/>
        <v>#REF!</v>
      </c>
      <c r="E14" s="41">
        <f t="shared" si="2"/>
        <v>1.9959000000000001E-2</v>
      </c>
      <c r="G14" s="111">
        <f t="shared" si="3"/>
        <v>795.36537762144371</v>
      </c>
      <c r="H14" s="112">
        <f t="shared" si="4"/>
        <v>81.548988696587557</v>
      </c>
      <c r="I14" s="39">
        <f t="shared" si="5"/>
        <v>1.8661484192572575</v>
      </c>
      <c r="J14" s="39">
        <f t="shared" si="6"/>
        <v>1.8661484192572575</v>
      </c>
      <c r="K14" s="112">
        <f t="shared" si="7"/>
        <v>118.11683446925036</v>
      </c>
      <c r="L14" s="112">
        <f t="shared" si="8"/>
        <v>1.2365023742038941</v>
      </c>
      <c r="M14" s="39">
        <f t="shared" si="0"/>
        <v>1000</v>
      </c>
      <c r="N14" s="38">
        <f t="shared" si="9"/>
        <v>1220116.7642544017</v>
      </c>
      <c r="O14" s="37">
        <f t="shared" si="10"/>
        <v>880.64666315654574</v>
      </c>
      <c r="P14" s="36">
        <f>(uNES*G14+ uOCEX*H14+uEREX*'D - PH+C'!I14+uHOEX*'D - PH+C'!J14)/(1+oDR)^A$5:A$65536</f>
        <v>515.04264749906713</v>
      </c>
      <c r="Q14" s="33"/>
      <c r="R14" s="33"/>
    </row>
    <row r="15" spans="1:18" x14ac:dyDescent="0.25">
      <c r="A15" s="4">
        <v>9</v>
      </c>
      <c r="C15" s="41" t="e">
        <f t="shared" si="1"/>
        <v>#REF!</v>
      </c>
      <c r="E15" s="41">
        <f t="shared" si="2"/>
        <v>2.1616E-2</v>
      </c>
      <c r="G15" s="111">
        <f t="shared" si="3"/>
        <v>777.913791423303</v>
      </c>
      <c r="H15" s="112">
        <f t="shared" si="4"/>
        <v>79.896116790097238</v>
      </c>
      <c r="I15" s="39">
        <f t="shared" si="5"/>
        <v>1.8283244763141036</v>
      </c>
      <c r="J15" s="39">
        <f t="shared" si="6"/>
        <v>1.8283244763141036</v>
      </c>
      <c r="K15" s="112">
        <f t="shared" si="7"/>
        <v>137.15289274004226</v>
      </c>
      <c r="L15" s="112">
        <f t="shared" si="8"/>
        <v>1.3805500939294482</v>
      </c>
      <c r="M15" s="39">
        <f t="shared" si="0"/>
        <v>1000.0000000000002</v>
      </c>
      <c r="N15" s="38">
        <f t="shared" si="9"/>
        <v>1125825.179497048</v>
      </c>
      <c r="O15" s="37">
        <f t="shared" si="10"/>
        <v>861.46655716602845</v>
      </c>
      <c r="P15" s="36">
        <f>(uNES*G15+ uOCEX*H15+uEREX*'D - PH+C'!I15+uHOEX*'D - PH+C'!J15)/(1+oDR)^A$5:A$65536</f>
        <v>496.3677038882409</v>
      </c>
      <c r="Q15" s="33"/>
      <c r="R15" s="33"/>
    </row>
    <row r="16" spans="1:18" x14ac:dyDescent="0.25">
      <c r="A16" s="4">
        <v>10</v>
      </c>
      <c r="C16" s="41" t="e">
        <f t="shared" si="1"/>
        <v>#REF!</v>
      </c>
      <c r="E16" s="41">
        <f t="shared" si="2"/>
        <v>2.3528E-2</v>
      </c>
      <c r="G16" s="111">
        <f t="shared" si="3"/>
        <v>759.33756340033983</v>
      </c>
      <c r="H16" s="112">
        <f t="shared" si="4"/>
        <v>78.143068432336406</v>
      </c>
      <c r="I16" s="39">
        <f t="shared" si="5"/>
        <v>1.7882081183554694</v>
      </c>
      <c r="J16" s="39">
        <f t="shared" si="6"/>
        <v>1.7882081183554694</v>
      </c>
      <c r="K16" s="112">
        <f t="shared" si="7"/>
        <v>157.42147789704458</v>
      </c>
      <c r="L16" s="112">
        <f t="shared" si="8"/>
        <v>1.5214740335684105</v>
      </c>
      <c r="M16" s="39">
        <f t="shared" si="0"/>
        <v>1000.0000000000001</v>
      </c>
      <c r="N16" s="38">
        <f t="shared" si="9"/>
        <v>1036766.3057984398</v>
      </c>
      <c r="O16" s="37">
        <f t="shared" si="10"/>
        <v>841.05704806938718</v>
      </c>
      <c r="P16" s="36">
        <f>(uNES*G16+ uOCEX*H16+uEREX*'D - PH+C'!I16+uHOEX*'D - PH+C'!J16)/(1+oDR)^A$5:A$65536</f>
        <v>477.43303329104572</v>
      </c>
      <c r="Q16" s="33"/>
      <c r="R16" s="33"/>
    </row>
    <row r="17" spans="1:18" x14ac:dyDescent="0.25">
      <c r="A17" s="4">
        <v>11</v>
      </c>
      <c r="C17" s="41" t="e">
        <f t="shared" si="1"/>
        <v>#REF!</v>
      </c>
      <c r="E17" s="41">
        <f t="shared" si="2"/>
        <v>2.5693000000000001E-2</v>
      </c>
      <c r="G17" s="111">
        <f t="shared" si="3"/>
        <v>739.54210827762631</v>
      </c>
      <c r="H17" s="112">
        <f t="shared" si="4"/>
        <v>76.277047449526492</v>
      </c>
      <c r="I17" s="39">
        <f t="shared" si="5"/>
        <v>1.7455065206651805</v>
      </c>
      <c r="J17" s="39">
        <f t="shared" si="6"/>
        <v>1.7455065206651805</v>
      </c>
      <c r="K17" s="112">
        <f t="shared" si="7"/>
        <v>179.03075663309136</v>
      </c>
      <c r="L17" s="112">
        <f t="shared" si="8"/>
        <v>1.6590745984256381</v>
      </c>
      <c r="M17" s="39">
        <f t="shared" si="0"/>
        <v>1000.0000000000002</v>
      </c>
      <c r="N17" s="38">
        <f t="shared" si="9"/>
        <v>952614.23542815004</v>
      </c>
      <c r="O17" s="37">
        <f t="shared" si="10"/>
        <v>819.31016876848321</v>
      </c>
      <c r="P17" s="36">
        <f>(uNES*G17+ uOCEX*H17+uEREX*'D - PH+C'!I17+uHOEX*'D - PH+C'!J17)/(1+oDR)^A$5:A$65536</f>
        <v>458.20059935998364</v>
      </c>
      <c r="Q17" s="33"/>
      <c r="R17" s="33"/>
    </row>
    <row r="18" spans="1:18" x14ac:dyDescent="0.25">
      <c r="A18" s="4">
        <v>12</v>
      </c>
      <c r="C18" s="41" t="e">
        <f t="shared" si="1"/>
        <v>#REF!</v>
      </c>
      <c r="E18" s="41">
        <f t="shared" si="2"/>
        <v>2.8041E-2</v>
      </c>
      <c r="G18" s="111">
        <f t="shared" si="3"/>
        <v>718.51327562914844</v>
      </c>
      <c r="H18" s="112">
        <f t="shared" si="4"/>
        <v>74.288552552844934</v>
      </c>
      <c r="I18" s="39">
        <f t="shared" si="5"/>
        <v>1.7000022579213472</v>
      </c>
      <c r="J18" s="39">
        <f t="shared" si="6"/>
        <v>1.7000022579213472</v>
      </c>
      <c r="K18" s="112">
        <f t="shared" si="7"/>
        <v>202.00503307552839</v>
      </c>
      <c r="L18" s="112">
        <f t="shared" si="8"/>
        <v>1.7931342266356338</v>
      </c>
      <c r="M18" s="39">
        <f t="shared" si="0"/>
        <v>1000.0000000000002</v>
      </c>
      <c r="N18" s="38">
        <f t="shared" si="9"/>
        <v>873169.03047072783</v>
      </c>
      <c r="O18" s="37">
        <f t="shared" si="10"/>
        <v>796.20183269783604</v>
      </c>
      <c r="P18" s="36">
        <f>(uNES*G18+ uOCEX*H18+uEREX*'D - PH+C'!I18+uHOEX*'D - PH+C'!J18)/(1+oDR)^A$5:A$65536</f>
        <v>438.68180304157528</v>
      </c>
      <c r="Q18" s="33"/>
      <c r="R18" s="33"/>
    </row>
    <row r="19" spans="1:18" x14ac:dyDescent="0.25">
      <c r="A19" s="4">
        <v>13</v>
      </c>
      <c r="C19" s="41" t="e">
        <f t="shared" si="1"/>
        <v>#REF!</v>
      </c>
      <c r="E19" s="41">
        <f t="shared" si="2"/>
        <v>3.0567E-2</v>
      </c>
      <c r="G19" s="111">
        <f t="shared" si="3"/>
        <v>696.25454697864791</v>
      </c>
      <c r="H19" s="112">
        <f t="shared" si="4"/>
        <v>72.176162302383389</v>
      </c>
      <c r="I19" s="39">
        <f t="shared" si="5"/>
        <v>1.651662802217978</v>
      </c>
      <c r="J19" s="39">
        <f t="shared" si="6"/>
        <v>1.651662802217978</v>
      </c>
      <c r="K19" s="112">
        <f t="shared" si="7"/>
        <v>226.34253449560316</v>
      </c>
      <c r="L19" s="112">
        <f t="shared" si="8"/>
        <v>1.9234306189297332</v>
      </c>
      <c r="M19" s="39">
        <f t="shared" si="0"/>
        <v>1000.0000000000001</v>
      </c>
      <c r="N19" s="38">
        <f t="shared" si="9"/>
        <v>798255.95892475231</v>
      </c>
      <c r="O19" s="37">
        <f t="shared" si="10"/>
        <v>771.73403488546728</v>
      </c>
      <c r="P19" s="36">
        <f>(uNES*G19+ uOCEX*H19+uEREX*'D - PH+C'!I19+uHOEX*'D - PH+C'!J19)/(1+oDR)^A$5:A$65536</f>
        <v>418.90162879799112</v>
      </c>
      <c r="Q19" s="33"/>
      <c r="R19" s="33"/>
    </row>
    <row r="20" spans="1:18" x14ac:dyDescent="0.25">
      <c r="A20" s="4">
        <v>14</v>
      </c>
      <c r="C20" s="41" t="e">
        <f t="shared" si="1"/>
        <v>#REF!</v>
      </c>
      <c r="E20" s="41">
        <f t="shared" si="2"/>
        <v>3.3347000000000002E-2</v>
      </c>
      <c r="G20" s="111">
        <f t="shared" si="3"/>
        <v>672.73149027917623</v>
      </c>
      <c r="H20" s="112">
        <f t="shared" si="4"/>
        <v>69.940226424488159</v>
      </c>
      <c r="I20" s="39">
        <f t="shared" si="5"/>
        <v>1.6004961566128513</v>
      </c>
      <c r="J20" s="39">
        <f t="shared" si="6"/>
        <v>1.6004961566128513</v>
      </c>
      <c r="K20" s="112">
        <f t="shared" si="7"/>
        <v>252.07754935692884</v>
      </c>
      <c r="L20" s="112">
        <f t="shared" si="8"/>
        <v>2.0497416261812589</v>
      </c>
      <c r="M20" s="39">
        <f t="shared" si="0"/>
        <v>1000.0000000000002</v>
      </c>
      <c r="N20" s="38">
        <f t="shared" si="9"/>
        <v>727659.6236441189</v>
      </c>
      <c r="O20" s="37">
        <f t="shared" si="10"/>
        <v>745.8727090168901</v>
      </c>
      <c r="P20" s="36">
        <f>(uNES*G20+ uOCEX*H20+uEREX*'D - PH+C'!I20+uHOEX*'D - PH+C'!J20)/(1+oDR)^A$5:A$65536</f>
        <v>398.86444104965193</v>
      </c>
      <c r="Q20" s="33"/>
      <c r="R20" s="33"/>
    </row>
    <row r="21" spans="1:18" x14ac:dyDescent="0.25">
      <c r="A21" s="4">
        <v>15</v>
      </c>
      <c r="C21" s="41" t="e">
        <f t="shared" si="1"/>
        <v>#REF!</v>
      </c>
      <c r="E21" s="41">
        <f t="shared" si="2"/>
        <v>3.6572E-2</v>
      </c>
      <c r="G21" s="111">
        <f t="shared" si="3"/>
        <v>647.8024215267526</v>
      </c>
      <c r="H21" s="112">
        <f t="shared" si="4"/>
        <v>67.577286147980956</v>
      </c>
      <c r="I21" s="39">
        <f t="shared" si="5"/>
        <v>1.5464231713768279</v>
      </c>
      <c r="J21" s="39">
        <f t="shared" si="6"/>
        <v>1.5464231713768279</v>
      </c>
      <c r="K21" s="112">
        <f t="shared" si="7"/>
        <v>279.35560607109454</v>
      </c>
      <c r="L21" s="112">
        <f t="shared" si="8"/>
        <v>2.1718399114183486</v>
      </c>
      <c r="M21" s="39">
        <f t="shared" si="0"/>
        <v>1000</v>
      </c>
      <c r="N21" s="38">
        <f t="shared" si="9"/>
        <v>661065.72795841796</v>
      </c>
      <c r="O21" s="37">
        <f t="shared" si="10"/>
        <v>718.47255401748714</v>
      </c>
      <c r="P21" s="36">
        <f>(uNES*G21+ uOCEX*H21+uEREX*'D - PH+C'!I21+uHOEX*'D - PH+C'!J21)/(1+oDR)^A$5:A$65536</f>
        <v>378.51573180508353</v>
      </c>
      <c r="Q21" s="33"/>
      <c r="R21" s="33"/>
    </row>
    <row r="22" spans="1:18" x14ac:dyDescent="0.25">
      <c r="A22" s="4">
        <v>16</v>
      </c>
      <c r="C22" s="41" t="e">
        <f t="shared" si="1"/>
        <v>#REF!</v>
      </c>
      <c r="E22" s="41">
        <f t="shared" si="2"/>
        <v>4.0275999999999999E-2</v>
      </c>
      <c r="G22" s="111">
        <f t="shared" si="3"/>
        <v>621.36637254939626</v>
      </c>
      <c r="H22" s="112">
        <f t="shared" si="4"/>
        <v>65.073109018133636</v>
      </c>
      <c r="I22" s="39">
        <f t="shared" si="5"/>
        <v>1.4891181542687455</v>
      </c>
      <c r="J22" s="39">
        <f t="shared" si="6"/>
        <v>1.4891181542687455</v>
      </c>
      <c r="K22" s="112">
        <f t="shared" si="7"/>
        <v>308.29280665670285</v>
      </c>
      <c r="L22" s="112">
        <f t="shared" si="8"/>
        <v>2.2894754672299089</v>
      </c>
      <c r="M22" s="39">
        <f t="shared" si="0"/>
        <v>1000.0000000000002</v>
      </c>
      <c r="N22" s="38">
        <f t="shared" si="9"/>
        <v>598230.71105510427</v>
      </c>
      <c r="O22" s="37">
        <f t="shared" si="10"/>
        <v>689.4177178760674</v>
      </c>
      <c r="P22" s="36">
        <f>(uNES*G22+ uOCEX*H22+uEREX*'D - PH+C'!I22+uHOEX*'D - PH+C'!J22)/(1+oDR)^A$5:A$65536</f>
        <v>357.82124469649023</v>
      </c>
      <c r="Q22" s="33"/>
      <c r="R22" s="33"/>
    </row>
    <row r="23" spans="1:18" x14ac:dyDescent="0.25">
      <c r="A23" s="4">
        <v>17</v>
      </c>
      <c r="C23" s="41" t="e">
        <f t="shared" si="1"/>
        <v>#REF!</v>
      </c>
      <c r="E23" s="41">
        <f t="shared" si="2"/>
        <v>4.4347999999999999E-2</v>
      </c>
      <c r="G23" s="111">
        <f t="shared" si="3"/>
        <v>593.45626685342165</v>
      </c>
      <c r="H23" s="112">
        <f t="shared" si="4"/>
        <v>62.417552570755973</v>
      </c>
      <c r="I23" s="39">
        <f t="shared" si="5"/>
        <v>1.4283490074561425</v>
      </c>
      <c r="J23" s="39">
        <f t="shared" si="6"/>
        <v>1.4283490074561425</v>
      </c>
      <c r="K23" s="112">
        <f t="shared" si="7"/>
        <v>338.86710360907068</v>
      </c>
      <c r="L23" s="112">
        <f t="shared" si="8"/>
        <v>2.4023789518394807</v>
      </c>
      <c r="M23" s="39">
        <f t="shared" si="0"/>
        <v>1000.0000000000002</v>
      </c>
      <c r="N23" s="38">
        <f t="shared" si="9"/>
        <v>539052.58382357692</v>
      </c>
      <c r="O23" s="37">
        <f t="shared" si="10"/>
        <v>658.73051743908991</v>
      </c>
      <c r="P23" s="36">
        <f>(uNES*G23+ uOCEX*H23+uEREX*'D - PH+C'!I23+uHOEX*'D - PH+C'!J23)/(1+oDR)^A$5:A$65536</f>
        <v>336.82081150341349</v>
      </c>
      <c r="Q23" s="33"/>
      <c r="R23" s="33"/>
    </row>
    <row r="24" spans="1:18" x14ac:dyDescent="0.25">
      <c r="A24" s="4">
        <v>18</v>
      </c>
      <c r="C24" s="41" t="e">
        <f t="shared" si="1"/>
        <v>#REF!</v>
      </c>
      <c r="E24" s="41">
        <f t="shared" si="2"/>
        <v>4.8797E-2</v>
      </c>
      <c r="G24" s="111">
        <f t="shared" si="3"/>
        <v>564.13623312997754</v>
      </c>
      <c r="H24" s="112">
        <f t="shared" si="4"/>
        <v>59.61392404096236</v>
      </c>
      <c r="I24" s="39">
        <f t="shared" si="5"/>
        <v>1.3641914129515054</v>
      </c>
      <c r="J24" s="39">
        <f t="shared" si="6"/>
        <v>1.3641914129515054</v>
      </c>
      <c r="K24" s="112">
        <f t="shared" si="7"/>
        <v>371.01117666854594</v>
      </c>
      <c r="L24" s="112">
        <f t="shared" si="8"/>
        <v>2.510283334611159</v>
      </c>
      <c r="M24" s="39">
        <f t="shared" si="0"/>
        <v>1000</v>
      </c>
      <c r="N24" s="38">
        <f t="shared" si="9"/>
        <v>483448.98474917759</v>
      </c>
      <c r="O24" s="37">
        <f t="shared" si="10"/>
        <v>626.47853999684298</v>
      </c>
      <c r="P24" s="36">
        <f>(uNES*G24+ uOCEX*H24+uEREX*'D - PH+C'!I24+uHOEX*'D - PH+C'!J24)/(1+oDR)^A$5:A$65536</f>
        <v>315.57464179781687</v>
      </c>
      <c r="Q24" s="33"/>
      <c r="R24" s="33"/>
    </row>
    <row r="25" spans="1:18" x14ac:dyDescent="0.25">
      <c r="A25" s="4">
        <v>19</v>
      </c>
      <c r="C25" s="41" t="e">
        <f t="shared" si="1"/>
        <v>#REF!</v>
      </c>
      <c r="E25" s="41">
        <f t="shared" si="2"/>
        <v>5.3739000000000002E-2</v>
      </c>
      <c r="G25" s="111">
        <f t="shared" si="3"/>
        <v>533.44730989446111</v>
      </c>
      <c r="H25" s="112">
        <f t="shared" si="4"/>
        <v>56.66866528999266</v>
      </c>
      <c r="I25" s="39">
        <f t="shared" si="5"/>
        <v>1.2967927848351557</v>
      </c>
      <c r="J25" s="39">
        <f t="shared" si="6"/>
        <v>1.2967927848351557</v>
      </c>
      <c r="K25" s="112">
        <f t="shared" si="7"/>
        <v>404.67750692943628</v>
      </c>
      <c r="L25" s="112">
        <f t="shared" si="8"/>
        <v>2.6129323164396192</v>
      </c>
      <c r="M25" s="39">
        <f t="shared" si="0"/>
        <v>999.99999999999989</v>
      </c>
      <c r="N25" s="38">
        <f t="shared" si="9"/>
        <v>431306.65837869892</v>
      </c>
      <c r="O25" s="37">
        <f t="shared" si="10"/>
        <v>592.70956075412403</v>
      </c>
      <c r="P25" s="36">
        <f>(uNES*G25+ uOCEX*H25+uEREX*'D - PH+C'!I25+uHOEX*'D - PH+C'!J25)/(1+oDR)^A$5:A$65536</f>
        <v>294.12978788812063</v>
      </c>
      <c r="Q25" s="33"/>
      <c r="R25" s="33"/>
    </row>
    <row r="26" spans="1:18" x14ac:dyDescent="0.25">
      <c r="A26" s="4">
        <v>20</v>
      </c>
      <c r="C26" s="41" t="e">
        <f t="shared" si="1"/>
        <v>#REF!</v>
      </c>
      <c r="E26" s="41">
        <f t="shared" si="2"/>
        <v>5.9402999999999997E-2</v>
      </c>
      <c r="G26" s="111">
        <f t="shared" si="3"/>
        <v>501.36529575776103</v>
      </c>
      <c r="H26" s="112">
        <f t="shared" si="4"/>
        <v>53.585898722607382</v>
      </c>
      <c r="I26" s="39">
        <f t="shared" si="5"/>
        <v>1.2262474592754546</v>
      </c>
      <c r="J26" s="39">
        <f t="shared" si="6"/>
        <v>1.2262474592754546</v>
      </c>
      <c r="K26" s="112">
        <f t="shared" si="7"/>
        <v>439.8862329669135</v>
      </c>
      <c r="L26" s="112">
        <f t="shared" si="8"/>
        <v>2.7100776341671704</v>
      </c>
      <c r="M26" s="39">
        <f t="shared" si="0"/>
        <v>1000</v>
      </c>
      <c r="N26" s="38">
        <f t="shared" si="9"/>
        <v>382456.79256647814</v>
      </c>
      <c r="O26" s="37">
        <f t="shared" si="10"/>
        <v>557.40368939891925</v>
      </c>
      <c r="P26" s="36">
        <f>(uNES*G26+ uOCEX*H26+uEREX*'D - PH+C'!I26+uHOEX*'D - PH+C'!J26)/(1+oDR)^A$5:A$65536</f>
        <v>272.49767564239511</v>
      </c>
      <c r="Q26" s="33"/>
      <c r="R26" s="33"/>
    </row>
    <row r="27" spans="1:18" x14ac:dyDescent="0.25">
      <c r="A27" s="4">
        <v>21</v>
      </c>
      <c r="C27" s="41" t="e">
        <f t="shared" si="1"/>
        <v>#REF!</v>
      </c>
      <c r="E27" s="41">
        <f t="shared" si="2"/>
        <v>6.5873000000000001E-2</v>
      </c>
      <c r="G27" s="111">
        <f t="shared" si="3"/>
        <v>467.92625250931002</v>
      </c>
      <c r="H27" s="112">
        <f t="shared" si="4"/>
        <v>50.363193258619596</v>
      </c>
      <c r="I27" s="39">
        <f t="shared" si="5"/>
        <v>1.1524998039890293</v>
      </c>
      <c r="J27" s="39">
        <f t="shared" si="6"/>
        <v>1.1524998039890293</v>
      </c>
      <c r="K27" s="112">
        <f t="shared" si="7"/>
        <v>476.60408619868849</v>
      </c>
      <c r="L27" s="112">
        <f t="shared" si="8"/>
        <v>2.8014684254037712</v>
      </c>
      <c r="M27" s="39">
        <f t="shared" si="0"/>
        <v>999.99999999999989</v>
      </c>
      <c r="N27" s="38">
        <f t="shared" si="9"/>
        <v>336779.12354907318</v>
      </c>
      <c r="O27" s="37">
        <f t="shared" si="10"/>
        <v>520.59444537590764</v>
      </c>
      <c r="P27" s="36">
        <f>(uNES*G27+ uOCEX*H27+uEREX*'D - PH+C'!I27+uHOEX*'D - PH+C'!J27)/(1+oDR)^A$5:A$65536</f>
        <v>250.7162381034708</v>
      </c>
      <c r="Q27" s="33"/>
      <c r="R27" s="33"/>
    </row>
    <row r="28" spans="1:18" x14ac:dyDescent="0.25">
      <c r="A28" s="4">
        <v>22</v>
      </c>
      <c r="C28" s="41" t="e">
        <f t="shared" si="1"/>
        <v>#REF!</v>
      </c>
      <c r="E28" s="41">
        <f t="shared" si="2"/>
        <v>7.3081999999999994E-2</v>
      </c>
      <c r="G28" s="111">
        <f t="shared" si="3"/>
        <v>433.30753503063659</v>
      </c>
      <c r="H28" s="112">
        <f t="shared" si="4"/>
        <v>47.004171380250966</v>
      </c>
      <c r="I28" s="39">
        <f t="shared" si="5"/>
        <v>1.0756327150311196</v>
      </c>
      <c r="J28" s="39">
        <f t="shared" si="6"/>
        <v>1.0756327150311196</v>
      </c>
      <c r="K28" s="112">
        <f t="shared" si="7"/>
        <v>514.6501694556506</v>
      </c>
      <c r="L28" s="112">
        <f t="shared" si="8"/>
        <v>2.88685870339962</v>
      </c>
      <c r="M28" s="39">
        <f t="shared" si="0"/>
        <v>1000</v>
      </c>
      <c r="N28" s="38">
        <f t="shared" si="9"/>
        <v>294245.25461921463</v>
      </c>
      <c r="O28" s="37">
        <f t="shared" si="10"/>
        <v>482.46297184094982</v>
      </c>
      <c r="P28" s="36">
        <f>(uNES*G28+ uOCEX*H28+uEREX*'D - PH+C'!I28+uHOEX*'D - PH+C'!J28)/(1+oDR)^A$5:A$65536</f>
        <v>228.89236906376334</v>
      </c>
      <c r="Q28" s="33"/>
      <c r="R28" s="33"/>
    </row>
    <row r="29" spans="1:18" x14ac:dyDescent="0.25">
      <c r="A29" s="4">
        <v>23</v>
      </c>
      <c r="C29" s="41" t="e">
        <f t="shared" si="1"/>
        <v>#REF!</v>
      </c>
      <c r="E29" s="41">
        <f t="shared" si="2"/>
        <v>8.1070000000000003E-2</v>
      </c>
      <c r="G29" s="111">
        <f t="shared" si="3"/>
        <v>397.75177022803445</v>
      </c>
      <c r="H29" s="112">
        <f t="shared" si="4"/>
        <v>43.526648756534357</v>
      </c>
      <c r="I29" s="39">
        <f t="shared" si="5"/>
        <v>0.99605388210009083</v>
      </c>
      <c r="J29" s="39">
        <f t="shared" si="6"/>
        <v>0.99605388210009083</v>
      </c>
      <c r="K29" s="112">
        <f t="shared" si="7"/>
        <v>553.76344258279642</v>
      </c>
      <c r="L29" s="112">
        <f t="shared" si="8"/>
        <v>2.9660306684346565</v>
      </c>
      <c r="M29" s="39">
        <f t="shared" si="0"/>
        <v>1000.0000000000001</v>
      </c>
      <c r="N29" s="38">
        <f t="shared" si="9"/>
        <v>254845.69721204942</v>
      </c>
      <c r="O29" s="37">
        <f t="shared" si="10"/>
        <v>443.27052674876899</v>
      </c>
      <c r="P29" s="36">
        <f>(uNES*G29+ uOCEX*H29+uEREX*'D - PH+C'!I29+uHOEX*'D - PH+C'!J29)/(1+oDR)^A$5:A$65536</f>
        <v>207.16405273610155</v>
      </c>
      <c r="Q29" s="33"/>
      <c r="R29" s="33"/>
    </row>
    <row r="30" spans="1:18" x14ac:dyDescent="0.25">
      <c r="A30" s="4">
        <v>24</v>
      </c>
      <c r="C30" s="41" t="e">
        <f t="shared" si="1"/>
        <v>#REF!</v>
      </c>
      <c r="E30" s="41">
        <f t="shared" si="2"/>
        <v>8.9946999999999999E-2</v>
      </c>
      <c r="G30" s="111">
        <f t="shared" si="3"/>
        <v>361.54325495003968</v>
      </c>
      <c r="H30" s="112">
        <f t="shared" si="4"/>
        <v>39.954997767997114</v>
      </c>
      <c r="I30" s="39">
        <f t="shared" si="5"/>
        <v>0.91432103718160673</v>
      </c>
      <c r="J30" s="39">
        <f t="shared" si="6"/>
        <v>0.91432103718160673</v>
      </c>
      <c r="K30" s="112">
        <f t="shared" si="7"/>
        <v>593.63429665226795</v>
      </c>
      <c r="L30" s="112">
        <f t="shared" si="8"/>
        <v>3.0388085553320781</v>
      </c>
      <c r="M30" s="39">
        <f t="shared" si="0"/>
        <v>1000</v>
      </c>
      <c r="N30" s="38">
        <f t="shared" si="9"/>
        <v>218567.24057285648</v>
      </c>
      <c r="O30" s="37">
        <f t="shared" si="10"/>
        <v>403.32689479240003</v>
      </c>
      <c r="P30" s="36">
        <f>(uNES*G30+ uOCEX*H30+uEREX*'D - PH+C'!I30+uHOEX*'D - PH+C'!J30)/(1+oDR)^A$5:A$65536</f>
        <v>185.68364670126056</v>
      </c>
      <c r="Q30" s="33"/>
      <c r="R30" s="33"/>
    </row>
    <row r="31" spans="1:18" x14ac:dyDescent="0.25">
      <c r="A31" s="4">
        <v>25</v>
      </c>
      <c r="C31" s="41" t="e">
        <f t="shared" si="1"/>
        <v>#REF!</v>
      </c>
      <c r="E31" s="41">
        <f t="shared" si="2"/>
        <v>9.9842E-2</v>
      </c>
      <c r="G31" s="111">
        <f t="shared" si="3"/>
        <v>325.01172069268523</v>
      </c>
      <c r="H31" s="112">
        <f t="shared" si="4"/>
        <v>36.317776628075201</v>
      </c>
      <c r="I31" s="39">
        <f t="shared" si="5"/>
        <v>0.83108769990493747</v>
      </c>
      <c r="J31" s="39">
        <f t="shared" si="6"/>
        <v>0.83108769990493747</v>
      </c>
      <c r="K31" s="112">
        <f t="shared" si="7"/>
        <v>633.9032604821308</v>
      </c>
      <c r="L31" s="112">
        <f t="shared" si="8"/>
        <v>3.1050667972989765</v>
      </c>
      <c r="M31" s="39">
        <f t="shared" si="0"/>
        <v>1000</v>
      </c>
      <c r="N31" s="38">
        <f t="shared" si="9"/>
        <v>185392.65531450484</v>
      </c>
      <c r="O31" s="37">
        <f t="shared" si="10"/>
        <v>362.99167272057031</v>
      </c>
      <c r="P31" s="36">
        <f>(uNES*G31+ uOCEX*H31+uEREX*'D - PH+C'!I31+uHOEX*'D - PH+C'!J31)/(1+oDR)^A$5:A$65536</f>
        <v>164.61729703730828</v>
      </c>
      <c r="Q31" s="33"/>
      <c r="R31" s="33"/>
    </row>
    <row r="32" spans="1:18" x14ac:dyDescent="0.25">
      <c r="A32" s="4">
        <v>26</v>
      </c>
      <c r="C32" s="41" t="e">
        <f t="shared" si="1"/>
        <v>#REF!</v>
      </c>
      <c r="E32" s="41">
        <f t="shared" si="2"/>
        <v>0.110863</v>
      </c>
      <c r="G32" s="111">
        <f t="shared" si="3"/>
        <v>288.54732435941622</v>
      </c>
      <c r="H32" s="112">
        <f t="shared" si="4"/>
        <v>32.648107555635129</v>
      </c>
      <c r="I32" s="39">
        <f t="shared" si="5"/>
        <v>0.74711183155651928</v>
      </c>
      <c r="J32" s="39">
        <f t="shared" si="6"/>
        <v>0.74711183155651928</v>
      </c>
      <c r="K32" s="112">
        <f t="shared" si="7"/>
        <v>674.14560629495145</v>
      </c>
      <c r="L32" s="112">
        <f t="shared" si="8"/>
        <v>3.1647381268843384</v>
      </c>
      <c r="M32" s="39">
        <f t="shared" si="0"/>
        <v>1000.0000000000002</v>
      </c>
      <c r="N32" s="38">
        <f t="shared" si="9"/>
        <v>155306.5268190972</v>
      </c>
      <c r="O32" s="37">
        <f t="shared" si="10"/>
        <v>322.68965557816438</v>
      </c>
      <c r="P32" s="36">
        <f>(uNES*G32+ uOCEX*H32+uEREX*'D - PH+C'!I32+uHOEX*'D - PH+C'!J32)/(1+oDR)^A$5:A$65536</f>
        <v>144.15054987159957</v>
      </c>
      <c r="Q32" s="33"/>
      <c r="R32" s="33"/>
    </row>
    <row r="33" spans="1:18" x14ac:dyDescent="0.25">
      <c r="A33" s="4">
        <v>27</v>
      </c>
      <c r="C33" s="41" t="e">
        <f t="shared" si="1"/>
        <v>#REF!</v>
      </c>
      <c r="E33" s="41">
        <f t="shared" si="2"/>
        <v>0.123088</v>
      </c>
      <c r="G33" s="111">
        <f t="shared" si="3"/>
        <v>252.60558208283584</v>
      </c>
      <c r="H33" s="112">
        <f t="shared" si="4"/>
        <v>28.985182628181374</v>
      </c>
      <c r="I33" s="39">
        <f t="shared" si="5"/>
        <v>0.66329029468058909</v>
      </c>
      <c r="J33" s="39">
        <f t="shared" si="6"/>
        <v>0.66329029468058909</v>
      </c>
      <c r="K33" s="112">
        <f t="shared" si="7"/>
        <v>713.86483062075649</v>
      </c>
      <c r="L33" s="112">
        <f t="shared" si="8"/>
        <v>3.2178240788652497</v>
      </c>
      <c r="M33" s="39">
        <f t="shared" si="0"/>
        <v>1000.0000000000001</v>
      </c>
      <c r="N33" s="38">
        <f t="shared" si="9"/>
        <v>128294.05695793629</v>
      </c>
      <c r="O33" s="37">
        <f t="shared" si="10"/>
        <v>282.91734530037837</v>
      </c>
      <c r="P33" s="36">
        <f>(uNES*G33+ uOCEX*H33+uEREX*'D - PH+C'!I33+uHOEX*'D - PH+C'!J33)/(1+oDR)^A$5:A$65536</f>
        <v>124.48935427230246</v>
      </c>
      <c r="Q33" s="33"/>
      <c r="R33" s="33"/>
    </row>
    <row r="34" spans="1:18" x14ac:dyDescent="0.25">
      <c r="A34" s="4">
        <v>28</v>
      </c>
      <c r="C34" s="41" t="e">
        <f t="shared" si="1"/>
        <v>#REF!</v>
      </c>
      <c r="E34" s="41">
        <f t="shared" si="2"/>
        <v>0.13656299999999999</v>
      </c>
      <c r="G34" s="111">
        <f t="shared" si="3"/>
        <v>217.69862151246184</v>
      </c>
      <c r="H34" s="112">
        <f t="shared" si="4"/>
        <v>25.374759394576667</v>
      </c>
      <c r="I34" s="39">
        <f t="shared" si="5"/>
        <v>0.58067019456740354</v>
      </c>
      <c r="J34" s="39">
        <f t="shared" si="6"/>
        <v>0.58067019456740354</v>
      </c>
      <c r="K34" s="112">
        <f t="shared" si="7"/>
        <v>752.50087204701208</v>
      </c>
      <c r="L34" s="112">
        <f t="shared" si="8"/>
        <v>3.2644066568147569</v>
      </c>
      <c r="M34" s="39">
        <f t="shared" si="0"/>
        <v>1000.0000000000002</v>
      </c>
      <c r="N34" s="38">
        <f t="shared" si="9"/>
        <v>104333.37723017352</v>
      </c>
      <c r="O34" s="37">
        <f t="shared" si="10"/>
        <v>244.23472129617332</v>
      </c>
      <c r="P34" s="36">
        <f>(uNES*G34+ uOCEX*H34+uEREX*'D - PH+C'!I34+uHOEX*'D - PH+C'!J34)/(1+oDR)^A$5:A$65536</f>
        <v>105.85447647226839</v>
      </c>
      <c r="Q34" s="33"/>
      <c r="R34" s="33"/>
    </row>
    <row r="35" spans="1:18" x14ac:dyDescent="0.25">
      <c r="A35" s="4">
        <v>29</v>
      </c>
      <c r="C35" s="41" t="e">
        <f t="shared" si="1"/>
        <v>#REF!</v>
      </c>
      <c r="E35" s="41">
        <f t="shared" si="2"/>
        <v>0.15129899999999999</v>
      </c>
      <c r="G35" s="111">
        <f t="shared" si="3"/>
        <v>184.37286037364572</v>
      </c>
      <c r="H35" s="112">
        <f t="shared" si="4"/>
        <v>21.868282149039185</v>
      </c>
      <c r="I35" s="39">
        <f t="shared" si="5"/>
        <v>0.50042877068822389</v>
      </c>
      <c r="J35" s="39">
        <f t="shared" si="6"/>
        <v>0.50042877068822389</v>
      </c>
      <c r="K35" s="112">
        <f t="shared" si="7"/>
        <v>789.45334114440175</v>
      </c>
      <c r="L35" s="112">
        <f t="shared" si="8"/>
        <v>3.3046587915370189</v>
      </c>
      <c r="M35" s="39">
        <f t="shared" si="0"/>
        <v>1000.0000000000001</v>
      </c>
      <c r="N35" s="38">
        <f t="shared" si="9"/>
        <v>83384.015002713335</v>
      </c>
      <c r="O35" s="37">
        <f t="shared" si="10"/>
        <v>207.24200006406136</v>
      </c>
      <c r="P35" s="36">
        <f>(uNES*G35+ uOCEX*H35+uEREX*'D - PH+C'!I35+uHOEX*'D - PH+C'!J35)/(1+oDR)^A$5:A$65536</f>
        <v>88.469907342455457</v>
      </c>
      <c r="Q35" s="33"/>
      <c r="R35" s="33"/>
    </row>
    <row r="36" spans="1:18" x14ac:dyDescent="0.25">
      <c r="A36" s="4">
        <v>30</v>
      </c>
      <c r="C36" s="41" t="e">
        <f t="shared" si="1"/>
        <v>#REF!</v>
      </c>
      <c r="E36" s="41">
        <f t="shared" si="2"/>
        <v>0.167291</v>
      </c>
      <c r="G36" s="111">
        <f t="shared" si="3"/>
        <v>153.16980241768769</v>
      </c>
      <c r="H36" s="112">
        <f t="shared" si="4"/>
        <v>18.520639695669775</v>
      </c>
      <c r="I36" s="39">
        <f t="shared" si="5"/>
        <v>0.42382208589122128</v>
      </c>
      <c r="J36" s="39">
        <f t="shared" si="6"/>
        <v>0.42382208589122128</v>
      </c>
      <c r="K36" s="112">
        <f t="shared" si="7"/>
        <v>824.12306257711862</v>
      </c>
      <c r="L36" s="112">
        <f t="shared" si="8"/>
        <v>3.3388511377415848</v>
      </c>
      <c r="M36" s="39">
        <f t="shared" si="0"/>
        <v>1000.0000000000001</v>
      </c>
      <c r="N36" s="38">
        <f t="shared" si="9"/>
        <v>65372.138143478478</v>
      </c>
      <c r="O36" s="37">
        <f t="shared" si="10"/>
        <v>172.53808628513991</v>
      </c>
      <c r="P36" s="36">
        <f>(uNES*G36+ uOCEX*H36+uEREX*'D - PH+C'!I36+uHOEX*'D - PH+C'!J36)/(1+oDR)^A$5:A$65536</f>
        <v>72.544495383809192</v>
      </c>
      <c r="Q36" s="33"/>
      <c r="R36" s="33"/>
    </row>
    <row r="37" spans="1:18" x14ac:dyDescent="0.25">
      <c r="A37" s="4">
        <v>31</v>
      </c>
      <c r="C37" s="41" t="e">
        <f t="shared" si="1"/>
        <v>#REF!</v>
      </c>
      <c r="E37" s="41">
        <f t="shared" si="2"/>
        <v>0.18451999999999999</v>
      </c>
      <c r="G37" s="111">
        <f t="shared" si="3"/>
        <v>124.58244045700513</v>
      </c>
      <c r="H37" s="112">
        <f t="shared" si="4"/>
        <v>15.386227219591456</v>
      </c>
      <c r="I37" s="39">
        <f t="shared" si="5"/>
        <v>0.35209490716069525</v>
      </c>
      <c r="J37" s="39">
        <f t="shared" si="6"/>
        <v>0.35209490716069525</v>
      </c>
      <c r="K37" s="112">
        <f t="shared" si="7"/>
        <v>855.95979025845259</v>
      </c>
      <c r="L37" s="112">
        <f t="shared" si="8"/>
        <v>3.3673522506294904</v>
      </c>
      <c r="M37" s="39">
        <f t="shared" si="0"/>
        <v>1000</v>
      </c>
      <c r="N37" s="38">
        <f t="shared" si="9"/>
        <v>50179.575760767264</v>
      </c>
      <c r="O37" s="37">
        <f t="shared" si="10"/>
        <v>140.67285749091801</v>
      </c>
      <c r="P37" s="36">
        <f>(uNES*G37+ uOCEX*H37+uEREX*'D - PH+C'!I37+uHOEX*'D - PH+C'!J37)/(1+oDR)^A$5:A$65536</f>
        <v>58.252700240022591</v>
      </c>
      <c r="Q37" s="33"/>
      <c r="R37" s="33"/>
    </row>
    <row r="38" spans="1:18" x14ac:dyDescent="0.25">
      <c r="A38" s="4">
        <v>32</v>
      </c>
      <c r="C38" s="41" t="e">
        <f t="shared" si="1"/>
        <v>#REF!</v>
      </c>
      <c r="E38" s="41">
        <f t="shared" si="2"/>
        <v>0.202954</v>
      </c>
      <c r="G38" s="111">
        <f t="shared" si="3"/>
        <v>99.012141754824697</v>
      </c>
      <c r="H38" s="112">
        <f t="shared" si="4"/>
        <v>12.514566880588667</v>
      </c>
      <c r="I38" s="39">
        <f t="shared" si="5"/>
        <v>0.28638048828283047</v>
      </c>
      <c r="J38" s="39">
        <f t="shared" si="6"/>
        <v>0.28638048828283047</v>
      </c>
      <c r="K38" s="112">
        <f t="shared" si="7"/>
        <v>884.50990937766437</v>
      </c>
      <c r="L38" s="112">
        <f t="shared" si="8"/>
        <v>3.3906210103566852</v>
      </c>
      <c r="M38" s="39">
        <f t="shared" si="0"/>
        <v>1000</v>
      </c>
      <c r="N38" s="38">
        <f t="shared" si="9"/>
        <v>37638.093725760664</v>
      </c>
      <c r="O38" s="37">
        <f t="shared" si="10"/>
        <v>112.09946961197902</v>
      </c>
      <c r="P38" s="36">
        <f>(uNES*G38+ uOCEX*H38+uEREX*'D - PH+C'!I38+uHOEX*'D - PH+C'!J38)/(1+oDR)^A$5:A$65536</f>
        <v>45.71712607619255</v>
      </c>
      <c r="Q38" s="33"/>
      <c r="R38" s="33"/>
    </row>
    <row r="39" spans="1:18" x14ac:dyDescent="0.25">
      <c r="A39" s="4">
        <v>33</v>
      </c>
      <c r="C39" s="41" t="e">
        <f t="shared" ref="C39:C66" si="11">1-EXP(lambda*(A38^gamma-A39^gamma))</f>
        <v>#REF!</v>
      </c>
      <c r="E39" s="41">
        <f t="shared" si="2"/>
        <v>0.222555</v>
      </c>
      <c r="G39" s="111">
        <f t="shared" ref="G39:G66" si="12">H38*(1-mr)+I38*(1-mr)+J38*(1-(mr+amr+amrHOEX))+G38*(1-(mr+rrOSEX+rrEREX+rrHOEX+amr))</f>
        <v>76.731422130778753</v>
      </c>
      <c r="H39" s="112">
        <f t="shared" si="4"/>
        <v>9.9459768602679226</v>
      </c>
      <c r="I39" s="39">
        <f t="shared" si="5"/>
        <v>0.22760146131076328</v>
      </c>
      <c r="J39" s="39">
        <f t="shared" si="6"/>
        <v>0.22760146131076328</v>
      </c>
      <c r="K39" s="112">
        <f t="shared" ref="K39:K66" si="13">(G38*mr)+(H38*mr)+(I38*mr)+(J38*mr)+K38</f>
        <v>909.4582068371584</v>
      </c>
      <c r="L39" s="112">
        <f t="shared" si="8"/>
        <v>3.4091912491735079</v>
      </c>
      <c r="M39" s="39">
        <f t="shared" si="0"/>
        <v>1000.0000000000001</v>
      </c>
      <c r="N39" s="38">
        <f t="shared" si="9"/>
        <v>27529.705760821962</v>
      </c>
      <c r="O39" s="37">
        <f t="shared" si="10"/>
        <v>87.132601913668211</v>
      </c>
      <c r="P39" s="36">
        <f>(uNES*G39+ uOCEX*H39+uEREX*'D - PH+C'!I39+uHOEX*'D - PH+C'!J39)/(1+oDR)^A$5:A$65536</f>
        <v>34.995129842272632</v>
      </c>
      <c r="Q39" s="33"/>
      <c r="R39" s="33"/>
    </row>
    <row r="40" spans="1:18" x14ac:dyDescent="0.25">
      <c r="A40" s="4">
        <v>34</v>
      </c>
      <c r="C40" s="41" t="e">
        <f t="shared" si="11"/>
        <v>#REF!</v>
      </c>
      <c r="E40" s="41">
        <f t="shared" si="2"/>
        <v>0.24327199999999999</v>
      </c>
      <c r="G40" s="111">
        <f t="shared" si="12"/>
        <v>57.860620860201834</v>
      </c>
      <c r="H40" s="112">
        <f t="shared" si="4"/>
        <v>7.707831943055484</v>
      </c>
      <c r="I40" s="39">
        <f t="shared" si="5"/>
        <v>0.17638426455477907</v>
      </c>
      <c r="J40" s="39">
        <f t="shared" si="6"/>
        <v>0.17638426455477907</v>
      </c>
      <c r="K40" s="112">
        <f t="shared" si="13"/>
        <v>930.65512916990031</v>
      </c>
      <c r="L40" s="112">
        <f t="shared" si="8"/>
        <v>3.4236494977329515</v>
      </c>
      <c r="M40" s="39">
        <f t="shared" si="0"/>
        <v>1000.0000000000001</v>
      </c>
      <c r="N40" s="38">
        <f t="shared" si="9"/>
        <v>19593.978835238187</v>
      </c>
      <c r="O40" s="37">
        <f t="shared" si="10"/>
        <v>65.921221332366883</v>
      </c>
      <c r="P40" s="36">
        <f>(uNES*G40+ uOCEX*H40+uEREX*'D - PH+C'!I40+uHOEX*'D - PH+C'!J40)/(1+oDR)^A$5:A$65536</f>
        <v>26.072590478727609</v>
      </c>
      <c r="Q40" s="33"/>
      <c r="R40" s="33"/>
    </row>
    <row r="41" spans="1:18" x14ac:dyDescent="0.25">
      <c r="A41" s="4">
        <v>35</v>
      </c>
      <c r="C41" s="41" t="e">
        <f t="shared" si="11"/>
        <v>#REF!</v>
      </c>
      <c r="E41" s="41">
        <f t="shared" si="2"/>
        <v>0.26382100000000003</v>
      </c>
      <c r="G41" s="111">
        <f t="shared" si="12"/>
        <v>42.440628643756803</v>
      </c>
      <c r="H41" s="112">
        <f t="shared" si="4"/>
        <v>5.8122204610149311</v>
      </c>
      <c r="I41" s="39">
        <f t="shared" si="5"/>
        <v>0.13300552464302448</v>
      </c>
      <c r="J41" s="39">
        <f t="shared" si="6"/>
        <v>0.13300552464302448</v>
      </c>
      <c r="K41" s="112">
        <f t="shared" si="13"/>
        <v>948.04653170302663</v>
      </c>
      <c r="L41" s="112">
        <f t="shared" si="8"/>
        <v>3.4346081429156787</v>
      </c>
      <c r="M41" s="39">
        <f t="shared" si="0"/>
        <v>1000</v>
      </c>
      <c r="N41" s="38">
        <f t="shared" si="9"/>
        <v>13565.664529004311</v>
      </c>
      <c r="O41" s="37">
        <f t="shared" si="10"/>
        <v>48.518860154057784</v>
      </c>
      <c r="P41" s="36">
        <f>(uNES*G41+ uOCEX*H41+uEREX*'D - PH+C'!I41+uHOEX*'D - PH+C'!J41)/(1+oDR)^A$5:A$65536</f>
        <v>18.897085917946626</v>
      </c>
      <c r="Q41" s="33"/>
      <c r="R41" s="33"/>
    </row>
    <row r="42" spans="1:18" x14ac:dyDescent="0.25">
      <c r="A42" s="4">
        <v>36</v>
      </c>
      <c r="C42" s="41" t="e">
        <f t="shared" si="11"/>
        <v>#REF!</v>
      </c>
      <c r="E42" s="41">
        <f t="shared" si="2"/>
        <v>0.283833</v>
      </c>
      <c r="G42" s="111">
        <f t="shared" si="12"/>
        <v>30.281157106208735</v>
      </c>
      <c r="H42" s="112">
        <f t="shared" si="4"/>
        <v>4.2632499706073705</v>
      </c>
      <c r="I42" s="39">
        <f t="shared" si="5"/>
        <v>9.7559237958770764E-2</v>
      </c>
      <c r="J42" s="39">
        <f t="shared" si="6"/>
        <v>9.7559237958770764E-2</v>
      </c>
      <c r="K42" s="112">
        <f t="shared" si="13"/>
        <v>961.81778533713327</v>
      </c>
      <c r="L42" s="112">
        <f t="shared" si="8"/>
        <v>3.4426891101331325</v>
      </c>
      <c r="M42" s="39">
        <f t="shared" si="0"/>
        <v>1000.0000000000001</v>
      </c>
      <c r="N42" s="38">
        <f t="shared" si="9"/>
        <v>9136.0316395316204</v>
      </c>
      <c r="O42" s="37">
        <f t="shared" si="10"/>
        <v>34.739525552733646</v>
      </c>
      <c r="P42" s="36">
        <f>(uNES*G42+ uOCEX*H42+uEREX*'D - PH+C'!I42+uHOEX*'D - PH+C'!J42)/(1+oDR)^A$5:A$65536</f>
        <v>13.323828153905495</v>
      </c>
      <c r="Q42" s="33"/>
      <c r="R42" s="33"/>
    </row>
    <row r="43" spans="1:18" x14ac:dyDescent="0.25">
      <c r="A43" s="4">
        <v>37</v>
      </c>
      <c r="C43" s="41" t="e">
        <f t="shared" si="11"/>
        <v>#REF!</v>
      </c>
      <c r="E43" s="41">
        <f t="shared" si="2"/>
        <v>0.30291600000000002</v>
      </c>
      <c r="G43" s="111">
        <f t="shared" si="12"/>
        <v>21.029548723980703</v>
      </c>
      <c r="H43" s="112">
        <f t="shared" si="4"/>
        <v>3.0418056062888255</v>
      </c>
      <c r="I43" s="39">
        <f t="shared" si="5"/>
        <v>6.9607984287624755E-2</v>
      </c>
      <c r="J43" s="39">
        <f t="shared" si="6"/>
        <v>6.9607984287624755E-2</v>
      </c>
      <c r="K43" s="112">
        <f t="shared" si="13"/>
        <v>972.34094345946517</v>
      </c>
      <c r="L43" s="112">
        <f t="shared" si="8"/>
        <v>3.4484862416901358</v>
      </c>
      <c r="M43" s="39">
        <f t="shared" si="0"/>
        <v>1000.0000000000001</v>
      </c>
      <c r="N43" s="38">
        <f t="shared" si="9"/>
        <v>5988.8273089118229</v>
      </c>
      <c r="O43" s="37">
        <f t="shared" si="10"/>
        <v>24.210570298844779</v>
      </c>
      <c r="P43" s="36">
        <f>(uNES*G43+ uOCEX*H43+uEREX*'D - PH+C'!I43+uHOEX*'D - PH+C'!J43)/(1+oDR)^A$5:A$65536</f>
        <v>9.1439017600049866</v>
      </c>
      <c r="Q43" s="33"/>
      <c r="R43" s="33"/>
    </row>
    <row r="44" spans="1:18" x14ac:dyDescent="0.25">
      <c r="A44" s="4">
        <v>38</v>
      </c>
      <c r="C44" s="41" t="e">
        <f t="shared" si="11"/>
        <v>#REF!</v>
      </c>
      <c r="E44" s="41">
        <f t="shared" si="2"/>
        <v>0.32067200000000001</v>
      </c>
      <c r="G44" s="111">
        <f t="shared" si="12"/>
        <v>14.233726042094226</v>
      </c>
      <c r="H44" s="112">
        <f t="shared" si="4"/>
        <v>2.112462181744462</v>
      </c>
      <c r="I44" s="39">
        <f t="shared" si="5"/>
        <v>4.8341101762407579E-2</v>
      </c>
      <c r="J44" s="39">
        <f t="shared" si="6"/>
        <v>4.8341101762407579E-2</v>
      </c>
      <c r="K44" s="112">
        <f t="shared" si="13"/>
        <v>980.10459545833635</v>
      </c>
      <c r="L44" s="112">
        <f t="shared" si="8"/>
        <v>3.4525341143002559</v>
      </c>
      <c r="M44" s="39">
        <f t="shared" si="0"/>
        <v>1000.0000000000001</v>
      </c>
      <c r="N44" s="38">
        <f t="shared" si="9"/>
        <v>3826.0598201304374</v>
      </c>
      <c r="O44" s="37">
        <f t="shared" si="10"/>
        <v>16.442870427363502</v>
      </c>
      <c r="P44" s="36">
        <f>(uNES*G44+ uOCEX*H44+uEREX*'D - PH+C'!I44+uHOEX*'D - PH+C'!J44)/(1+oDR)^A$5:A$65536</f>
        <v>6.1154963418586563</v>
      </c>
      <c r="Q44" s="33"/>
      <c r="R44" s="33"/>
    </row>
    <row r="45" spans="1:18" x14ac:dyDescent="0.25">
      <c r="A45" s="4">
        <v>39</v>
      </c>
      <c r="C45" s="41" t="e">
        <f t="shared" si="11"/>
        <v>#REF!</v>
      </c>
      <c r="E45" s="41">
        <f t="shared" si="2"/>
        <v>0.33670600000000001</v>
      </c>
      <c r="G45" s="111">
        <f t="shared" si="12"/>
        <v>9.4084566807993966</v>
      </c>
      <c r="H45" s="112">
        <f t="shared" si="4"/>
        <v>1.4298075704757058</v>
      </c>
      <c r="I45" s="39">
        <f t="shared" si="5"/>
        <v>3.2719389659297535E-2</v>
      </c>
      <c r="J45" s="39">
        <f t="shared" si="6"/>
        <v>3.2719389659297535E-2</v>
      </c>
      <c r="K45" s="112">
        <f t="shared" si="13"/>
        <v>985.64100858845222</v>
      </c>
      <c r="L45" s="112">
        <f t="shared" si="8"/>
        <v>3.4552883809542072</v>
      </c>
      <c r="M45" s="39">
        <f t="shared" si="0"/>
        <v>1000.0000000000001</v>
      </c>
      <c r="N45" s="38">
        <f t="shared" si="9"/>
        <v>2387.0421319380739</v>
      </c>
      <c r="O45" s="37">
        <f t="shared" si="10"/>
        <v>10.903703030593697</v>
      </c>
      <c r="P45" s="36">
        <f>(uNES*G45+ uOCEX*H45+uEREX*'D - PH+C'!I45+uHOEX*'D - PH+C'!J45)/(1+oDR)^A$5:A$65536</f>
        <v>3.9936347485690122</v>
      </c>
      <c r="Q45" s="33"/>
      <c r="R45" s="33"/>
    </row>
    <row r="46" spans="1:18" x14ac:dyDescent="0.25">
      <c r="A46" s="4">
        <v>40</v>
      </c>
      <c r="C46" s="41" t="e">
        <f t="shared" si="11"/>
        <v>#REF!</v>
      </c>
      <c r="E46" s="41">
        <f t="shared" si="2"/>
        <v>0.35354099999999999</v>
      </c>
      <c r="G46" s="111">
        <f t="shared" si="12"/>
        <v>6.058613320660422</v>
      </c>
      <c r="H46" s="112">
        <f t="shared" si="4"/>
        <v>0.94509916440126018</v>
      </c>
      <c r="I46" s="39">
        <f t="shared" si="5"/>
        <v>2.1627433275117597E-2</v>
      </c>
      <c r="J46" s="39">
        <f t="shared" si="6"/>
        <v>2.1627433275117597E-2</v>
      </c>
      <c r="K46" s="112">
        <f t="shared" si="13"/>
        <v>989.49591466159131</v>
      </c>
      <c r="L46" s="112">
        <f t="shared" si="8"/>
        <v>3.4571179867968613</v>
      </c>
      <c r="M46" s="39">
        <f t="shared" si="0"/>
        <v>1000.0000000000001</v>
      </c>
      <c r="N46" s="38">
        <f t="shared" si="9"/>
        <v>1450.9462195881515</v>
      </c>
      <c r="O46" s="37">
        <f t="shared" si="10"/>
        <v>7.0469673516119178</v>
      </c>
      <c r="P46" s="36">
        <f>(uNES*G46+ uOCEX*H46+uEREX*'D - PH+C'!I46+uHOEX*'D - PH+C'!J46)/(1+oDR)^A$5:A$65536</f>
        <v>2.5416336859175663</v>
      </c>
      <c r="Q46" s="33"/>
      <c r="R46" s="33"/>
    </row>
    <row r="47" spans="1:18" x14ac:dyDescent="0.25">
      <c r="A47" s="4">
        <v>41</v>
      </c>
      <c r="C47" s="41" t="e">
        <f t="shared" si="11"/>
        <v>#REF!</v>
      </c>
      <c r="E47" s="41">
        <f t="shared" si="2"/>
        <v>0.37121799999999999</v>
      </c>
      <c r="G47" s="111">
        <f t="shared" si="12"/>
        <v>3.7933669282041294</v>
      </c>
      <c r="H47" s="112">
        <f t="shared" si="4"/>
        <v>0.60860038803941185</v>
      </c>
      <c r="I47" s="39">
        <f t="shared" si="5"/>
        <v>1.3927072183871573E-2</v>
      </c>
      <c r="J47" s="39">
        <f t="shared" si="6"/>
        <v>1.3927072183871573E-2</v>
      </c>
      <c r="K47" s="112">
        <f t="shared" si="13"/>
        <v>992.11187578792203</v>
      </c>
      <c r="L47" s="112">
        <f t="shared" si="8"/>
        <v>3.4583027514668214</v>
      </c>
      <c r="M47" s="39">
        <f t="shared" si="0"/>
        <v>1000.0000000000001</v>
      </c>
      <c r="N47" s="38">
        <f t="shared" si="9"/>
        <v>857.56026705514648</v>
      </c>
      <c r="O47" s="37">
        <f t="shared" si="10"/>
        <v>4.4298214606112847</v>
      </c>
      <c r="P47" s="36">
        <f>(uNES*G47+ uOCEX*H47+uEREX*'D - PH+C'!I47+uHOEX*'D - PH+C'!J47)/(1+oDR)^A$5:A$65536</f>
        <v>1.5732295514317738</v>
      </c>
      <c r="Q47" s="33"/>
      <c r="R47" s="33"/>
    </row>
    <row r="48" spans="1:18" x14ac:dyDescent="0.25">
      <c r="A48" s="4">
        <v>42</v>
      </c>
      <c r="C48" s="41" t="e">
        <f t="shared" si="11"/>
        <v>#REF!</v>
      </c>
      <c r="E48" s="41">
        <f t="shared" si="2"/>
        <v>0.38977899999999999</v>
      </c>
      <c r="G48" s="111">
        <f t="shared" si="12"/>
        <v>2.3039322870753915</v>
      </c>
      <c r="H48" s="112">
        <f t="shared" si="4"/>
        <v>0.38105164701767924</v>
      </c>
      <c r="I48" s="39">
        <f t="shared" si="5"/>
        <v>8.7198988007459212E-3</v>
      </c>
      <c r="J48" s="39">
        <f t="shared" si="6"/>
        <v>8.7198988007459212E-3</v>
      </c>
      <c r="K48" s="112">
        <f t="shared" si="13"/>
        <v>993.83852716701767</v>
      </c>
      <c r="L48" s="112">
        <f t="shared" si="8"/>
        <v>3.4590491012879374</v>
      </c>
      <c r="M48" s="39">
        <f t="shared" si="0"/>
        <v>1000.0000000000002</v>
      </c>
      <c r="N48" s="38">
        <f t="shared" si="9"/>
        <v>491.70161494768593</v>
      </c>
      <c r="O48" s="37">
        <f t="shared" si="10"/>
        <v>2.7024237316945627</v>
      </c>
      <c r="P48" s="36">
        <f>(uNES*G48+ uOCEX*H48+uEREX*'D - PH+C'!I48+uHOEX*'D - PH+C'!J48)/(1+oDR)^A$5:A$65536</f>
        <v>0.94499445646257219</v>
      </c>
      <c r="Q48" s="33"/>
      <c r="R48" s="33"/>
    </row>
    <row r="49" spans="1:18" x14ac:dyDescent="0.25">
      <c r="A49" s="4">
        <v>43</v>
      </c>
      <c r="C49" s="41" t="e">
        <f t="shared" si="11"/>
        <v>#REF!</v>
      </c>
      <c r="E49" s="41">
        <f t="shared" si="2"/>
        <v>0.40926800000000002</v>
      </c>
      <c r="G49" s="111">
        <f t="shared" si="12"/>
        <v>1.3539247680555304</v>
      </c>
      <c r="H49" s="112">
        <f t="shared" si="4"/>
        <v>0.23143482010133767</v>
      </c>
      <c r="I49" s="39">
        <f t="shared" si="5"/>
        <v>5.2961015286173826E-3</v>
      </c>
      <c r="J49" s="39">
        <f t="shared" si="6"/>
        <v>5.2961015286173826E-3</v>
      </c>
      <c r="K49" s="112">
        <f t="shared" si="13"/>
        <v>994.94454272284088</v>
      </c>
      <c r="L49" s="112">
        <f t="shared" si="8"/>
        <v>3.4595054859452268</v>
      </c>
      <c r="M49" s="39">
        <f t="shared" si="0"/>
        <v>1000.0000000000002</v>
      </c>
      <c r="N49" s="38">
        <f t="shared" si="9"/>
        <v>272.80596777060282</v>
      </c>
      <c r="O49" s="37">
        <f t="shared" si="10"/>
        <v>1.595951791214103</v>
      </c>
      <c r="P49" s="36">
        <f>(uNES*G49+ uOCEX*H49+uEREX*'D - PH+C'!I49+uHOEX*'D - PH+C'!J49)/(1+oDR)^A$5:A$65536</f>
        <v>0.54946067412135768</v>
      </c>
      <c r="Q49" s="33"/>
      <c r="R49" s="33"/>
    </row>
    <row r="50" spans="1:18" x14ac:dyDescent="0.25">
      <c r="A50" s="4">
        <v>44</v>
      </c>
      <c r="C50" s="41" t="e">
        <f t="shared" si="11"/>
        <v>#REF!</v>
      </c>
      <c r="E50" s="41">
        <f t="shared" si="2"/>
        <v>0.429732</v>
      </c>
      <c r="G50" s="111">
        <f t="shared" si="12"/>
        <v>0.76762083826867655</v>
      </c>
      <c r="H50" s="112">
        <f t="shared" si="4"/>
        <v>0.13600457655959897</v>
      </c>
      <c r="I50" s="39">
        <f t="shared" si="5"/>
        <v>3.1122976460536875E-3</v>
      </c>
      <c r="J50" s="39">
        <f t="shared" si="6"/>
        <v>3.1122976460536875E-3</v>
      </c>
      <c r="K50" s="112">
        <f t="shared" si="13"/>
        <v>995.63037427798292</v>
      </c>
      <c r="L50" s="112">
        <f t="shared" si="8"/>
        <v>3.4597757118969277</v>
      </c>
      <c r="M50" s="39">
        <f t="shared" si="0"/>
        <v>1000.0000000000002</v>
      </c>
      <c r="N50" s="38">
        <f t="shared" si="9"/>
        <v>146.04108059914432</v>
      </c>
      <c r="O50" s="37">
        <f t="shared" si="10"/>
        <v>0.90985001012038291</v>
      </c>
      <c r="P50" s="36">
        <f>(uNES*G50+ uOCEX*H50+uEREX*'D - PH+C'!I50+uHOEX*'D - PH+C'!J50)/(1+oDR)^A$5:A$65536</f>
        <v>0.30838560569624429</v>
      </c>
      <c r="Q50" s="33"/>
      <c r="R50" s="33"/>
    </row>
    <row r="51" spans="1:18" x14ac:dyDescent="0.25">
      <c r="A51" s="4">
        <v>45</v>
      </c>
      <c r="C51" s="41" t="e">
        <f t="shared" si="11"/>
        <v>#REF!</v>
      </c>
      <c r="E51" s="41">
        <f t="shared" si="2"/>
        <v>0.45121800000000001</v>
      </c>
      <c r="G51" s="111">
        <f t="shared" si="12"/>
        <v>0.41851659232670435</v>
      </c>
      <c r="H51" s="112">
        <f t="shared" si="4"/>
        <v>7.7109119745990093E-2</v>
      </c>
      <c r="I51" s="39">
        <f t="shared" si="5"/>
        <v>1.7645474729267782E-3</v>
      </c>
      <c r="J51" s="39">
        <f t="shared" si="6"/>
        <v>1.7645474729267782E-3</v>
      </c>
      <c r="K51" s="112">
        <f t="shared" si="13"/>
        <v>996.04091497984939</v>
      </c>
      <c r="L51" s="112">
        <f t="shared" si="8"/>
        <v>3.4599302131322638</v>
      </c>
      <c r="M51" s="39">
        <f t="shared" si="0"/>
        <v>1000.0000000000001</v>
      </c>
      <c r="N51" s="38">
        <f t="shared" si="9"/>
        <v>75.189841136047292</v>
      </c>
      <c r="O51" s="37">
        <f t="shared" si="10"/>
        <v>0.49915480701854797</v>
      </c>
      <c r="P51" s="36">
        <f>(uNES*G51+ uOCEX*H51+uEREX*'D - PH+C'!I51+uHOEX*'D - PH+C'!J51)/(1+oDR)^A$5:A$65536</f>
        <v>0.1665435337154946</v>
      </c>
      <c r="Q51" s="33"/>
      <c r="R51" s="33"/>
    </row>
    <row r="52" spans="1:18" x14ac:dyDescent="0.25">
      <c r="A52" s="4">
        <v>46</v>
      </c>
      <c r="C52" s="41" t="e">
        <f t="shared" si="11"/>
        <v>#REF!</v>
      </c>
      <c r="E52" s="41">
        <f t="shared" si="2"/>
        <v>0.47377900000000001</v>
      </c>
      <c r="G52" s="111">
        <f t="shared" si="12"/>
        <v>0.21861573190473571</v>
      </c>
      <c r="H52" s="112">
        <f t="shared" si="4"/>
        <v>4.2040867606186805E-2</v>
      </c>
      <c r="I52" s="39">
        <f t="shared" si="5"/>
        <v>9.6205360583180469E-4</v>
      </c>
      <c r="J52" s="39">
        <f t="shared" si="6"/>
        <v>9.6205360583180469E-4</v>
      </c>
      <c r="K52" s="112">
        <f t="shared" si="13"/>
        <v>996.27740404516385</v>
      </c>
      <c r="L52" s="112">
        <f t="shared" si="8"/>
        <v>3.4600152481137849</v>
      </c>
      <c r="M52" s="39">
        <f t="shared" si="0"/>
        <v>1000.0000000000002</v>
      </c>
      <c r="N52" s="38">
        <f t="shared" si="9"/>
        <v>37.09413395251714</v>
      </c>
      <c r="O52" s="37">
        <f t="shared" si="10"/>
        <v>0.2625807067225861</v>
      </c>
      <c r="P52" s="36">
        <f>(uNES*G52+ uOCEX*H52+uEREX*'D - PH+C'!I52+uHOEX*'D - PH+C'!J52)/(1+oDR)^A$5:A$65536</f>
        <v>8.6233744545120922E-2</v>
      </c>
      <c r="Q52" s="33"/>
      <c r="R52" s="33"/>
    </row>
    <row r="53" spans="1:18" x14ac:dyDescent="0.25">
      <c r="A53" s="4">
        <v>47</v>
      </c>
      <c r="C53" s="41" t="e">
        <f t="shared" si="11"/>
        <v>#REF!</v>
      </c>
      <c r="E53" s="41">
        <f t="shared" si="2"/>
        <v>0.49746800000000002</v>
      </c>
      <c r="G53" s="111">
        <f t="shared" si="12"/>
        <v>0.10894483121301732</v>
      </c>
      <c r="H53" s="112">
        <f t="shared" si="4"/>
        <v>2.1960407807349393E-2</v>
      </c>
      <c r="I53" s="39">
        <f t="shared" si="5"/>
        <v>5.0253695319761441E-4</v>
      </c>
      <c r="J53" s="39">
        <f t="shared" si="6"/>
        <v>5.0253695319761441E-4</v>
      </c>
      <c r="K53" s="112">
        <f t="shared" si="13"/>
        <v>996.40802954417575</v>
      </c>
      <c r="L53" s="112">
        <f t="shared" si="8"/>
        <v>3.4600601428977376</v>
      </c>
      <c r="M53" s="39">
        <f t="shared" si="0"/>
        <v>1000.0000000000002</v>
      </c>
      <c r="N53" s="38">
        <f t="shared" si="9"/>
        <v>17.461418851313582</v>
      </c>
      <c r="O53" s="37">
        <f t="shared" si="10"/>
        <v>0.13191031292676192</v>
      </c>
      <c r="P53" s="36">
        <f>(uNES*G53+ uOCEX*H53+uEREX*'D - PH+C'!I53+uHOEX*'D - PH+C'!J53)/(1+oDR)^A$5:A$65536</f>
        <v>4.263438256915468E-2</v>
      </c>
      <c r="Q53" s="33"/>
      <c r="R53" s="33"/>
    </row>
    <row r="54" spans="1:18" x14ac:dyDescent="0.25">
      <c r="A54" s="4">
        <v>48</v>
      </c>
      <c r="C54" s="41" t="e">
        <f t="shared" si="11"/>
        <v>#REF!</v>
      </c>
      <c r="E54" s="41">
        <f t="shared" si="2"/>
        <v>0.52234100000000006</v>
      </c>
      <c r="G54" s="111">
        <f t="shared" si="12"/>
        <v>5.1540898327749926E-2</v>
      </c>
      <c r="H54" s="112">
        <f t="shared" si="4"/>
        <v>1.0943736304317088E-2</v>
      </c>
      <c r="I54" s="39">
        <f t="shared" si="5"/>
        <v>2.5043396038980169E-4</v>
      </c>
      <c r="J54" s="39">
        <f t="shared" si="6"/>
        <v>2.5043396038980169E-4</v>
      </c>
      <c r="K54" s="112">
        <f t="shared" si="13"/>
        <v>996.47693170894024</v>
      </c>
      <c r="L54" s="112">
        <f t="shared" si="8"/>
        <v>3.460082788507175</v>
      </c>
      <c r="M54" s="39">
        <f t="shared" si="0"/>
        <v>1000.0000000000002</v>
      </c>
      <c r="N54" s="38">
        <f t="shared" si="9"/>
        <v>7.8048075632210203</v>
      </c>
      <c r="O54" s="37">
        <f t="shared" si="10"/>
        <v>6.2985502552846614E-2</v>
      </c>
      <c r="P54" s="36">
        <f>(uNES*G54+ uOCEX*H54+uEREX*'D - PH+C'!I54+uHOEX*'D - PH+C'!J54)/(1+oDR)^A$5:A$65536</f>
        <v>2.0031905736761495E-2</v>
      </c>
      <c r="Q54" s="33"/>
      <c r="R54" s="33"/>
    </row>
    <row r="55" spans="1:18" x14ac:dyDescent="0.25">
      <c r="A55" s="4">
        <v>49</v>
      </c>
      <c r="C55" s="41" t="e">
        <f t="shared" si="11"/>
        <v>#REF!</v>
      </c>
      <c r="E55" s="41">
        <f t="shared" si="2"/>
        <v>0.548458</v>
      </c>
      <c r="G55" s="111">
        <f t="shared" si="12"/>
        <v>2.3015388996282554E-2</v>
      </c>
      <c r="H55" s="112">
        <f t="shared" si="4"/>
        <v>5.1773911061795928E-3</v>
      </c>
      <c r="I55" s="39">
        <f t="shared" si="5"/>
        <v>1.1847823477764268E-4</v>
      </c>
      <c r="J55" s="39">
        <f t="shared" si="6"/>
        <v>1.1847823477764268E-4</v>
      </c>
      <c r="K55" s="112">
        <f t="shared" si="13"/>
        <v>996.51147661169932</v>
      </c>
      <c r="L55" s="112">
        <f t="shared" si="8"/>
        <v>3.460093651728875</v>
      </c>
      <c r="M55" s="39">
        <f t="shared" si="0"/>
        <v>1000.0000000000002</v>
      </c>
      <c r="N55" s="38">
        <f t="shared" si="9"/>
        <v>3.2936400772921277</v>
      </c>
      <c r="O55" s="37">
        <f t="shared" si="10"/>
        <v>2.8429736572017434E-2</v>
      </c>
      <c r="P55" s="36">
        <f>(uNES*G55+ uOCEX*H55+uEREX*'D - PH+C'!I55+uHOEX*'D - PH+C'!J55)/(1+oDR)^A$5:A$65536</f>
        <v>8.8955752333475802E-3</v>
      </c>
      <c r="Q55" s="33"/>
      <c r="R55" s="33"/>
    </row>
    <row r="56" spans="1:18" x14ac:dyDescent="0.25">
      <c r="A56" s="4">
        <v>50</v>
      </c>
      <c r="C56" s="41" t="e">
        <f t="shared" si="11"/>
        <v>#REF!</v>
      </c>
      <c r="E56" s="41">
        <f t="shared" si="2"/>
        <v>0.57588099999999998</v>
      </c>
      <c r="G56" s="111">
        <f t="shared" si="12"/>
        <v>9.6349060525780465E-3</v>
      </c>
      <c r="H56" s="112">
        <f t="shared" si="4"/>
        <v>2.311943993231889E-3</v>
      </c>
      <c r="I56" s="39">
        <f t="shared" si="5"/>
        <v>5.2905997944785547E-5</v>
      </c>
      <c r="J56" s="39">
        <f t="shared" si="6"/>
        <v>5.2905997944785547E-5</v>
      </c>
      <c r="K56" s="112">
        <f t="shared" si="13"/>
        <v>996.52784875682619</v>
      </c>
      <c r="L56" s="112">
        <f t="shared" si="8"/>
        <v>3.460098581132363</v>
      </c>
      <c r="M56" s="39">
        <f t="shared" si="0"/>
        <v>1000.0000000000002</v>
      </c>
      <c r="N56" s="38">
        <f t="shared" si="9"/>
        <v>1.3034465709445062</v>
      </c>
      <c r="O56" s="37">
        <f t="shared" si="10"/>
        <v>1.2052662041699505E-2</v>
      </c>
      <c r="P56" s="36">
        <f>(uNES*G56+ uOCEX*H56+uEREX*'D - PH+C'!I56+uHOEX*'D - PH+C'!J56)/(1+oDR)^A$5:A$65536</f>
        <v>3.7094000126870184E-3</v>
      </c>
      <c r="Q56" s="33"/>
      <c r="R56" s="33"/>
    </row>
    <row r="57" spans="1:18" x14ac:dyDescent="0.25">
      <c r="A57" s="4">
        <v>51</v>
      </c>
      <c r="C57" s="41" t="e">
        <f t="shared" si="11"/>
        <v>#REF!</v>
      </c>
      <c r="E57" s="41">
        <f t="shared" si="2"/>
        <v>0.60467499999999996</v>
      </c>
      <c r="G57" s="111">
        <f t="shared" si="12"/>
        <v>3.7504735544746232E-3</v>
      </c>
      <c r="H57" s="112">
        <f t="shared" si="4"/>
        <v>9.6784647772884928E-4</v>
      </c>
      <c r="I57" s="39">
        <f t="shared" si="5"/>
        <v>2.2147977594392597E-5</v>
      </c>
      <c r="J57" s="39">
        <f t="shared" si="6"/>
        <v>2.2147977594392597E-5</v>
      </c>
      <c r="K57" s="112">
        <f t="shared" si="13"/>
        <v>996.5351367002462</v>
      </c>
      <c r="L57" s="112">
        <f t="shared" si="8"/>
        <v>3.4601006837666057</v>
      </c>
      <c r="M57" s="39">
        <f t="shared" si="0"/>
        <v>1000.0000000000002</v>
      </c>
      <c r="N57" s="38">
        <f t="shared" si="9"/>
        <v>0.47984639321128075</v>
      </c>
      <c r="O57" s="37">
        <f t="shared" si="10"/>
        <v>4.7626159873922578E-3</v>
      </c>
      <c r="P57" s="36">
        <f>(uNES*G57+ uOCEX*H57+uEREX*'D - PH+C'!I57+uHOEX*'D - PH+C'!J57)/(1+oDR)^A$5:A$65536</f>
        <v>1.4413184790888765E-3</v>
      </c>
      <c r="Q57" s="33"/>
      <c r="R57" s="33"/>
    </row>
    <row r="58" spans="1:18" x14ac:dyDescent="0.25">
      <c r="A58" s="4">
        <v>52</v>
      </c>
      <c r="C58" s="41" t="e">
        <f t="shared" si="11"/>
        <v>#REF!</v>
      </c>
      <c r="E58" s="41">
        <f t="shared" si="2"/>
        <v>0.63490899999999995</v>
      </c>
      <c r="G58" s="111">
        <f t="shared" si="12"/>
        <v>1.3439659067246809E-3</v>
      </c>
      <c r="H58" s="112">
        <f t="shared" si="4"/>
        <v>3.7674291785566512E-4</v>
      </c>
      <c r="I58" s="39">
        <f t="shared" si="5"/>
        <v>8.6212988273652974E-6</v>
      </c>
      <c r="J58" s="39">
        <f t="shared" si="6"/>
        <v>8.6212988273652974E-6</v>
      </c>
      <c r="K58" s="112">
        <f t="shared" si="13"/>
        <v>996.53816052800016</v>
      </c>
      <c r="L58" s="112">
        <f t="shared" si="8"/>
        <v>3.4601015205778238</v>
      </c>
      <c r="M58" s="39">
        <f t="shared" si="0"/>
        <v>1000.0000000000002</v>
      </c>
      <c r="N58" s="38">
        <f t="shared" si="9"/>
        <v>0.1627114950933975</v>
      </c>
      <c r="O58" s="37">
        <f t="shared" si="10"/>
        <v>1.7379514222350767E-3</v>
      </c>
      <c r="P58" s="36">
        <f>(uNES*G58+ uOCEX*H58+uEREX*'D - PH+C'!I58+uHOEX*'D - PH+C'!J58)/(1+oDR)^A$5:A$65536</f>
        <v>5.1699267522069519E-4</v>
      </c>
      <c r="Q58" s="33"/>
      <c r="R58" s="33"/>
    </row>
    <row r="59" spans="1:18" x14ac:dyDescent="0.25">
      <c r="A59" s="4">
        <v>53</v>
      </c>
      <c r="C59" s="41" t="e">
        <f t="shared" si="11"/>
        <v>#REF!</v>
      </c>
      <c r="E59" s="41">
        <f t="shared" si="2"/>
        <v>0.666655</v>
      </c>
      <c r="G59" s="111">
        <f t="shared" si="12"/>
        <v>4.3784646911632698E-4</v>
      </c>
      <c r="H59" s="112">
        <f t="shared" si="4"/>
        <v>1.3500418809616669E-4</v>
      </c>
      <c r="I59" s="39">
        <f t="shared" si="5"/>
        <v>3.0894049850959508E-6</v>
      </c>
      <c r="J59" s="39">
        <f t="shared" si="6"/>
        <v>3.0894049850959508E-6</v>
      </c>
      <c r="K59" s="112">
        <f t="shared" si="13"/>
        <v>996.53931914200552</v>
      </c>
      <c r="L59" s="112">
        <f t="shared" si="8"/>
        <v>3.460101828527486</v>
      </c>
      <c r="M59" s="39">
        <f t="shared" si="0"/>
        <v>1000.0000000000002</v>
      </c>
      <c r="N59" s="38">
        <f t="shared" si="9"/>
        <v>5.0199693259180597E-2</v>
      </c>
      <c r="O59" s="37">
        <f t="shared" si="10"/>
        <v>5.7902946718268555E-4</v>
      </c>
      <c r="P59" s="36">
        <f>(uNES*G59+ uOCEX*H59+uEREX*'D - PH+C'!I59+uHOEX*'D - PH+C'!J59)/(1+oDR)^A$5:A$65536</f>
        <v>1.6922634543013843E-4</v>
      </c>
      <c r="Q59" s="33"/>
      <c r="R59" s="33"/>
    </row>
    <row r="60" spans="1:18" x14ac:dyDescent="0.25">
      <c r="A60" s="4">
        <v>54</v>
      </c>
      <c r="C60" s="41" t="e">
        <f t="shared" si="11"/>
        <v>#REF!</v>
      </c>
      <c r="E60" s="41">
        <f t="shared" si="2"/>
        <v>0.69998700000000003</v>
      </c>
      <c r="G60" s="111">
        <f t="shared" si="12"/>
        <v>1.2761715867960576E-4</v>
      </c>
      <c r="H60" s="112">
        <f t="shared" si="4"/>
        <v>4.3982594184907623E-5</v>
      </c>
      <c r="I60" s="39">
        <f t="shared" si="5"/>
        <v>1.0064876330763545E-6</v>
      </c>
      <c r="J60" s="39">
        <f t="shared" si="6"/>
        <v>1.0064876330763545E-6</v>
      </c>
      <c r="K60" s="112">
        <f t="shared" si="13"/>
        <v>996.53972445510522</v>
      </c>
      <c r="L60" s="112">
        <f t="shared" si="8"/>
        <v>3.4601019321668933</v>
      </c>
      <c r="M60" s="39">
        <f t="shared" si="0"/>
        <v>1000.0000000000002</v>
      </c>
      <c r="N60" s="38">
        <f t="shared" si="9"/>
        <v>1.3871330097783121E-2</v>
      </c>
      <c r="O60" s="37">
        <f t="shared" si="10"/>
        <v>1.7361272813066608E-4</v>
      </c>
      <c r="P60" s="36">
        <f>(uNES*G60+ uOCEX*H60+uEREX*'D - PH+C'!I60+uHOEX*'D - PH+C'!J60)/(1+oDR)^A$5:A$65536</f>
        <v>4.9817659080811826E-5</v>
      </c>
      <c r="Q60" s="33"/>
      <c r="R60" s="33"/>
    </row>
    <row r="61" spans="1:18" x14ac:dyDescent="0.25">
      <c r="A61" s="4">
        <v>55</v>
      </c>
      <c r="C61" s="41" t="e">
        <f t="shared" si="11"/>
        <v>#REF!</v>
      </c>
      <c r="E61" s="41">
        <f t="shared" si="2"/>
        <v>0.73498699999999995</v>
      </c>
      <c r="G61" s="111">
        <f t="shared" si="12"/>
        <v>3.2572047361906015E-5</v>
      </c>
      <c r="H61" s="112">
        <f t="shared" si="4"/>
        <v>1.2819410677364212E-5</v>
      </c>
      <c r="I61" s="39">
        <f t="shared" si="5"/>
        <v>2.9335646405599011E-7</v>
      </c>
      <c r="J61" s="39">
        <f t="shared" si="6"/>
        <v>2.9335646405599011E-7</v>
      </c>
      <c r="K61" s="112">
        <f t="shared" si="13"/>
        <v>996.53985205820345</v>
      </c>
      <c r="L61" s="112">
        <f t="shared" si="8"/>
        <v>3.4601019636258461</v>
      </c>
      <c r="M61" s="39">
        <f t="shared" si="0"/>
        <v>1000.0000000000003</v>
      </c>
      <c r="N61" s="38">
        <f t="shared" si="9"/>
        <v>3.362092201477374E-3</v>
      </c>
      <c r="O61" s="37">
        <f t="shared" si="10"/>
        <v>4.5978170967382205E-5</v>
      </c>
      <c r="P61" s="36">
        <f>(uNES*G61+ uOCEX*H61+uEREX*'D - PH+C'!I61+uHOEX*'D - PH+C'!J61)/(1+oDR)^A$5:A$65536</f>
        <v>1.2941569130025698E-5</v>
      </c>
      <c r="Q61" s="33"/>
      <c r="R61" s="33"/>
    </row>
    <row r="62" spans="1:18" x14ac:dyDescent="0.25">
      <c r="A62" s="4">
        <v>56</v>
      </c>
      <c r="C62" s="41" t="e">
        <f t="shared" si="11"/>
        <v>#REF!</v>
      </c>
      <c r="E62" s="41">
        <f t="shared" si="2"/>
        <v>0.77173599999999998</v>
      </c>
      <c r="G62" s="111">
        <f t="shared" si="12"/>
        <v>7.0650228523533673E-6</v>
      </c>
      <c r="H62" s="112">
        <f t="shared" si="4"/>
        <v>3.2719303270427641E-6</v>
      </c>
      <c r="I62" s="39">
        <f t="shared" si="5"/>
        <v>7.4874105802200324E-8</v>
      </c>
      <c r="J62" s="39">
        <f t="shared" si="6"/>
        <v>7.4874105802200324E-8</v>
      </c>
      <c r="K62" s="112">
        <f t="shared" si="13"/>
        <v>996.53988754121315</v>
      </c>
      <c r="L62" s="112">
        <f t="shared" si="8"/>
        <v>3.4601019720856727</v>
      </c>
      <c r="M62" s="39">
        <f t="shared" si="0"/>
        <v>1000.0000000000002</v>
      </c>
      <c r="N62" s="38">
        <f t="shared" si="9"/>
        <v>6.9439631616115987E-4</v>
      </c>
      <c r="O62" s="37">
        <f t="shared" si="10"/>
        <v>1.0486701391000532E-5</v>
      </c>
      <c r="P62" s="36">
        <f>(uNES*G62+ uOCEX*H62+uEREX*'D - PH+C'!I62+uHOEX*'D - PH+C'!J62)/(1+oDR)^A$5:A$65536</f>
        <v>2.8914762972100253E-6</v>
      </c>
      <c r="Q62" s="33"/>
      <c r="R62" s="33"/>
    </row>
    <row r="63" spans="1:18" x14ac:dyDescent="0.25">
      <c r="A63" s="4">
        <v>57</v>
      </c>
      <c r="C63" s="41" t="e">
        <f t="shared" si="11"/>
        <v>#REF!</v>
      </c>
      <c r="E63" s="41">
        <f t="shared" si="2"/>
        <v>0.81032300000000002</v>
      </c>
      <c r="G63" s="111">
        <f t="shared" si="12"/>
        <v>1.2449409717932508E-6</v>
      </c>
      <c r="H63" s="112">
        <f t="shared" si="4"/>
        <v>7.096963317970707E-7</v>
      </c>
      <c r="I63" s="39">
        <f t="shared" si="5"/>
        <v>1.6240528655276842E-8</v>
      </c>
      <c r="J63" s="39">
        <f t="shared" si="6"/>
        <v>1.6240528655276842E-8</v>
      </c>
      <c r="K63" s="112">
        <f t="shared" si="13"/>
        <v>996.53989603882849</v>
      </c>
      <c r="L63" s="112">
        <f t="shared" si="8"/>
        <v>3.4601019740533716</v>
      </c>
      <c r="M63" s="39">
        <f t="shared" si="0"/>
        <v>1000.0000000000002</v>
      </c>
      <c r="N63" s="38">
        <f t="shared" si="9"/>
        <v>1.1707649761048124E-4</v>
      </c>
      <c r="O63" s="37">
        <f t="shared" si="10"/>
        <v>1.9871183609008751E-6</v>
      </c>
      <c r="P63" s="36">
        <f>(uNES*G63+ uOCEX*H63+uEREX*'D - PH+C'!I63+uHOEX*'D - PH+C'!J63)/(1+oDR)^A$5:A$65536</f>
        <v>5.355883543050405E-7</v>
      </c>
      <c r="Q63" s="33"/>
      <c r="R63" s="33"/>
    </row>
    <row r="64" spans="1:18" x14ac:dyDescent="0.25">
      <c r="A64" s="4">
        <v>58</v>
      </c>
      <c r="C64" s="41" t="e">
        <f t="shared" si="11"/>
        <v>#REF!</v>
      </c>
      <c r="E64" s="41">
        <f t="shared" si="2"/>
        <v>0.85083900000000001</v>
      </c>
      <c r="G64" s="111">
        <f t="shared" si="12"/>
        <v>1.652373900440086E-7</v>
      </c>
      <c r="H64" s="112">
        <f t="shared" si="4"/>
        <v>1.2505692613453411E-7</v>
      </c>
      <c r="I64" s="39">
        <f t="shared" si="5"/>
        <v>2.8617741158192694E-9</v>
      </c>
      <c r="J64" s="39">
        <f t="shared" si="6"/>
        <v>2.8617741158192694E-9</v>
      </c>
      <c r="K64" s="112">
        <f t="shared" si="13"/>
        <v>996.53989772954628</v>
      </c>
      <c r="L64" s="112">
        <f t="shared" si="8"/>
        <v>3.460101974436069</v>
      </c>
      <c r="M64" s="39">
        <f t="shared" si="0"/>
        <v>1000.0000000000002</v>
      </c>
      <c r="N64" s="38">
        <f t="shared" si="9"/>
        <v>1.5018631580748725E-5</v>
      </c>
      <c r="O64" s="37">
        <f t="shared" si="10"/>
        <v>2.9601786441018127E-7</v>
      </c>
      <c r="P64" s="36">
        <f>(uNES*G64+ uOCEX*H64+uEREX*'D - PH+C'!I64+uHOEX*'D - PH+C'!J64)/(1+oDR)^A$5:A$65536</f>
        <v>7.7710792226946623E-8</v>
      </c>
      <c r="Q64" s="33"/>
      <c r="R64" s="33"/>
    </row>
    <row r="65" spans="1:18" x14ac:dyDescent="0.25">
      <c r="A65" s="4">
        <v>59</v>
      </c>
      <c r="C65" s="41" t="e">
        <f t="shared" si="11"/>
        <v>#REF!</v>
      </c>
      <c r="E65" s="41">
        <f t="shared" si="2"/>
        <v>0.89338099999999998</v>
      </c>
      <c r="G65" s="111">
        <f t="shared" si="12"/>
        <v>1.4143886463379736E-8</v>
      </c>
      <c r="H65" s="112">
        <f t="shared" si="4"/>
        <v>1.6598441652724803E-8</v>
      </c>
      <c r="I65" s="39">
        <f t="shared" si="5"/>
        <v>3.7983494519610609E-10</v>
      </c>
      <c r="J65" s="39">
        <f t="shared" si="6"/>
        <v>3.7983494519610609E-10</v>
      </c>
      <c r="K65" s="112">
        <f t="shared" si="13"/>
        <v>996.53989799400301</v>
      </c>
      <c r="L65" s="112">
        <f t="shared" si="8"/>
        <v>3.4601019744951995</v>
      </c>
      <c r="M65" s="39">
        <f t="shared" si="0"/>
        <v>1000.0000000000002</v>
      </c>
      <c r="N65" s="38">
        <f t="shared" si="9"/>
        <v>1.2774675478379982E-6</v>
      </c>
      <c r="O65" s="37">
        <f t="shared" si="10"/>
        <v>3.1501998006496748E-8</v>
      </c>
      <c r="P65" s="36">
        <f>(uNES*G65+ uOCEX*H65+uEREX*'D - PH+C'!I65+uHOEX*'D - PH+C'!J65)/(1+oDR)^A$5:A$65536</f>
        <v>7.9975223913897958E-9</v>
      </c>
      <c r="Q65" s="33"/>
      <c r="R65" s="33"/>
    </row>
    <row r="66" spans="1:18" x14ac:dyDescent="0.25">
      <c r="A66" s="4">
        <v>60</v>
      </c>
      <c r="C66" s="41" t="e">
        <f t="shared" si="11"/>
        <v>#REF!</v>
      </c>
      <c r="E66" s="41">
        <f t="shared" si="2"/>
        <v>0.89338099999999998</v>
      </c>
      <c r="G66" s="111">
        <f t="shared" si="12"/>
        <v>1.8662492549556788E-9</v>
      </c>
      <c r="H66" s="112">
        <f t="shared" si="4"/>
        <v>1.4207829967699563E-9</v>
      </c>
      <c r="I66" s="39">
        <f t="shared" si="5"/>
        <v>3.2512873377187468E-11</v>
      </c>
      <c r="J66" s="39">
        <f t="shared" si="6"/>
        <v>3.2512873377187468E-11</v>
      </c>
      <c r="K66" s="112">
        <f t="shared" si="13"/>
        <v>996.5398980221463</v>
      </c>
      <c r="L66" s="112">
        <f t="shared" si="8"/>
        <v>3.4601019745018529</v>
      </c>
      <c r="M66" s="39">
        <f t="shared" si="0"/>
        <v>1000.0000000000002</v>
      </c>
      <c r="N66" s="38">
        <f t="shared" si="9"/>
        <v>1.5105268509097141E-7</v>
      </c>
      <c r="O66" s="37">
        <f t="shared" si="10"/>
        <v>3.35205799848001E-9</v>
      </c>
      <c r="P66" s="36">
        <f>(uNES*G66+ uOCEX*H66+uEREX*'D - PH+C'!I66+uHOEX*'D - PH+C'!J66)/(1+oDR)^A$5:A$65536</f>
        <v>8.5395760272777384E-10</v>
      </c>
      <c r="Q66" s="33"/>
      <c r="R66" s="33"/>
    </row>
    <row r="67" spans="1:18" x14ac:dyDescent="0.25">
      <c r="N67" s="114" t="s">
        <v>114</v>
      </c>
      <c r="O67" s="114" t="s">
        <v>115</v>
      </c>
      <c r="P67" s="114" t="s">
        <v>116</v>
      </c>
    </row>
    <row r="68" spans="1:18" x14ac:dyDescent="0.25">
      <c r="I68" s="33"/>
      <c r="N68" s="35">
        <f>SUM(N6:N66)/1000</f>
        <v>25923.124433621499</v>
      </c>
      <c r="O68" s="34">
        <f>SUM(O7:O66)/1000</f>
        <v>20.177717508639006</v>
      </c>
      <c r="P68" s="12">
        <f>SUM(P7:P66)/1000</f>
        <v>11.06698545684092</v>
      </c>
    </row>
    <row r="69" spans="1:18" x14ac:dyDescent="0.25">
      <c r="I69" s="33"/>
    </row>
  </sheetData>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24"/>
  <sheetViews>
    <sheetView workbookViewId="0">
      <selection activeCell="E27" sqref="E27"/>
    </sheetView>
  </sheetViews>
  <sheetFormatPr defaultRowHeight="12.75" x14ac:dyDescent="0.2"/>
  <cols>
    <col min="1" max="1" width="5.85546875" style="4" customWidth="1"/>
    <col min="2" max="2" width="4.7109375" style="4" customWidth="1"/>
    <col min="3" max="3" width="10.5703125" style="4" bestFit="1" customWidth="1"/>
    <col min="4" max="4" width="9.7109375" style="4" bestFit="1" customWidth="1"/>
    <col min="5" max="5" width="9.140625" style="4"/>
    <col min="6" max="6" width="4" style="4" customWidth="1"/>
    <col min="7" max="7" width="5" style="4" customWidth="1"/>
    <col min="8" max="8" width="5.28515625" style="4" customWidth="1"/>
    <col min="9" max="11" width="9.140625" style="4"/>
    <col min="12" max="12" width="5.140625" style="4" customWidth="1"/>
    <col min="13" max="16384" width="9.140625" style="4"/>
  </cols>
  <sheetData>
    <row r="1" spans="1:12" ht="15.75" x14ac:dyDescent="0.25">
      <c r="A1" s="23" t="s">
        <v>18</v>
      </c>
    </row>
    <row r="4" spans="1:12" x14ac:dyDescent="0.2">
      <c r="B4" s="22" t="s">
        <v>17</v>
      </c>
      <c r="C4" s="22"/>
      <c r="D4" s="22"/>
      <c r="E4" s="22"/>
      <c r="F4" s="22"/>
      <c r="H4" s="21" t="s">
        <v>16</v>
      </c>
      <c r="I4" s="20"/>
      <c r="J4" s="20"/>
      <c r="K4" s="20"/>
      <c r="L4" s="20"/>
    </row>
    <row r="5" spans="1:12" x14ac:dyDescent="0.2">
      <c r="B5" s="16"/>
      <c r="C5" s="16"/>
      <c r="D5" s="16"/>
      <c r="E5" s="16"/>
      <c r="F5" s="16"/>
      <c r="H5" s="15"/>
      <c r="I5" s="15"/>
      <c r="J5" s="15"/>
      <c r="K5" s="15"/>
      <c r="L5" s="15"/>
    </row>
    <row r="6" spans="1:12" x14ac:dyDescent="0.2">
      <c r="B6" s="16"/>
      <c r="C6" s="16"/>
      <c r="D6" s="16"/>
      <c r="E6" s="16"/>
      <c r="F6" s="16"/>
      <c r="H6" s="15"/>
      <c r="I6" s="19">
        <v>60</v>
      </c>
      <c r="J6" s="18" t="s">
        <v>15</v>
      </c>
      <c r="K6" s="18"/>
      <c r="L6" s="15"/>
    </row>
    <row r="7" spans="1:12" x14ac:dyDescent="0.2">
      <c r="B7" s="16"/>
      <c r="C7" s="16"/>
      <c r="D7" s="16"/>
      <c r="E7" s="16"/>
      <c r="F7" s="16"/>
      <c r="H7" s="15"/>
      <c r="I7" s="17" t="s">
        <v>14</v>
      </c>
      <c r="J7" s="15"/>
      <c r="K7" s="15"/>
      <c r="L7" s="15"/>
    </row>
    <row r="8" spans="1:12" x14ac:dyDescent="0.2">
      <c r="B8" s="16"/>
      <c r="C8" s="16"/>
      <c r="D8" s="16"/>
      <c r="E8" s="16"/>
      <c r="F8" s="16"/>
      <c r="H8" s="15"/>
      <c r="I8" s="15"/>
      <c r="J8" s="15"/>
      <c r="K8" s="15"/>
      <c r="L8" s="15"/>
    </row>
    <row r="10" spans="1:12" x14ac:dyDescent="0.2">
      <c r="B10" s="14" t="s">
        <v>13</v>
      </c>
      <c r="C10" s="13"/>
      <c r="D10" s="13"/>
      <c r="E10" s="13"/>
      <c r="F10" s="13"/>
    </row>
    <row r="11" spans="1:12" x14ac:dyDescent="0.2">
      <c r="B11" s="5"/>
      <c r="C11" s="5"/>
      <c r="D11" s="5"/>
      <c r="E11" s="5"/>
      <c r="F11" s="5"/>
    </row>
    <row r="12" spans="1:12" x14ac:dyDescent="0.2">
      <c r="B12" s="5"/>
      <c r="C12" s="7" t="s">
        <v>12</v>
      </c>
      <c r="D12" s="7" t="s">
        <v>11</v>
      </c>
      <c r="E12" s="7" t="s">
        <v>10</v>
      </c>
      <c r="F12" s="5"/>
    </row>
    <row r="13" spans="1:12" x14ac:dyDescent="0.2">
      <c r="B13" s="5"/>
      <c r="C13" s="5"/>
      <c r="D13" s="5"/>
      <c r="E13" s="5"/>
      <c r="F13" s="5"/>
    </row>
    <row r="14" spans="1:12" ht="15" x14ac:dyDescent="0.25">
      <c r="B14" s="5"/>
      <c r="C14" s="88" t="s">
        <v>39</v>
      </c>
      <c r="D14" s="8">
        <f>'A -UC UC'!N68</f>
        <v>25262.182446464642</v>
      </c>
      <c r="E14" s="12">
        <f>'A -UC UC'!P68</f>
        <v>10.784819031323419</v>
      </c>
      <c r="F14" s="11"/>
    </row>
    <row r="15" spans="1:12" ht="15" x14ac:dyDescent="0.25">
      <c r="B15" s="5"/>
      <c r="C15" s="88" t="s">
        <v>40</v>
      </c>
      <c r="D15" s="8">
        <f>[2]NP1!M68</f>
        <v>610.31181775758273</v>
      </c>
      <c r="E15" s="12">
        <f>[2]NP1!O68</f>
        <v>14.697709857306155</v>
      </c>
      <c r="F15" s="11"/>
    </row>
    <row r="16" spans="1:12" ht="15" x14ac:dyDescent="0.25">
      <c r="B16" s="5"/>
      <c r="C16" s="5" t="s">
        <v>9</v>
      </c>
      <c r="D16" s="8">
        <f>D15-D14</f>
        <v>-24651.87062870706</v>
      </c>
      <c r="E16" s="12">
        <f>E15-E14</f>
        <v>3.9128908259827355</v>
      </c>
      <c r="F16" s="11"/>
    </row>
    <row r="17" spans="2:6" ht="15" x14ac:dyDescent="0.25">
      <c r="B17" s="5"/>
      <c r="C17" s="5"/>
      <c r="D17" s="10"/>
      <c r="E17" s="9"/>
      <c r="F17" s="11"/>
    </row>
    <row r="18" spans="2:6" ht="15" x14ac:dyDescent="0.25">
      <c r="B18" s="5"/>
      <c r="C18" s="5" t="s">
        <v>8</v>
      </c>
      <c r="D18" s="10"/>
      <c r="E18" s="9"/>
      <c r="F18" s="11"/>
    </row>
    <row r="19" spans="2:6" ht="15" x14ac:dyDescent="0.25">
      <c r="B19" s="5"/>
      <c r="C19" s="88" t="s">
        <v>41</v>
      </c>
      <c r="D19" s="8">
        <f>D16/E16</f>
        <v>-6300.1682707351438</v>
      </c>
      <c r="E19" s="7" t="s">
        <v>5</v>
      </c>
      <c r="F19" s="5"/>
    </row>
    <row r="20" spans="2:6" ht="15" x14ac:dyDescent="0.25">
      <c r="B20" s="5"/>
      <c r="C20" s="5"/>
      <c r="D20" s="6"/>
      <c r="E20" s="5"/>
      <c r="F20" s="5"/>
    </row>
    <row r="21" spans="2:6" ht="15" x14ac:dyDescent="0.25">
      <c r="B21" s="5"/>
      <c r="C21" s="5" t="s">
        <v>7</v>
      </c>
      <c r="D21" s="10"/>
      <c r="E21" s="9"/>
      <c r="F21" s="5"/>
    </row>
    <row r="22" spans="2:6" ht="15" x14ac:dyDescent="0.25">
      <c r="B22" s="5"/>
      <c r="C22" s="5" t="s">
        <v>6</v>
      </c>
      <c r="D22" s="8">
        <v>50000</v>
      </c>
      <c r="E22" s="7" t="s">
        <v>5</v>
      </c>
      <c r="F22" s="5"/>
    </row>
    <row r="23" spans="2:6" ht="15" x14ac:dyDescent="0.25">
      <c r="B23" s="5"/>
      <c r="C23" s="88" t="s">
        <v>41</v>
      </c>
      <c r="D23" s="8">
        <f>D22*E16-D16</f>
        <v>220296.41192784382</v>
      </c>
      <c r="E23" s="7" t="s">
        <v>5</v>
      </c>
      <c r="F23" s="5"/>
    </row>
    <row r="24" spans="2:6" ht="15" x14ac:dyDescent="0.25">
      <c r="B24" s="5"/>
      <c r="C24" s="5"/>
      <c r="D24" s="6"/>
      <c r="E24" s="5"/>
      <c r="F24" s="5"/>
    </row>
  </sheetData>
  <conditionalFormatting sqref="I6">
    <cfRule type="cellIs" priority="1" stopIfTrue="1" operator="between">
      <formula>40</formula>
      <formula>90</formula>
    </cfRule>
  </conditionalFormatting>
  <dataValidations count="1">
    <dataValidation type="whole" allowBlank="1" showInputMessage="1" showErrorMessage="1" sqref="I6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42 JE65542 TA65542 ACW65542 AMS65542 AWO65542 BGK65542 BQG65542 CAC65542 CJY65542 CTU65542 DDQ65542 DNM65542 DXI65542 EHE65542 ERA65542 FAW65542 FKS65542 FUO65542 GEK65542 GOG65542 GYC65542 HHY65542 HRU65542 IBQ65542 ILM65542 IVI65542 JFE65542 JPA65542 JYW65542 KIS65542 KSO65542 LCK65542 LMG65542 LWC65542 MFY65542 MPU65542 MZQ65542 NJM65542 NTI65542 ODE65542 ONA65542 OWW65542 PGS65542 PQO65542 QAK65542 QKG65542 QUC65542 RDY65542 RNU65542 RXQ65542 SHM65542 SRI65542 TBE65542 TLA65542 TUW65542 UES65542 UOO65542 UYK65542 VIG65542 VSC65542 WBY65542 WLU65542 WVQ65542 I131078 JE131078 TA131078 ACW131078 AMS131078 AWO131078 BGK131078 BQG131078 CAC131078 CJY131078 CTU131078 DDQ131078 DNM131078 DXI131078 EHE131078 ERA131078 FAW131078 FKS131078 FUO131078 GEK131078 GOG131078 GYC131078 HHY131078 HRU131078 IBQ131078 ILM131078 IVI131078 JFE131078 JPA131078 JYW131078 KIS131078 KSO131078 LCK131078 LMG131078 LWC131078 MFY131078 MPU131078 MZQ131078 NJM131078 NTI131078 ODE131078 ONA131078 OWW131078 PGS131078 PQO131078 QAK131078 QKG131078 QUC131078 RDY131078 RNU131078 RXQ131078 SHM131078 SRI131078 TBE131078 TLA131078 TUW131078 UES131078 UOO131078 UYK131078 VIG131078 VSC131078 WBY131078 WLU131078 WVQ131078 I196614 JE196614 TA196614 ACW196614 AMS196614 AWO196614 BGK196614 BQG196614 CAC196614 CJY196614 CTU196614 DDQ196614 DNM196614 DXI196614 EHE196614 ERA196614 FAW196614 FKS196614 FUO196614 GEK196614 GOG196614 GYC196614 HHY196614 HRU196614 IBQ196614 ILM196614 IVI196614 JFE196614 JPA196614 JYW196614 KIS196614 KSO196614 LCK196614 LMG196614 LWC196614 MFY196614 MPU196614 MZQ196614 NJM196614 NTI196614 ODE196614 ONA196614 OWW196614 PGS196614 PQO196614 QAK196614 QKG196614 QUC196614 RDY196614 RNU196614 RXQ196614 SHM196614 SRI196614 TBE196614 TLA196614 TUW196614 UES196614 UOO196614 UYK196614 VIG196614 VSC196614 WBY196614 WLU196614 WVQ196614 I262150 JE262150 TA262150 ACW262150 AMS262150 AWO262150 BGK262150 BQG262150 CAC262150 CJY262150 CTU262150 DDQ262150 DNM262150 DXI262150 EHE262150 ERA262150 FAW262150 FKS262150 FUO262150 GEK262150 GOG262150 GYC262150 HHY262150 HRU262150 IBQ262150 ILM262150 IVI262150 JFE262150 JPA262150 JYW262150 KIS262150 KSO262150 LCK262150 LMG262150 LWC262150 MFY262150 MPU262150 MZQ262150 NJM262150 NTI262150 ODE262150 ONA262150 OWW262150 PGS262150 PQO262150 QAK262150 QKG262150 QUC262150 RDY262150 RNU262150 RXQ262150 SHM262150 SRI262150 TBE262150 TLA262150 TUW262150 UES262150 UOO262150 UYK262150 VIG262150 VSC262150 WBY262150 WLU262150 WVQ262150 I327686 JE327686 TA327686 ACW327686 AMS327686 AWO327686 BGK327686 BQG327686 CAC327686 CJY327686 CTU327686 DDQ327686 DNM327686 DXI327686 EHE327686 ERA327686 FAW327686 FKS327686 FUO327686 GEK327686 GOG327686 GYC327686 HHY327686 HRU327686 IBQ327686 ILM327686 IVI327686 JFE327686 JPA327686 JYW327686 KIS327686 KSO327686 LCK327686 LMG327686 LWC327686 MFY327686 MPU327686 MZQ327686 NJM327686 NTI327686 ODE327686 ONA327686 OWW327686 PGS327686 PQO327686 QAK327686 QKG327686 QUC327686 RDY327686 RNU327686 RXQ327686 SHM327686 SRI327686 TBE327686 TLA327686 TUW327686 UES327686 UOO327686 UYK327686 VIG327686 VSC327686 WBY327686 WLU327686 WVQ327686 I393222 JE393222 TA393222 ACW393222 AMS393222 AWO393222 BGK393222 BQG393222 CAC393222 CJY393222 CTU393222 DDQ393222 DNM393222 DXI393222 EHE393222 ERA393222 FAW393222 FKS393222 FUO393222 GEK393222 GOG393222 GYC393222 HHY393222 HRU393222 IBQ393222 ILM393222 IVI393222 JFE393222 JPA393222 JYW393222 KIS393222 KSO393222 LCK393222 LMG393222 LWC393222 MFY393222 MPU393222 MZQ393222 NJM393222 NTI393222 ODE393222 ONA393222 OWW393222 PGS393222 PQO393222 QAK393222 QKG393222 QUC393222 RDY393222 RNU393222 RXQ393222 SHM393222 SRI393222 TBE393222 TLA393222 TUW393222 UES393222 UOO393222 UYK393222 VIG393222 VSC393222 WBY393222 WLU393222 WVQ393222 I458758 JE458758 TA458758 ACW458758 AMS458758 AWO458758 BGK458758 BQG458758 CAC458758 CJY458758 CTU458758 DDQ458758 DNM458758 DXI458758 EHE458758 ERA458758 FAW458758 FKS458758 FUO458758 GEK458758 GOG458758 GYC458758 HHY458758 HRU458758 IBQ458758 ILM458758 IVI458758 JFE458758 JPA458758 JYW458758 KIS458758 KSO458758 LCK458758 LMG458758 LWC458758 MFY458758 MPU458758 MZQ458758 NJM458758 NTI458758 ODE458758 ONA458758 OWW458758 PGS458758 PQO458758 QAK458758 QKG458758 QUC458758 RDY458758 RNU458758 RXQ458758 SHM458758 SRI458758 TBE458758 TLA458758 TUW458758 UES458758 UOO458758 UYK458758 VIG458758 VSC458758 WBY458758 WLU458758 WVQ458758 I524294 JE524294 TA524294 ACW524294 AMS524294 AWO524294 BGK524294 BQG524294 CAC524294 CJY524294 CTU524294 DDQ524294 DNM524294 DXI524294 EHE524294 ERA524294 FAW524294 FKS524294 FUO524294 GEK524294 GOG524294 GYC524294 HHY524294 HRU524294 IBQ524294 ILM524294 IVI524294 JFE524294 JPA524294 JYW524294 KIS524294 KSO524294 LCK524294 LMG524294 LWC524294 MFY524294 MPU524294 MZQ524294 NJM524294 NTI524294 ODE524294 ONA524294 OWW524294 PGS524294 PQO524294 QAK524294 QKG524294 QUC524294 RDY524294 RNU524294 RXQ524294 SHM524294 SRI524294 TBE524294 TLA524294 TUW524294 UES524294 UOO524294 UYK524294 VIG524294 VSC524294 WBY524294 WLU524294 WVQ524294 I589830 JE589830 TA589830 ACW589830 AMS589830 AWO589830 BGK589830 BQG589830 CAC589830 CJY589830 CTU589830 DDQ589830 DNM589830 DXI589830 EHE589830 ERA589830 FAW589830 FKS589830 FUO589830 GEK589830 GOG589830 GYC589830 HHY589830 HRU589830 IBQ589830 ILM589830 IVI589830 JFE589830 JPA589830 JYW589830 KIS589830 KSO589830 LCK589830 LMG589830 LWC589830 MFY589830 MPU589830 MZQ589830 NJM589830 NTI589830 ODE589830 ONA589830 OWW589830 PGS589830 PQO589830 QAK589830 QKG589830 QUC589830 RDY589830 RNU589830 RXQ589830 SHM589830 SRI589830 TBE589830 TLA589830 TUW589830 UES589830 UOO589830 UYK589830 VIG589830 VSC589830 WBY589830 WLU589830 WVQ589830 I655366 JE655366 TA655366 ACW655366 AMS655366 AWO655366 BGK655366 BQG655366 CAC655366 CJY655366 CTU655366 DDQ655366 DNM655366 DXI655366 EHE655366 ERA655366 FAW655366 FKS655366 FUO655366 GEK655366 GOG655366 GYC655366 HHY655366 HRU655366 IBQ655366 ILM655366 IVI655366 JFE655366 JPA655366 JYW655366 KIS655366 KSO655366 LCK655366 LMG655366 LWC655366 MFY655366 MPU655366 MZQ655366 NJM655366 NTI655366 ODE655366 ONA655366 OWW655366 PGS655366 PQO655366 QAK655366 QKG655366 QUC655366 RDY655366 RNU655366 RXQ655366 SHM655366 SRI655366 TBE655366 TLA655366 TUW655366 UES655366 UOO655366 UYK655366 VIG655366 VSC655366 WBY655366 WLU655366 WVQ655366 I720902 JE720902 TA720902 ACW720902 AMS720902 AWO720902 BGK720902 BQG720902 CAC720902 CJY720902 CTU720902 DDQ720902 DNM720902 DXI720902 EHE720902 ERA720902 FAW720902 FKS720902 FUO720902 GEK720902 GOG720902 GYC720902 HHY720902 HRU720902 IBQ720902 ILM720902 IVI720902 JFE720902 JPA720902 JYW720902 KIS720902 KSO720902 LCK720902 LMG720902 LWC720902 MFY720902 MPU720902 MZQ720902 NJM720902 NTI720902 ODE720902 ONA720902 OWW720902 PGS720902 PQO720902 QAK720902 QKG720902 QUC720902 RDY720902 RNU720902 RXQ720902 SHM720902 SRI720902 TBE720902 TLA720902 TUW720902 UES720902 UOO720902 UYK720902 VIG720902 VSC720902 WBY720902 WLU720902 WVQ720902 I786438 JE786438 TA786438 ACW786438 AMS786438 AWO786438 BGK786438 BQG786438 CAC786438 CJY786438 CTU786438 DDQ786438 DNM786438 DXI786438 EHE786438 ERA786438 FAW786438 FKS786438 FUO786438 GEK786438 GOG786438 GYC786438 HHY786438 HRU786438 IBQ786438 ILM786438 IVI786438 JFE786438 JPA786438 JYW786438 KIS786438 KSO786438 LCK786438 LMG786438 LWC786438 MFY786438 MPU786438 MZQ786438 NJM786438 NTI786438 ODE786438 ONA786438 OWW786438 PGS786438 PQO786438 QAK786438 QKG786438 QUC786438 RDY786438 RNU786438 RXQ786438 SHM786438 SRI786438 TBE786438 TLA786438 TUW786438 UES786438 UOO786438 UYK786438 VIG786438 VSC786438 WBY786438 WLU786438 WVQ786438 I851974 JE851974 TA851974 ACW851974 AMS851974 AWO851974 BGK851974 BQG851974 CAC851974 CJY851974 CTU851974 DDQ851974 DNM851974 DXI851974 EHE851974 ERA851974 FAW851974 FKS851974 FUO851974 GEK851974 GOG851974 GYC851974 HHY851974 HRU851974 IBQ851974 ILM851974 IVI851974 JFE851974 JPA851974 JYW851974 KIS851974 KSO851974 LCK851974 LMG851974 LWC851974 MFY851974 MPU851974 MZQ851974 NJM851974 NTI851974 ODE851974 ONA851974 OWW851974 PGS851974 PQO851974 QAK851974 QKG851974 QUC851974 RDY851974 RNU851974 RXQ851974 SHM851974 SRI851974 TBE851974 TLA851974 TUW851974 UES851974 UOO851974 UYK851974 VIG851974 VSC851974 WBY851974 WLU851974 WVQ851974 I917510 JE917510 TA917510 ACW917510 AMS917510 AWO917510 BGK917510 BQG917510 CAC917510 CJY917510 CTU917510 DDQ917510 DNM917510 DXI917510 EHE917510 ERA917510 FAW917510 FKS917510 FUO917510 GEK917510 GOG917510 GYC917510 HHY917510 HRU917510 IBQ917510 ILM917510 IVI917510 JFE917510 JPA917510 JYW917510 KIS917510 KSO917510 LCK917510 LMG917510 LWC917510 MFY917510 MPU917510 MZQ917510 NJM917510 NTI917510 ODE917510 ONA917510 OWW917510 PGS917510 PQO917510 QAK917510 QKG917510 QUC917510 RDY917510 RNU917510 RXQ917510 SHM917510 SRI917510 TBE917510 TLA917510 TUW917510 UES917510 UOO917510 UYK917510 VIG917510 VSC917510 WBY917510 WLU917510 WVQ917510 I983046 JE983046 TA983046 ACW983046 AMS983046 AWO983046 BGK983046 BQG983046 CAC983046 CJY983046 CTU983046 DDQ983046 DNM983046 DXI983046 EHE983046 ERA983046 FAW983046 FKS983046 FUO983046 GEK983046 GOG983046 GYC983046 HHY983046 HRU983046 IBQ983046 ILM983046 IVI983046 JFE983046 JPA983046 JYW983046 KIS983046 KSO983046 LCK983046 LMG983046 LWC983046 MFY983046 MPU983046 MZQ983046 NJM983046 NTI983046 ODE983046 ONA983046 OWW983046 PGS983046 PQO983046 QAK983046 QKG983046 QUC983046 RDY983046 RNU983046 RXQ983046 SHM983046 SRI983046 TBE983046 TLA983046 TUW983046 UES983046 UOO983046 UYK983046 VIG983046 VSC983046 WBY983046 WLU983046 WVQ983046">
      <formula1>40</formula1>
      <formula2>90</formula2>
    </dataValidation>
  </dataValidations>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Group Box 1">
              <controlPr defaultSize="0" autoFill="0" autoPict="0">
                <anchor moveWithCells="1">
                  <from>
                    <xdr:col>1</xdr:col>
                    <xdr:colOff>371475</xdr:colOff>
                    <xdr:row>4</xdr:row>
                    <xdr:rowOff>28575</xdr:rowOff>
                  </from>
                  <to>
                    <xdr:col>4</xdr:col>
                    <xdr:colOff>219075</xdr:colOff>
                    <xdr:row>7</xdr:row>
                    <xdr:rowOff>85725</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1</xdr:col>
                    <xdr:colOff>495300</xdr:colOff>
                    <xdr:row>4</xdr:row>
                    <xdr:rowOff>66675</xdr:rowOff>
                  </from>
                  <to>
                    <xdr:col>3</xdr:col>
                    <xdr:colOff>295275</xdr:colOff>
                    <xdr:row>5</xdr:row>
                    <xdr:rowOff>114300</xdr:rowOff>
                  </to>
                </anchor>
              </controlPr>
            </control>
          </mc:Choice>
        </mc:AlternateContent>
        <mc:AlternateContent xmlns:mc="http://schemas.openxmlformats.org/markup-compatibility/2006">
          <mc:Choice Requires="x14">
            <control shapeId="2051" r:id="rId6" name="Option Button 3">
              <controlPr defaultSize="0" autoFill="0" autoLine="0" autoPict="0">
                <anchor moveWithCells="1">
                  <from>
                    <xdr:col>1</xdr:col>
                    <xdr:colOff>495300</xdr:colOff>
                    <xdr:row>5</xdr:row>
                    <xdr:rowOff>142875</xdr:rowOff>
                  </from>
                  <to>
                    <xdr:col>3</xdr:col>
                    <xdr:colOff>295275</xdr:colOff>
                    <xdr:row>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M56"/>
  <sheetViews>
    <sheetView workbookViewId="0">
      <pane ySplit="6" topLeftCell="A26" activePane="bottomLeft" state="frozen"/>
      <selection pane="bottomLeft" activeCell="E68" sqref="E68"/>
    </sheetView>
  </sheetViews>
  <sheetFormatPr defaultRowHeight="12.75" x14ac:dyDescent="0.2"/>
  <cols>
    <col min="1" max="1" width="14.140625" style="55" customWidth="1"/>
    <col min="2" max="2" width="11" style="55" customWidth="1"/>
    <col min="3" max="3" width="9.5703125" style="55" customWidth="1"/>
    <col min="4" max="4" width="9.140625" style="55"/>
    <col min="5" max="5" width="10.85546875" style="55" customWidth="1"/>
    <col min="6" max="6" width="9.140625" style="55"/>
    <col min="7" max="7" width="9.28515625" style="55" customWidth="1"/>
    <col min="8" max="8" width="11.42578125" style="55" bestFit="1" customWidth="1"/>
    <col min="9" max="9" width="9.140625" style="55"/>
    <col min="10" max="10" width="2.28515625" style="55" customWidth="1"/>
    <col min="11" max="11" width="13.85546875" style="55" customWidth="1"/>
    <col min="12" max="12" width="9.7109375" style="55" customWidth="1"/>
    <col min="13" max="13" width="10.42578125" style="55" bestFit="1" customWidth="1"/>
    <col min="14" max="256" width="9.140625" style="55"/>
    <col min="257" max="257" width="14.140625" style="55" customWidth="1"/>
    <col min="258" max="258" width="11" style="55" customWidth="1"/>
    <col min="259" max="259" width="9.5703125" style="55" customWidth="1"/>
    <col min="260" max="260" width="9.140625" style="55"/>
    <col min="261" max="261" width="10.85546875" style="55" customWidth="1"/>
    <col min="262" max="262" width="9.140625" style="55"/>
    <col min="263" max="263" width="9.28515625" style="55" customWidth="1"/>
    <col min="264" max="264" width="11.42578125" style="55" bestFit="1" customWidth="1"/>
    <col min="265" max="265" width="9.140625" style="55"/>
    <col min="266" max="266" width="2.28515625" style="55" customWidth="1"/>
    <col min="267" max="267" width="9.140625" style="55"/>
    <col min="268" max="268" width="9.7109375" style="55" customWidth="1"/>
    <col min="269" max="269" width="10.42578125" style="55" bestFit="1" customWidth="1"/>
    <col min="270" max="512" width="9.140625" style="55"/>
    <col min="513" max="513" width="14.140625" style="55" customWidth="1"/>
    <col min="514" max="514" width="11" style="55" customWidth="1"/>
    <col min="515" max="515" width="9.5703125" style="55" customWidth="1"/>
    <col min="516" max="516" width="9.140625" style="55"/>
    <col min="517" max="517" width="10.85546875" style="55" customWidth="1"/>
    <col min="518" max="518" width="9.140625" style="55"/>
    <col min="519" max="519" width="9.28515625" style="55" customWidth="1"/>
    <col min="520" max="520" width="11.42578125" style="55" bestFit="1" customWidth="1"/>
    <col min="521" max="521" width="9.140625" style="55"/>
    <col min="522" max="522" width="2.28515625" style="55" customWidth="1"/>
    <col min="523" max="523" width="9.140625" style="55"/>
    <col min="524" max="524" width="9.7109375" style="55" customWidth="1"/>
    <col min="525" max="525" width="10.42578125" style="55" bestFit="1" customWidth="1"/>
    <col min="526" max="768" width="9.140625" style="55"/>
    <col min="769" max="769" width="14.140625" style="55" customWidth="1"/>
    <col min="770" max="770" width="11" style="55" customWidth="1"/>
    <col min="771" max="771" width="9.5703125" style="55" customWidth="1"/>
    <col min="772" max="772" width="9.140625" style="55"/>
    <col min="773" max="773" width="10.85546875" style="55" customWidth="1"/>
    <col min="774" max="774" width="9.140625" style="55"/>
    <col min="775" max="775" width="9.28515625" style="55" customWidth="1"/>
    <col min="776" max="776" width="11.42578125" style="55" bestFit="1" customWidth="1"/>
    <col min="777" max="777" width="9.140625" style="55"/>
    <col min="778" max="778" width="2.28515625" style="55" customWidth="1"/>
    <col min="779" max="779" width="9.140625" style="55"/>
    <col min="780" max="780" width="9.7109375" style="55" customWidth="1"/>
    <col min="781" max="781" width="10.42578125" style="55" bestFit="1" customWidth="1"/>
    <col min="782" max="1024" width="9.140625" style="55"/>
    <col min="1025" max="1025" width="14.140625" style="55" customWidth="1"/>
    <col min="1026" max="1026" width="11" style="55" customWidth="1"/>
    <col min="1027" max="1027" width="9.5703125" style="55" customWidth="1"/>
    <col min="1028" max="1028" width="9.140625" style="55"/>
    <col min="1029" max="1029" width="10.85546875" style="55" customWidth="1"/>
    <col min="1030" max="1030" width="9.140625" style="55"/>
    <col min="1031" max="1031" width="9.28515625" style="55" customWidth="1"/>
    <col min="1032" max="1032" width="11.42578125" style="55" bestFit="1" customWidth="1"/>
    <col min="1033" max="1033" width="9.140625" style="55"/>
    <col min="1034" max="1034" width="2.28515625" style="55" customWidth="1"/>
    <col min="1035" max="1035" width="9.140625" style="55"/>
    <col min="1036" max="1036" width="9.7109375" style="55" customWidth="1"/>
    <col min="1037" max="1037" width="10.42578125" style="55" bestFit="1" customWidth="1"/>
    <col min="1038" max="1280" width="9.140625" style="55"/>
    <col min="1281" max="1281" width="14.140625" style="55" customWidth="1"/>
    <col min="1282" max="1282" width="11" style="55" customWidth="1"/>
    <col min="1283" max="1283" width="9.5703125" style="55" customWidth="1"/>
    <col min="1284" max="1284" width="9.140625" style="55"/>
    <col min="1285" max="1285" width="10.85546875" style="55" customWidth="1"/>
    <col min="1286" max="1286" width="9.140625" style="55"/>
    <col min="1287" max="1287" width="9.28515625" style="55" customWidth="1"/>
    <col min="1288" max="1288" width="11.42578125" style="55" bestFit="1" customWidth="1"/>
    <col min="1289" max="1289" width="9.140625" style="55"/>
    <col min="1290" max="1290" width="2.28515625" style="55" customWidth="1"/>
    <col min="1291" max="1291" width="9.140625" style="55"/>
    <col min="1292" max="1292" width="9.7109375" style="55" customWidth="1"/>
    <col min="1293" max="1293" width="10.42578125" style="55" bestFit="1" customWidth="1"/>
    <col min="1294" max="1536" width="9.140625" style="55"/>
    <col min="1537" max="1537" width="14.140625" style="55" customWidth="1"/>
    <col min="1538" max="1538" width="11" style="55" customWidth="1"/>
    <col min="1539" max="1539" width="9.5703125" style="55" customWidth="1"/>
    <col min="1540" max="1540" width="9.140625" style="55"/>
    <col min="1541" max="1541" width="10.85546875" style="55" customWidth="1"/>
    <col min="1542" max="1542" width="9.140625" style="55"/>
    <col min="1543" max="1543" width="9.28515625" style="55" customWidth="1"/>
    <col min="1544" max="1544" width="11.42578125" style="55" bestFit="1" customWidth="1"/>
    <col min="1545" max="1545" width="9.140625" style="55"/>
    <col min="1546" max="1546" width="2.28515625" style="55" customWidth="1"/>
    <col min="1547" max="1547" width="9.140625" style="55"/>
    <col min="1548" max="1548" width="9.7109375" style="55" customWidth="1"/>
    <col min="1549" max="1549" width="10.42578125" style="55" bestFit="1" customWidth="1"/>
    <col min="1550" max="1792" width="9.140625" style="55"/>
    <col min="1793" max="1793" width="14.140625" style="55" customWidth="1"/>
    <col min="1794" max="1794" width="11" style="55" customWidth="1"/>
    <col min="1795" max="1795" width="9.5703125" style="55" customWidth="1"/>
    <col min="1796" max="1796" width="9.140625" style="55"/>
    <col min="1797" max="1797" width="10.85546875" style="55" customWidth="1"/>
    <col min="1798" max="1798" width="9.140625" style="55"/>
    <col min="1799" max="1799" width="9.28515625" style="55" customWidth="1"/>
    <col min="1800" max="1800" width="11.42578125" style="55" bestFit="1" customWidth="1"/>
    <col min="1801" max="1801" width="9.140625" style="55"/>
    <col min="1802" max="1802" width="2.28515625" style="55" customWidth="1"/>
    <col min="1803" max="1803" width="9.140625" style="55"/>
    <col min="1804" max="1804" width="9.7109375" style="55" customWidth="1"/>
    <col min="1805" max="1805" width="10.42578125" style="55" bestFit="1" customWidth="1"/>
    <col min="1806" max="2048" width="9.140625" style="55"/>
    <col min="2049" max="2049" width="14.140625" style="55" customWidth="1"/>
    <col min="2050" max="2050" width="11" style="55" customWidth="1"/>
    <col min="2051" max="2051" width="9.5703125" style="55" customWidth="1"/>
    <col min="2052" max="2052" width="9.140625" style="55"/>
    <col min="2053" max="2053" width="10.85546875" style="55" customWidth="1"/>
    <col min="2054" max="2054" width="9.140625" style="55"/>
    <col min="2055" max="2055" width="9.28515625" style="55" customWidth="1"/>
    <col min="2056" max="2056" width="11.42578125" style="55" bestFit="1" customWidth="1"/>
    <col min="2057" max="2057" width="9.140625" style="55"/>
    <col min="2058" max="2058" width="2.28515625" style="55" customWidth="1"/>
    <col min="2059" max="2059" width="9.140625" style="55"/>
    <col min="2060" max="2060" width="9.7109375" style="55" customWidth="1"/>
    <col min="2061" max="2061" width="10.42578125" style="55" bestFit="1" customWidth="1"/>
    <col min="2062" max="2304" width="9.140625" style="55"/>
    <col min="2305" max="2305" width="14.140625" style="55" customWidth="1"/>
    <col min="2306" max="2306" width="11" style="55" customWidth="1"/>
    <col min="2307" max="2307" width="9.5703125" style="55" customWidth="1"/>
    <col min="2308" max="2308" width="9.140625" style="55"/>
    <col min="2309" max="2309" width="10.85546875" style="55" customWidth="1"/>
    <col min="2310" max="2310" width="9.140625" style="55"/>
    <col min="2311" max="2311" width="9.28515625" style="55" customWidth="1"/>
    <col min="2312" max="2312" width="11.42578125" style="55" bestFit="1" customWidth="1"/>
    <col min="2313" max="2313" width="9.140625" style="55"/>
    <col min="2314" max="2314" width="2.28515625" style="55" customWidth="1"/>
    <col min="2315" max="2315" width="9.140625" style="55"/>
    <col min="2316" max="2316" width="9.7109375" style="55" customWidth="1"/>
    <col min="2317" max="2317" width="10.42578125" style="55" bestFit="1" customWidth="1"/>
    <col min="2318" max="2560" width="9.140625" style="55"/>
    <col min="2561" max="2561" width="14.140625" style="55" customWidth="1"/>
    <col min="2562" max="2562" width="11" style="55" customWidth="1"/>
    <col min="2563" max="2563" width="9.5703125" style="55" customWidth="1"/>
    <col min="2564" max="2564" width="9.140625" style="55"/>
    <col min="2565" max="2565" width="10.85546875" style="55" customWidth="1"/>
    <col min="2566" max="2566" width="9.140625" style="55"/>
    <col min="2567" max="2567" width="9.28515625" style="55" customWidth="1"/>
    <col min="2568" max="2568" width="11.42578125" style="55" bestFit="1" customWidth="1"/>
    <col min="2569" max="2569" width="9.140625" style="55"/>
    <col min="2570" max="2570" width="2.28515625" style="55" customWidth="1"/>
    <col min="2571" max="2571" width="9.140625" style="55"/>
    <col min="2572" max="2572" width="9.7109375" style="55" customWidth="1"/>
    <col min="2573" max="2573" width="10.42578125" style="55" bestFit="1" customWidth="1"/>
    <col min="2574" max="2816" width="9.140625" style="55"/>
    <col min="2817" max="2817" width="14.140625" style="55" customWidth="1"/>
    <col min="2818" max="2818" width="11" style="55" customWidth="1"/>
    <col min="2819" max="2819" width="9.5703125" style="55" customWidth="1"/>
    <col min="2820" max="2820" width="9.140625" style="55"/>
    <col min="2821" max="2821" width="10.85546875" style="55" customWidth="1"/>
    <col min="2822" max="2822" width="9.140625" style="55"/>
    <col min="2823" max="2823" width="9.28515625" style="55" customWidth="1"/>
    <col min="2824" max="2824" width="11.42578125" style="55" bestFit="1" customWidth="1"/>
    <col min="2825" max="2825" width="9.140625" style="55"/>
    <col min="2826" max="2826" width="2.28515625" style="55" customWidth="1"/>
    <col min="2827" max="2827" width="9.140625" style="55"/>
    <col min="2828" max="2828" width="9.7109375" style="55" customWidth="1"/>
    <col min="2829" max="2829" width="10.42578125" style="55" bestFit="1" customWidth="1"/>
    <col min="2830" max="3072" width="9.140625" style="55"/>
    <col min="3073" max="3073" width="14.140625" style="55" customWidth="1"/>
    <col min="3074" max="3074" width="11" style="55" customWidth="1"/>
    <col min="3075" max="3075" width="9.5703125" style="55" customWidth="1"/>
    <col min="3076" max="3076" width="9.140625" style="55"/>
    <col min="3077" max="3077" width="10.85546875" style="55" customWidth="1"/>
    <col min="3078" max="3078" width="9.140625" style="55"/>
    <col min="3079" max="3079" width="9.28515625" style="55" customWidth="1"/>
    <col min="3080" max="3080" width="11.42578125" style="55" bestFit="1" customWidth="1"/>
    <col min="3081" max="3081" width="9.140625" style="55"/>
    <col min="3082" max="3082" width="2.28515625" style="55" customWidth="1"/>
    <col min="3083" max="3083" width="9.140625" style="55"/>
    <col min="3084" max="3084" width="9.7109375" style="55" customWidth="1"/>
    <col min="3085" max="3085" width="10.42578125" style="55" bestFit="1" customWidth="1"/>
    <col min="3086" max="3328" width="9.140625" style="55"/>
    <col min="3329" max="3329" width="14.140625" style="55" customWidth="1"/>
    <col min="3330" max="3330" width="11" style="55" customWidth="1"/>
    <col min="3331" max="3331" width="9.5703125" style="55" customWidth="1"/>
    <col min="3332" max="3332" width="9.140625" style="55"/>
    <col min="3333" max="3333" width="10.85546875" style="55" customWidth="1"/>
    <col min="3334" max="3334" width="9.140625" style="55"/>
    <col min="3335" max="3335" width="9.28515625" style="55" customWidth="1"/>
    <col min="3336" max="3336" width="11.42578125" style="55" bestFit="1" customWidth="1"/>
    <col min="3337" max="3337" width="9.140625" style="55"/>
    <col min="3338" max="3338" width="2.28515625" style="55" customWidth="1"/>
    <col min="3339" max="3339" width="9.140625" style="55"/>
    <col min="3340" max="3340" width="9.7109375" style="55" customWidth="1"/>
    <col min="3341" max="3341" width="10.42578125" style="55" bestFit="1" customWidth="1"/>
    <col min="3342" max="3584" width="9.140625" style="55"/>
    <col min="3585" max="3585" width="14.140625" style="55" customWidth="1"/>
    <col min="3586" max="3586" width="11" style="55" customWidth="1"/>
    <col min="3587" max="3587" width="9.5703125" style="55" customWidth="1"/>
    <col min="3588" max="3588" width="9.140625" style="55"/>
    <col min="3589" max="3589" width="10.85546875" style="55" customWidth="1"/>
    <col min="3590" max="3590" width="9.140625" style="55"/>
    <col min="3591" max="3591" width="9.28515625" style="55" customWidth="1"/>
    <col min="3592" max="3592" width="11.42578125" style="55" bestFit="1" customWidth="1"/>
    <col min="3593" max="3593" width="9.140625" style="55"/>
    <col min="3594" max="3594" width="2.28515625" style="55" customWidth="1"/>
    <col min="3595" max="3595" width="9.140625" style="55"/>
    <col min="3596" max="3596" width="9.7109375" style="55" customWidth="1"/>
    <col min="3597" max="3597" width="10.42578125" style="55" bestFit="1" customWidth="1"/>
    <col min="3598" max="3840" width="9.140625" style="55"/>
    <col min="3841" max="3841" width="14.140625" style="55" customWidth="1"/>
    <col min="3842" max="3842" width="11" style="55" customWidth="1"/>
    <col min="3843" max="3843" width="9.5703125" style="55" customWidth="1"/>
    <col min="3844" max="3844" width="9.140625" style="55"/>
    <col min="3845" max="3845" width="10.85546875" style="55" customWidth="1"/>
    <col min="3846" max="3846" width="9.140625" style="55"/>
    <col min="3847" max="3847" width="9.28515625" style="55" customWidth="1"/>
    <col min="3848" max="3848" width="11.42578125" style="55" bestFit="1" customWidth="1"/>
    <col min="3849" max="3849" width="9.140625" style="55"/>
    <col min="3850" max="3850" width="2.28515625" style="55" customWidth="1"/>
    <col min="3851" max="3851" width="9.140625" style="55"/>
    <col min="3852" max="3852" width="9.7109375" style="55" customWidth="1"/>
    <col min="3853" max="3853" width="10.42578125" style="55" bestFit="1" customWidth="1"/>
    <col min="3854" max="4096" width="9.140625" style="55"/>
    <col min="4097" max="4097" width="14.140625" style="55" customWidth="1"/>
    <col min="4098" max="4098" width="11" style="55" customWidth="1"/>
    <col min="4099" max="4099" width="9.5703125" style="55" customWidth="1"/>
    <col min="4100" max="4100" width="9.140625" style="55"/>
    <col min="4101" max="4101" width="10.85546875" style="55" customWidth="1"/>
    <col min="4102" max="4102" width="9.140625" style="55"/>
    <col min="4103" max="4103" width="9.28515625" style="55" customWidth="1"/>
    <col min="4104" max="4104" width="11.42578125" style="55" bestFit="1" customWidth="1"/>
    <col min="4105" max="4105" width="9.140625" style="55"/>
    <col min="4106" max="4106" width="2.28515625" style="55" customWidth="1"/>
    <col min="4107" max="4107" width="9.140625" style="55"/>
    <col min="4108" max="4108" width="9.7109375" style="55" customWidth="1"/>
    <col min="4109" max="4109" width="10.42578125" style="55" bestFit="1" customWidth="1"/>
    <col min="4110" max="4352" width="9.140625" style="55"/>
    <col min="4353" max="4353" width="14.140625" style="55" customWidth="1"/>
    <col min="4354" max="4354" width="11" style="55" customWidth="1"/>
    <col min="4355" max="4355" width="9.5703125" style="55" customWidth="1"/>
    <col min="4356" max="4356" width="9.140625" style="55"/>
    <col min="4357" max="4357" width="10.85546875" style="55" customWidth="1"/>
    <col min="4358" max="4358" width="9.140625" style="55"/>
    <col min="4359" max="4359" width="9.28515625" style="55" customWidth="1"/>
    <col min="4360" max="4360" width="11.42578125" style="55" bestFit="1" customWidth="1"/>
    <col min="4361" max="4361" width="9.140625" style="55"/>
    <col min="4362" max="4362" width="2.28515625" style="55" customWidth="1"/>
    <col min="4363" max="4363" width="9.140625" style="55"/>
    <col min="4364" max="4364" width="9.7109375" style="55" customWidth="1"/>
    <col min="4365" max="4365" width="10.42578125" style="55" bestFit="1" customWidth="1"/>
    <col min="4366" max="4608" width="9.140625" style="55"/>
    <col min="4609" max="4609" width="14.140625" style="55" customWidth="1"/>
    <col min="4610" max="4610" width="11" style="55" customWidth="1"/>
    <col min="4611" max="4611" width="9.5703125" style="55" customWidth="1"/>
    <col min="4612" max="4612" width="9.140625" style="55"/>
    <col min="4613" max="4613" width="10.85546875" style="55" customWidth="1"/>
    <col min="4614" max="4614" width="9.140625" style="55"/>
    <col min="4615" max="4615" width="9.28515625" style="55" customWidth="1"/>
    <col min="4616" max="4616" width="11.42578125" style="55" bestFit="1" customWidth="1"/>
    <col min="4617" max="4617" width="9.140625" style="55"/>
    <col min="4618" max="4618" width="2.28515625" style="55" customWidth="1"/>
    <col min="4619" max="4619" width="9.140625" style="55"/>
    <col min="4620" max="4620" width="9.7109375" style="55" customWidth="1"/>
    <col min="4621" max="4621" width="10.42578125" style="55" bestFit="1" customWidth="1"/>
    <col min="4622" max="4864" width="9.140625" style="55"/>
    <col min="4865" max="4865" width="14.140625" style="55" customWidth="1"/>
    <col min="4866" max="4866" width="11" style="55" customWidth="1"/>
    <col min="4867" max="4867" width="9.5703125" style="55" customWidth="1"/>
    <col min="4868" max="4868" width="9.140625" style="55"/>
    <col min="4869" max="4869" width="10.85546875" style="55" customWidth="1"/>
    <col min="4870" max="4870" width="9.140625" style="55"/>
    <col min="4871" max="4871" width="9.28515625" style="55" customWidth="1"/>
    <col min="4872" max="4872" width="11.42578125" style="55" bestFit="1" customWidth="1"/>
    <col min="4873" max="4873" width="9.140625" style="55"/>
    <col min="4874" max="4874" width="2.28515625" style="55" customWidth="1"/>
    <col min="4875" max="4875" width="9.140625" style="55"/>
    <col min="4876" max="4876" width="9.7109375" style="55" customWidth="1"/>
    <col min="4877" max="4877" width="10.42578125" style="55" bestFit="1" customWidth="1"/>
    <col min="4878" max="5120" width="9.140625" style="55"/>
    <col min="5121" max="5121" width="14.140625" style="55" customWidth="1"/>
    <col min="5122" max="5122" width="11" style="55" customWidth="1"/>
    <col min="5123" max="5123" width="9.5703125" style="55" customWidth="1"/>
    <col min="5124" max="5124" width="9.140625" style="55"/>
    <col min="5125" max="5125" width="10.85546875" style="55" customWidth="1"/>
    <col min="5126" max="5126" width="9.140625" style="55"/>
    <col min="5127" max="5127" width="9.28515625" style="55" customWidth="1"/>
    <col min="5128" max="5128" width="11.42578125" style="55" bestFit="1" customWidth="1"/>
    <col min="5129" max="5129" width="9.140625" style="55"/>
    <col min="5130" max="5130" width="2.28515625" style="55" customWidth="1"/>
    <col min="5131" max="5131" width="9.140625" style="55"/>
    <col min="5132" max="5132" width="9.7109375" style="55" customWidth="1"/>
    <col min="5133" max="5133" width="10.42578125" style="55" bestFit="1" customWidth="1"/>
    <col min="5134" max="5376" width="9.140625" style="55"/>
    <col min="5377" max="5377" width="14.140625" style="55" customWidth="1"/>
    <col min="5378" max="5378" width="11" style="55" customWidth="1"/>
    <col min="5379" max="5379" width="9.5703125" style="55" customWidth="1"/>
    <col min="5380" max="5380" width="9.140625" style="55"/>
    <col min="5381" max="5381" width="10.85546875" style="55" customWidth="1"/>
    <col min="5382" max="5382" width="9.140625" style="55"/>
    <col min="5383" max="5383" width="9.28515625" style="55" customWidth="1"/>
    <col min="5384" max="5384" width="11.42578125" style="55" bestFit="1" customWidth="1"/>
    <col min="5385" max="5385" width="9.140625" style="55"/>
    <col min="5386" max="5386" width="2.28515625" style="55" customWidth="1"/>
    <col min="5387" max="5387" width="9.140625" style="55"/>
    <col min="5388" max="5388" width="9.7109375" style="55" customWidth="1"/>
    <col min="5389" max="5389" width="10.42578125" style="55" bestFit="1" customWidth="1"/>
    <col min="5390" max="5632" width="9.140625" style="55"/>
    <col min="5633" max="5633" width="14.140625" style="55" customWidth="1"/>
    <col min="5634" max="5634" width="11" style="55" customWidth="1"/>
    <col min="5635" max="5635" width="9.5703125" style="55" customWidth="1"/>
    <col min="5636" max="5636" width="9.140625" style="55"/>
    <col min="5637" max="5637" width="10.85546875" style="55" customWidth="1"/>
    <col min="5638" max="5638" width="9.140625" style="55"/>
    <col min="5639" max="5639" width="9.28515625" style="55" customWidth="1"/>
    <col min="5640" max="5640" width="11.42578125" style="55" bestFit="1" customWidth="1"/>
    <col min="5641" max="5641" width="9.140625" style="55"/>
    <col min="5642" max="5642" width="2.28515625" style="55" customWidth="1"/>
    <col min="5643" max="5643" width="9.140625" style="55"/>
    <col min="5644" max="5644" width="9.7109375" style="55" customWidth="1"/>
    <col min="5645" max="5645" width="10.42578125" style="55" bestFit="1" customWidth="1"/>
    <col min="5646" max="5888" width="9.140625" style="55"/>
    <col min="5889" max="5889" width="14.140625" style="55" customWidth="1"/>
    <col min="5890" max="5890" width="11" style="55" customWidth="1"/>
    <col min="5891" max="5891" width="9.5703125" style="55" customWidth="1"/>
    <col min="5892" max="5892" width="9.140625" style="55"/>
    <col min="5893" max="5893" width="10.85546875" style="55" customWidth="1"/>
    <col min="5894" max="5894" width="9.140625" style="55"/>
    <col min="5895" max="5895" width="9.28515625" style="55" customWidth="1"/>
    <col min="5896" max="5896" width="11.42578125" style="55" bestFit="1" customWidth="1"/>
    <col min="5897" max="5897" width="9.140625" style="55"/>
    <col min="5898" max="5898" width="2.28515625" style="55" customWidth="1"/>
    <col min="5899" max="5899" width="9.140625" style="55"/>
    <col min="5900" max="5900" width="9.7109375" style="55" customWidth="1"/>
    <col min="5901" max="5901" width="10.42578125" style="55" bestFit="1" customWidth="1"/>
    <col min="5902" max="6144" width="9.140625" style="55"/>
    <col min="6145" max="6145" width="14.140625" style="55" customWidth="1"/>
    <col min="6146" max="6146" width="11" style="55" customWidth="1"/>
    <col min="6147" max="6147" width="9.5703125" style="55" customWidth="1"/>
    <col min="6148" max="6148" width="9.140625" style="55"/>
    <col min="6149" max="6149" width="10.85546875" style="55" customWidth="1"/>
    <col min="6150" max="6150" width="9.140625" style="55"/>
    <col min="6151" max="6151" width="9.28515625" style="55" customWidth="1"/>
    <col min="6152" max="6152" width="11.42578125" style="55" bestFit="1" customWidth="1"/>
    <col min="6153" max="6153" width="9.140625" style="55"/>
    <col min="6154" max="6154" width="2.28515625" style="55" customWidth="1"/>
    <col min="6155" max="6155" width="9.140625" style="55"/>
    <col min="6156" max="6156" width="9.7109375" style="55" customWidth="1"/>
    <col min="6157" max="6157" width="10.42578125" style="55" bestFit="1" customWidth="1"/>
    <col min="6158" max="6400" width="9.140625" style="55"/>
    <col min="6401" max="6401" width="14.140625" style="55" customWidth="1"/>
    <col min="6402" max="6402" width="11" style="55" customWidth="1"/>
    <col min="6403" max="6403" width="9.5703125" style="55" customWidth="1"/>
    <col min="6404" max="6404" width="9.140625" style="55"/>
    <col min="6405" max="6405" width="10.85546875" style="55" customWidth="1"/>
    <col min="6406" max="6406" width="9.140625" style="55"/>
    <col min="6407" max="6407" width="9.28515625" style="55" customWidth="1"/>
    <col min="6408" max="6408" width="11.42578125" style="55" bestFit="1" customWidth="1"/>
    <col min="6409" max="6409" width="9.140625" style="55"/>
    <col min="6410" max="6410" width="2.28515625" style="55" customWidth="1"/>
    <col min="6411" max="6411" width="9.140625" style="55"/>
    <col min="6412" max="6412" width="9.7109375" style="55" customWidth="1"/>
    <col min="6413" max="6413" width="10.42578125" style="55" bestFit="1" customWidth="1"/>
    <col min="6414" max="6656" width="9.140625" style="55"/>
    <col min="6657" max="6657" width="14.140625" style="55" customWidth="1"/>
    <col min="6658" max="6658" width="11" style="55" customWidth="1"/>
    <col min="6659" max="6659" width="9.5703125" style="55" customWidth="1"/>
    <col min="6660" max="6660" width="9.140625" style="55"/>
    <col min="6661" max="6661" width="10.85546875" style="55" customWidth="1"/>
    <col min="6662" max="6662" width="9.140625" style="55"/>
    <col min="6663" max="6663" width="9.28515625" style="55" customWidth="1"/>
    <col min="6664" max="6664" width="11.42578125" style="55" bestFit="1" customWidth="1"/>
    <col min="6665" max="6665" width="9.140625" style="55"/>
    <col min="6666" max="6666" width="2.28515625" style="55" customWidth="1"/>
    <col min="6667" max="6667" width="9.140625" style="55"/>
    <col min="6668" max="6668" width="9.7109375" style="55" customWidth="1"/>
    <col min="6669" max="6669" width="10.42578125" style="55" bestFit="1" customWidth="1"/>
    <col min="6670" max="6912" width="9.140625" style="55"/>
    <col min="6913" max="6913" width="14.140625" style="55" customWidth="1"/>
    <col min="6914" max="6914" width="11" style="55" customWidth="1"/>
    <col min="6915" max="6915" width="9.5703125" style="55" customWidth="1"/>
    <col min="6916" max="6916" width="9.140625" style="55"/>
    <col min="6917" max="6917" width="10.85546875" style="55" customWidth="1"/>
    <col min="6918" max="6918" width="9.140625" style="55"/>
    <col min="6919" max="6919" width="9.28515625" style="55" customWidth="1"/>
    <col min="6920" max="6920" width="11.42578125" style="55" bestFit="1" customWidth="1"/>
    <col min="6921" max="6921" width="9.140625" style="55"/>
    <col min="6922" max="6922" width="2.28515625" style="55" customWidth="1"/>
    <col min="6923" max="6923" width="9.140625" style="55"/>
    <col min="6924" max="6924" width="9.7109375" style="55" customWidth="1"/>
    <col min="6925" max="6925" width="10.42578125" style="55" bestFit="1" customWidth="1"/>
    <col min="6926" max="7168" width="9.140625" style="55"/>
    <col min="7169" max="7169" width="14.140625" style="55" customWidth="1"/>
    <col min="7170" max="7170" width="11" style="55" customWidth="1"/>
    <col min="7171" max="7171" width="9.5703125" style="55" customWidth="1"/>
    <col min="7172" max="7172" width="9.140625" style="55"/>
    <col min="7173" max="7173" width="10.85546875" style="55" customWidth="1"/>
    <col min="7174" max="7174" width="9.140625" style="55"/>
    <col min="7175" max="7175" width="9.28515625" style="55" customWidth="1"/>
    <col min="7176" max="7176" width="11.42578125" style="55" bestFit="1" customWidth="1"/>
    <col min="7177" max="7177" width="9.140625" style="55"/>
    <col min="7178" max="7178" width="2.28515625" style="55" customWidth="1"/>
    <col min="7179" max="7179" width="9.140625" style="55"/>
    <col min="7180" max="7180" width="9.7109375" style="55" customWidth="1"/>
    <col min="7181" max="7181" width="10.42578125" style="55" bestFit="1" customWidth="1"/>
    <col min="7182" max="7424" width="9.140625" style="55"/>
    <col min="7425" max="7425" width="14.140625" style="55" customWidth="1"/>
    <col min="7426" max="7426" width="11" style="55" customWidth="1"/>
    <col min="7427" max="7427" width="9.5703125" style="55" customWidth="1"/>
    <col min="7428" max="7428" width="9.140625" style="55"/>
    <col min="7429" max="7429" width="10.85546875" style="55" customWidth="1"/>
    <col min="7430" max="7430" width="9.140625" style="55"/>
    <col min="7431" max="7431" width="9.28515625" style="55" customWidth="1"/>
    <col min="7432" max="7432" width="11.42578125" style="55" bestFit="1" customWidth="1"/>
    <col min="7433" max="7433" width="9.140625" style="55"/>
    <col min="7434" max="7434" width="2.28515625" style="55" customWidth="1"/>
    <col min="7435" max="7435" width="9.140625" style="55"/>
    <col min="7436" max="7436" width="9.7109375" style="55" customWidth="1"/>
    <col min="7437" max="7437" width="10.42578125" style="55" bestFit="1" customWidth="1"/>
    <col min="7438" max="7680" width="9.140625" style="55"/>
    <col min="7681" max="7681" width="14.140625" style="55" customWidth="1"/>
    <col min="7682" max="7682" width="11" style="55" customWidth="1"/>
    <col min="7683" max="7683" width="9.5703125" style="55" customWidth="1"/>
    <col min="7684" max="7684" width="9.140625" style="55"/>
    <col min="7685" max="7685" width="10.85546875" style="55" customWidth="1"/>
    <col min="7686" max="7686" width="9.140625" style="55"/>
    <col min="7687" max="7687" width="9.28515625" style="55" customWidth="1"/>
    <col min="7688" max="7688" width="11.42578125" style="55" bestFit="1" customWidth="1"/>
    <col min="7689" max="7689" width="9.140625" style="55"/>
    <col min="7690" max="7690" width="2.28515625" style="55" customWidth="1"/>
    <col min="7691" max="7691" width="9.140625" style="55"/>
    <col min="7692" max="7692" width="9.7109375" style="55" customWidth="1"/>
    <col min="7693" max="7693" width="10.42578125" style="55" bestFit="1" customWidth="1"/>
    <col min="7694" max="7936" width="9.140625" style="55"/>
    <col min="7937" max="7937" width="14.140625" style="55" customWidth="1"/>
    <col min="7938" max="7938" width="11" style="55" customWidth="1"/>
    <col min="7939" max="7939" width="9.5703125" style="55" customWidth="1"/>
    <col min="7940" max="7940" width="9.140625" style="55"/>
    <col min="7941" max="7941" width="10.85546875" style="55" customWidth="1"/>
    <col min="7942" max="7942" width="9.140625" style="55"/>
    <col min="7943" max="7943" width="9.28515625" style="55" customWidth="1"/>
    <col min="7944" max="7944" width="11.42578125" style="55" bestFit="1" customWidth="1"/>
    <col min="7945" max="7945" width="9.140625" style="55"/>
    <col min="7946" max="7946" width="2.28515625" style="55" customWidth="1"/>
    <col min="7947" max="7947" width="9.140625" style="55"/>
    <col min="7948" max="7948" width="9.7109375" style="55" customWidth="1"/>
    <col min="7949" max="7949" width="10.42578125" style="55" bestFit="1" customWidth="1"/>
    <col min="7950" max="8192" width="9.140625" style="55"/>
    <col min="8193" max="8193" width="14.140625" style="55" customWidth="1"/>
    <col min="8194" max="8194" width="11" style="55" customWidth="1"/>
    <col min="8195" max="8195" width="9.5703125" style="55" customWidth="1"/>
    <col min="8196" max="8196" width="9.140625" style="55"/>
    <col min="8197" max="8197" width="10.85546875" style="55" customWidth="1"/>
    <col min="8198" max="8198" width="9.140625" style="55"/>
    <col min="8199" max="8199" width="9.28515625" style="55" customWidth="1"/>
    <col min="8200" max="8200" width="11.42578125" style="55" bestFit="1" customWidth="1"/>
    <col min="8201" max="8201" width="9.140625" style="55"/>
    <col min="8202" max="8202" width="2.28515625" style="55" customWidth="1"/>
    <col min="8203" max="8203" width="9.140625" style="55"/>
    <col min="8204" max="8204" width="9.7109375" style="55" customWidth="1"/>
    <col min="8205" max="8205" width="10.42578125" style="55" bestFit="1" customWidth="1"/>
    <col min="8206" max="8448" width="9.140625" style="55"/>
    <col min="8449" max="8449" width="14.140625" style="55" customWidth="1"/>
    <col min="8450" max="8450" width="11" style="55" customWidth="1"/>
    <col min="8451" max="8451" width="9.5703125" style="55" customWidth="1"/>
    <col min="8452" max="8452" width="9.140625" style="55"/>
    <col min="8453" max="8453" width="10.85546875" style="55" customWidth="1"/>
    <col min="8454" max="8454" width="9.140625" style="55"/>
    <col min="8455" max="8455" width="9.28515625" style="55" customWidth="1"/>
    <col min="8456" max="8456" width="11.42578125" style="55" bestFit="1" customWidth="1"/>
    <col min="8457" max="8457" width="9.140625" style="55"/>
    <col min="8458" max="8458" width="2.28515625" style="55" customWidth="1"/>
    <col min="8459" max="8459" width="9.140625" style="55"/>
    <col min="8460" max="8460" width="9.7109375" style="55" customWidth="1"/>
    <col min="8461" max="8461" width="10.42578125" style="55" bestFit="1" customWidth="1"/>
    <col min="8462" max="8704" width="9.140625" style="55"/>
    <col min="8705" max="8705" width="14.140625" style="55" customWidth="1"/>
    <col min="8706" max="8706" width="11" style="55" customWidth="1"/>
    <col min="8707" max="8707" width="9.5703125" style="55" customWidth="1"/>
    <col min="8708" max="8708" width="9.140625" style="55"/>
    <col min="8709" max="8709" width="10.85546875" style="55" customWidth="1"/>
    <col min="8710" max="8710" width="9.140625" style="55"/>
    <col min="8711" max="8711" width="9.28515625" style="55" customWidth="1"/>
    <col min="8712" max="8712" width="11.42578125" style="55" bestFit="1" customWidth="1"/>
    <col min="8713" max="8713" width="9.140625" style="55"/>
    <col min="8714" max="8714" width="2.28515625" style="55" customWidth="1"/>
    <col min="8715" max="8715" width="9.140625" style="55"/>
    <col min="8716" max="8716" width="9.7109375" style="55" customWidth="1"/>
    <col min="8717" max="8717" width="10.42578125" style="55" bestFit="1" customWidth="1"/>
    <col min="8718" max="8960" width="9.140625" style="55"/>
    <col min="8961" max="8961" width="14.140625" style="55" customWidth="1"/>
    <col min="8962" max="8962" width="11" style="55" customWidth="1"/>
    <col min="8963" max="8963" width="9.5703125" style="55" customWidth="1"/>
    <col min="8964" max="8964" width="9.140625" style="55"/>
    <col min="8965" max="8965" width="10.85546875" style="55" customWidth="1"/>
    <col min="8966" max="8966" width="9.140625" style="55"/>
    <col min="8967" max="8967" width="9.28515625" style="55" customWidth="1"/>
    <col min="8968" max="8968" width="11.42578125" style="55" bestFit="1" customWidth="1"/>
    <col min="8969" max="8969" width="9.140625" style="55"/>
    <col min="8970" max="8970" width="2.28515625" style="55" customWidth="1"/>
    <col min="8971" max="8971" width="9.140625" style="55"/>
    <col min="8972" max="8972" width="9.7109375" style="55" customWidth="1"/>
    <col min="8973" max="8973" width="10.42578125" style="55" bestFit="1" customWidth="1"/>
    <col min="8974" max="9216" width="9.140625" style="55"/>
    <col min="9217" max="9217" width="14.140625" style="55" customWidth="1"/>
    <col min="9218" max="9218" width="11" style="55" customWidth="1"/>
    <col min="9219" max="9219" width="9.5703125" style="55" customWidth="1"/>
    <col min="9220" max="9220" width="9.140625" style="55"/>
    <col min="9221" max="9221" width="10.85546875" style="55" customWidth="1"/>
    <col min="9222" max="9222" width="9.140625" style="55"/>
    <col min="9223" max="9223" width="9.28515625" style="55" customWidth="1"/>
    <col min="9224" max="9224" width="11.42578125" style="55" bestFit="1" customWidth="1"/>
    <col min="9225" max="9225" width="9.140625" style="55"/>
    <col min="9226" max="9226" width="2.28515625" style="55" customWidth="1"/>
    <col min="9227" max="9227" width="9.140625" style="55"/>
    <col min="9228" max="9228" width="9.7109375" style="55" customWidth="1"/>
    <col min="9229" max="9229" width="10.42578125" style="55" bestFit="1" customWidth="1"/>
    <col min="9230" max="9472" width="9.140625" style="55"/>
    <col min="9473" max="9473" width="14.140625" style="55" customWidth="1"/>
    <col min="9474" max="9474" width="11" style="55" customWidth="1"/>
    <col min="9475" max="9475" width="9.5703125" style="55" customWidth="1"/>
    <col min="9476" max="9476" width="9.140625" style="55"/>
    <col min="9477" max="9477" width="10.85546875" style="55" customWidth="1"/>
    <col min="9478" max="9478" width="9.140625" style="55"/>
    <col min="9479" max="9479" width="9.28515625" style="55" customWidth="1"/>
    <col min="9480" max="9480" width="11.42578125" style="55" bestFit="1" customWidth="1"/>
    <col min="9481" max="9481" width="9.140625" style="55"/>
    <col min="9482" max="9482" width="2.28515625" style="55" customWidth="1"/>
    <col min="9483" max="9483" width="9.140625" style="55"/>
    <col min="9484" max="9484" width="9.7109375" style="55" customWidth="1"/>
    <col min="9485" max="9485" width="10.42578125" style="55" bestFit="1" customWidth="1"/>
    <col min="9486" max="9728" width="9.140625" style="55"/>
    <col min="9729" max="9729" width="14.140625" style="55" customWidth="1"/>
    <col min="9730" max="9730" width="11" style="55" customWidth="1"/>
    <col min="9731" max="9731" width="9.5703125" style="55" customWidth="1"/>
    <col min="9732" max="9732" width="9.140625" style="55"/>
    <col min="9733" max="9733" width="10.85546875" style="55" customWidth="1"/>
    <col min="9734" max="9734" width="9.140625" style="55"/>
    <col min="9735" max="9735" width="9.28515625" style="55" customWidth="1"/>
    <col min="9736" max="9736" width="11.42578125" style="55" bestFit="1" customWidth="1"/>
    <col min="9737" max="9737" width="9.140625" style="55"/>
    <col min="9738" max="9738" width="2.28515625" style="55" customWidth="1"/>
    <col min="9739" max="9739" width="9.140625" style="55"/>
    <col min="9740" max="9740" width="9.7109375" style="55" customWidth="1"/>
    <col min="9741" max="9741" width="10.42578125" style="55" bestFit="1" customWidth="1"/>
    <col min="9742" max="9984" width="9.140625" style="55"/>
    <col min="9985" max="9985" width="14.140625" style="55" customWidth="1"/>
    <col min="9986" max="9986" width="11" style="55" customWidth="1"/>
    <col min="9987" max="9987" width="9.5703125" style="55" customWidth="1"/>
    <col min="9988" max="9988" width="9.140625" style="55"/>
    <col min="9989" max="9989" width="10.85546875" style="55" customWidth="1"/>
    <col min="9990" max="9990" width="9.140625" style="55"/>
    <col min="9991" max="9991" width="9.28515625" style="55" customWidth="1"/>
    <col min="9992" max="9992" width="11.42578125" style="55" bestFit="1" customWidth="1"/>
    <col min="9993" max="9993" width="9.140625" style="55"/>
    <col min="9994" max="9994" width="2.28515625" style="55" customWidth="1"/>
    <col min="9995" max="9995" width="9.140625" style="55"/>
    <col min="9996" max="9996" width="9.7109375" style="55" customWidth="1"/>
    <col min="9997" max="9997" width="10.42578125" style="55" bestFit="1" customWidth="1"/>
    <col min="9998" max="10240" width="9.140625" style="55"/>
    <col min="10241" max="10241" width="14.140625" style="55" customWidth="1"/>
    <col min="10242" max="10242" width="11" style="55" customWidth="1"/>
    <col min="10243" max="10243" width="9.5703125" style="55" customWidth="1"/>
    <col min="10244" max="10244" width="9.140625" style="55"/>
    <col min="10245" max="10245" width="10.85546875" style="55" customWidth="1"/>
    <col min="10246" max="10246" width="9.140625" style="55"/>
    <col min="10247" max="10247" width="9.28515625" style="55" customWidth="1"/>
    <col min="10248" max="10248" width="11.42578125" style="55" bestFit="1" customWidth="1"/>
    <col min="10249" max="10249" width="9.140625" style="55"/>
    <col min="10250" max="10250" width="2.28515625" style="55" customWidth="1"/>
    <col min="10251" max="10251" width="9.140625" style="55"/>
    <col min="10252" max="10252" width="9.7109375" style="55" customWidth="1"/>
    <col min="10253" max="10253" width="10.42578125" style="55" bestFit="1" customWidth="1"/>
    <col min="10254" max="10496" width="9.140625" style="55"/>
    <col min="10497" max="10497" width="14.140625" style="55" customWidth="1"/>
    <col min="10498" max="10498" width="11" style="55" customWidth="1"/>
    <col min="10499" max="10499" width="9.5703125" style="55" customWidth="1"/>
    <col min="10500" max="10500" width="9.140625" style="55"/>
    <col min="10501" max="10501" width="10.85546875" style="55" customWidth="1"/>
    <col min="10502" max="10502" width="9.140625" style="55"/>
    <col min="10503" max="10503" width="9.28515625" style="55" customWidth="1"/>
    <col min="10504" max="10504" width="11.42578125" style="55" bestFit="1" customWidth="1"/>
    <col min="10505" max="10505" width="9.140625" style="55"/>
    <col min="10506" max="10506" width="2.28515625" style="55" customWidth="1"/>
    <col min="10507" max="10507" width="9.140625" style="55"/>
    <col min="10508" max="10508" width="9.7109375" style="55" customWidth="1"/>
    <col min="10509" max="10509" width="10.42578125" style="55" bestFit="1" customWidth="1"/>
    <col min="10510" max="10752" width="9.140625" style="55"/>
    <col min="10753" max="10753" width="14.140625" style="55" customWidth="1"/>
    <col min="10754" max="10754" width="11" style="55" customWidth="1"/>
    <col min="10755" max="10755" width="9.5703125" style="55" customWidth="1"/>
    <col min="10756" max="10756" width="9.140625" style="55"/>
    <col min="10757" max="10757" width="10.85546875" style="55" customWidth="1"/>
    <col min="10758" max="10758" width="9.140625" style="55"/>
    <col min="10759" max="10759" width="9.28515625" style="55" customWidth="1"/>
    <col min="10760" max="10760" width="11.42578125" style="55" bestFit="1" customWidth="1"/>
    <col min="10761" max="10761" width="9.140625" style="55"/>
    <col min="10762" max="10762" width="2.28515625" style="55" customWidth="1"/>
    <col min="10763" max="10763" width="9.140625" style="55"/>
    <col min="10764" max="10764" width="9.7109375" style="55" customWidth="1"/>
    <col min="10765" max="10765" width="10.42578125" style="55" bestFit="1" customWidth="1"/>
    <col min="10766" max="11008" width="9.140625" style="55"/>
    <col min="11009" max="11009" width="14.140625" style="55" customWidth="1"/>
    <col min="11010" max="11010" width="11" style="55" customWidth="1"/>
    <col min="11011" max="11011" width="9.5703125" style="55" customWidth="1"/>
    <col min="11012" max="11012" width="9.140625" style="55"/>
    <col min="11013" max="11013" width="10.85546875" style="55" customWidth="1"/>
    <col min="11014" max="11014" width="9.140625" style="55"/>
    <col min="11015" max="11015" width="9.28515625" style="55" customWidth="1"/>
    <col min="11016" max="11016" width="11.42578125" style="55" bestFit="1" customWidth="1"/>
    <col min="11017" max="11017" width="9.140625" style="55"/>
    <col min="11018" max="11018" width="2.28515625" style="55" customWidth="1"/>
    <col min="11019" max="11019" width="9.140625" style="55"/>
    <col min="11020" max="11020" width="9.7109375" style="55" customWidth="1"/>
    <col min="11021" max="11021" width="10.42578125" style="55" bestFit="1" customWidth="1"/>
    <col min="11022" max="11264" width="9.140625" style="55"/>
    <col min="11265" max="11265" width="14.140625" style="55" customWidth="1"/>
    <col min="11266" max="11266" width="11" style="55" customWidth="1"/>
    <col min="11267" max="11267" width="9.5703125" style="55" customWidth="1"/>
    <col min="11268" max="11268" width="9.140625" style="55"/>
    <col min="11269" max="11269" width="10.85546875" style="55" customWidth="1"/>
    <col min="11270" max="11270" width="9.140625" style="55"/>
    <col min="11271" max="11271" width="9.28515625" style="55" customWidth="1"/>
    <col min="11272" max="11272" width="11.42578125" style="55" bestFit="1" customWidth="1"/>
    <col min="11273" max="11273" width="9.140625" style="55"/>
    <col min="11274" max="11274" width="2.28515625" style="55" customWidth="1"/>
    <col min="11275" max="11275" width="9.140625" style="55"/>
    <col min="11276" max="11276" width="9.7109375" style="55" customWidth="1"/>
    <col min="11277" max="11277" width="10.42578125" style="55" bestFit="1" customWidth="1"/>
    <col min="11278" max="11520" width="9.140625" style="55"/>
    <col min="11521" max="11521" width="14.140625" style="55" customWidth="1"/>
    <col min="11522" max="11522" width="11" style="55" customWidth="1"/>
    <col min="11523" max="11523" width="9.5703125" style="55" customWidth="1"/>
    <col min="11524" max="11524" width="9.140625" style="55"/>
    <col min="11525" max="11525" width="10.85546875" style="55" customWidth="1"/>
    <col min="11526" max="11526" width="9.140625" style="55"/>
    <col min="11527" max="11527" width="9.28515625" style="55" customWidth="1"/>
    <col min="11528" max="11528" width="11.42578125" style="55" bestFit="1" customWidth="1"/>
    <col min="11529" max="11529" width="9.140625" style="55"/>
    <col min="11530" max="11530" width="2.28515625" style="55" customWidth="1"/>
    <col min="11531" max="11531" width="9.140625" style="55"/>
    <col min="11532" max="11532" width="9.7109375" style="55" customWidth="1"/>
    <col min="11533" max="11533" width="10.42578125" style="55" bestFit="1" customWidth="1"/>
    <col min="11534" max="11776" width="9.140625" style="55"/>
    <col min="11777" max="11777" width="14.140625" style="55" customWidth="1"/>
    <col min="11778" max="11778" width="11" style="55" customWidth="1"/>
    <col min="11779" max="11779" width="9.5703125" style="55" customWidth="1"/>
    <col min="11780" max="11780" width="9.140625" style="55"/>
    <col min="11781" max="11781" width="10.85546875" style="55" customWidth="1"/>
    <col min="11782" max="11782" width="9.140625" style="55"/>
    <col min="11783" max="11783" width="9.28515625" style="55" customWidth="1"/>
    <col min="11784" max="11784" width="11.42578125" style="55" bestFit="1" customWidth="1"/>
    <col min="11785" max="11785" width="9.140625" style="55"/>
    <col min="11786" max="11786" width="2.28515625" style="55" customWidth="1"/>
    <col min="11787" max="11787" width="9.140625" style="55"/>
    <col min="11788" max="11788" width="9.7109375" style="55" customWidth="1"/>
    <col min="11789" max="11789" width="10.42578125" style="55" bestFit="1" customWidth="1"/>
    <col min="11790" max="12032" width="9.140625" style="55"/>
    <col min="12033" max="12033" width="14.140625" style="55" customWidth="1"/>
    <col min="12034" max="12034" width="11" style="55" customWidth="1"/>
    <col min="12035" max="12035" width="9.5703125" style="55" customWidth="1"/>
    <col min="12036" max="12036" width="9.140625" style="55"/>
    <col min="12037" max="12037" width="10.85546875" style="55" customWidth="1"/>
    <col min="12038" max="12038" width="9.140625" style="55"/>
    <col min="12039" max="12039" width="9.28515625" style="55" customWidth="1"/>
    <col min="12040" max="12040" width="11.42578125" style="55" bestFit="1" customWidth="1"/>
    <col min="12041" max="12041" width="9.140625" style="55"/>
    <col min="12042" max="12042" width="2.28515625" style="55" customWidth="1"/>
    <col min="12043" max="12043" width="9.140625" style="55"/>
    <col min="12044" max="12044" width="9.7109375" style="55" customWidth="1"/>
    <col min="12045" max="12045" width="10.42578125" style="55" bestFit="1" customWidth="1"/>
    <col min="12046" max="12288" width="9.140625" style="55"/>
    <col min="12289" max="12289" width="14.140625" style="55" customWidth="1"/>
    <col min="12290" max="12290" width="11" style="55" customWidth="1"/>
    <col min="12291" max="12291" width="9.5703125" style="55" customWidth="1"/>
    <col min="12292" max="12292" width="9.140625" style="55"/>
    <col min="12293" max="12293" width="10.85546875" style="55" customWidth="1"/>
    <col min="12294" max="12294" width="9.140625" style="55"/>
    <col min="12295" max="12295" width="9.28515625" style="55" customWidth="1"/>
    <col min="12296" max="12296" width="11.42578125" style="55" bestFit="1" customWidth="1"/>
    <col min="12297" max="12297" width="9.140625" style="55"/>
    <col min="12298" max="12298" width="2.28515625" style="55" customWidth="1"/>
    <col min="12299" max="12299" width="9.140625" style="55"/>
    <col min="12300" max="12300" width="9.7109375" style="55" customWidth="1"/>
    <col min="12301" max="12301" width="10.42578125" style="55" bestFit="1" customWidth="1"/>
    <col min="12302" max="12544" width="9.140625" style="55"/>
    <col min="12545" max="12545" width="14.140625" style="55" customWidth="1"/>
    <col min="12546" max="12546" width="11" style="55" customWidth="1"/>
    <col min="12547" max="12547" width="9.5703125" style="55" customWidth="1"/>
    <col min="12548" max="12548" width="9.140625" style="55"/>
    <col min="12549" max="12549" width="10.85546875" style="55" customWidth="1"/>
    <col min="12550" max="12550" width="9.140625" style="55"/>
    <col min="12551" max="12551" width="9.28515625" style="55" customWidth="1"/>
    <col min="12552" max="12552" width="11.42578125" style="55" bestFit="1" customWidth="1"/>
    <col min="12553" max="12553" width="9.140625" style="55"/>
    <col min="12554" max="12554" width="2.28515625" style="55" customWidth="1"/>
    <col min="12555" max="12555" width="9.140625" style="55"/>
    <col min="12556" max="12556" width="9.7109375" style="55" customWidth="1"/>
    <col min="12557" max="12557" width="10.42578125" style="55" bestFit="1" customWidth="1"/>
    <col min="12558" max="12800" width="9.140625" style="55"/>
    <col min="12801" max="12801" width="14.140625" style="55" customWidth="1"/>
    <col min="12802" max="12802" width="11" style="55" customWidth="1"/>
    <col min="12803" max="12803" width="9.5703125" style="55" customWidth="1"/>
    <col min="12804" max="12804" width="9.140625" style="55"/>
    <col min="12805" max="12805" width="10.85546875" style="55" customWidth="1"/>
    <col min="12806" max="12806" width="9.140625" style="55"/>
    <col min="12807" max="12807" width="9.28515625" style="55" customWidth="1"/>
    <col min="12808" max="12808" width="11.42578125" style="55" bestFit="1" customWidth="1"/>
    <col min="12809" max="12809" width="9.140625" style="55"/>
    <col min="12810" max="12810" width="2.28515625" style="55" customWidth="1"/>
    <col min="12811" max="12811" width="9.140625" style="55"/>
    <col min="12812" max="12812" width="9.7109375" style="55" customWidth="1"/>
    <col min="12813" max="12813" width="10.42578125" style="55" bestFit="1" customWidth="1"/>
    <col min="12814" max="13056" width="9.140625" style="55"/>
    <col min="13057" max="13057" width="14.140625" style="55" customWidth="1"/>
    <col min="13058" max="13058" width="11" style="55" customWidth="1"/>
    <col min="13059" max="13059" width="9.5703125" style="55" customWidth="1"/>
    <col min="13060" max="13060" width="9.140625" style="55"/>
    <col min="13061" max="13061" width="10.85546875" style="55" customWidth="1"/>
    <col min="13062" max="13062" width="9.140625" style="55"/>
    <col min="13063" max="13063" width="9.28515625" style="55" customWidth="1"/>
    <col min="13064" max="13064" width="11.42578125" style="55" bestFit="1" customWidth="1"/>
    <col min="13065" max="13065" width="9.140625" style="55"/>
    <col min="13066" max="13066" width="2.28515625" style="55" customWidth="1"/>
    <col min="13067" max="13067" width="9.140625" style="55"/>
    <col min="13068" max="13068" width="9.7109375" style="55" customWidth="1"/>
    <col min="13069" max="13069" width="10.42578125" style="55" bestFit="1" customWidth="1"/>
    <col min="13070" max="13312" width="9.140625" style="55"/>
    <col min="13313" max="13313" width="14.140625" style="55" customWidth="1"/>
    <col min="13314" max="13314" width="11" style="55" customWidth="1"/>
    <col min="13315" max="13315" width="9.5703125" style="55" customWidth="1"/>
    <col min="13316" max="13316" width="9.140625" style="55"/>
    <col min="13317" max="13317" width="10.85546875" style="55" customWidth="1"/>
    <col min="13318" max="13318" width="9.140625" style="55"/>
    <col min="13319" max="13319" width="9.28515625" style="55" customWidth="1"/>
    <col min="13320" max="13320" width="11.42578125" style="55" bestFit="1" customWidth="1"/>
    <col min="13321" max="13321" width="9.140625" style="55"/>
    <col min="13322" max="13322" width="2.28515625" style="55" customWidth="1"/>
    <col min="13323" max="13323" width="9.140625" style="55"/>
    <col min="13324" max="13324" width="9.7109375" style="55" customWidth="1"/>
    <col min="13325" max="13325" width="10.42578125" style="55" bestFit="1" customWidth="1"/>
    <col min="13326" max="13568" width="9.140625" style="55"/>
    <col min="13569" max="13569" width="14.140625" style="55" customWidth="1"/>
    <col min="13570" max="13570" width="11" style="55" customWidth="1"/>
    <col min="13571" max="13571" width="9.5703125" style="55" customWidth="1"/>
    <col min="13572" max="13572" width="9.140625" style="55"/>
    <col min="13573" max="13573" width="10.85546875" style="55" customWidth="1"/>
    <col min="13574" max="13574" width="9.140625" style="55"/>
    <col min="13575" max="13575" width="9.28515625" style="55" customWidth="1"/>
    <col min="13576" max="13576" width="11.42578125" style="55" bestFit="1" customWidth="1"/>
    <col min="13577" max="13577" width="9.140625" style="55"/>
    <col min="13578" max="13578" width="2.28515625" style="55" customWidth="1"/>
    <col min="13579" max="13579" width="9.140625" style="55"/>
    <col min="13580" max="13580" width="9.7109375" style="55" customWidth="1"/>
    <col min="13581" max="13581" width="10.42578125" style="55" bestFit="1" customWidth="1"/>
    <col min="13582" max="13824" width="9.140625" style="55"/>
    <col min="13825" max="13825" width="14.140625" style="55" customWidth="1"/>
    <col min="13826" max="13826" width="11" style="55" customWidth="1"/>
    <col min="13827" max="13827" width="9.5703125" style="55" customWidth="1"/>
    <col min="13828" max="13828" width="9.140625" style="55"/>
    <col min="13829" max="13829" width="10.85546875" style="55" customWidth="1"/>
    <col min="13830" max="13830" width="9.140625" style="55"/>
    <col min="13831" max="13831" width="9.28515625" style="55" customWidth="1"/>
    <col min="13832" max="13832" width="11.42578125" style="55" bestFit="1" customWidth="1"/>
    <col min="13833" max="13833" width="9.140625" style="55"/>
    <col min="13834" max="13834" width="2.28515625" style="55" customWidth="1"/>
    <col min="13835" max="13835" width="9.140625" style="55"/>
    <col min="13836" max="13836" width="9.7109375" style="55" customWidth="1"/>
    <col min="13837" max="13837" width="10.42578125" style="55" bestFit="1" customWidth="1"/>
    <col min="13838" max="14080" width="9.140625" style="55"/>
    <col min="14081" max="14081" width="14.140625" style="55" customWidth="1"/>
    <col min="14082" max="14082" width="11" style="55" customWidth="1"/>
    <col min="14083" max="14083" width="9.5703125" style="55" customWidth="1"/>
    <col min="14084" max="14084" width="9.140625" style="55"/>
    <col min="14085" max="14085" width="10.85546875" style="55" customWidth="1"/>
    <col min="14086" max="14086" width="9.140625" style="55"/>
    <col min="14087" max="14087" width="9.28515625" style="55" customWidth="1"/>
    <col min="14088" max="14088" width="11.42578125" style="55" bestFit="1" customWidth="1"/>
    <col min="14089" max="14089" width="9.140625" style="55"/>
    <col min="14090" max="14090" width="2.28515625" style="55" customWidth="1"/>
    <col min="14091" max="14091" width="9.140625" style="55"/>
    <col min="14092" max="14092" width="9.7109375" style="55" customWidth="1"/>
    <col min="14093" max="14093" width="10.42578125" style="55" bestFit="1" customWidth="1"/>
    <col min="14094" max="14336" width="9.140625" style="55"/>
    <col min="14337" max="14337" width="14.140625" style="55" customWidth="1"/>
    <col min="14338" max="14338" width="11" style="55" customWidth="1"/>
    <col min="14339" max="14339" width="9.5703125" style="55" customWidth="1"/>
    <col min="14340" max="14340" width="9.140625" style="55"/>
    <col min="14341" max="14341" width="10.85546875" style="55" customWidth="1"/>
    <col min="14342" max="14342" width="9.140625" style="55"/>
    <col min="14343" max="14343" width="9.28515625" style="55" customWidth="1"/>
    <col min="14344" max="14344" width="11.42578125" style="55" bestFit="1" customWidth="1"/>
    <col min="14345" max="14345" width="9.140625" style="55"/>
    <col min="14346" max="14346" width="2.28515625" style="55" customWidth="1"/>
    <col min="14347" max="14347" width="9.140625" style="55"/>
    <col min="14348" max="14348" width="9.7109375" style="55" customWidth="1"/>
    <col min="14349" max="14349" width="10.42578125" style="55" bestFit="1" customWidth="1"/>
    <col min="14350" max="14592" width="9.140625" style="55"/>
    <col min="14593" max="14593" width="14.140625" style="55" customWidth="1"/>
    <col min="14594" max="14594" width="11" style="55" customWidth="1"/>
    <col min="14595" max="14595" width="9.5703125" style="55" customWidth="1"/>
    <col min="14596" max="14596" width="9.140625" style="55"/>
    <col min="14597" max="14597" width="10.85546875" style="55" customWidth="1"/>
    <col min="14598" max="14598" width="9.140625" style="55"/>
    <col min="14599" max="14599" width="9.28515625" style="55" customWidth="1"/>
    <col min="14600" max="14600" width="11.42578125" style="55" bestFit="1" customWidth="1"/>
    <col min="14601" max="14601" width="9.140625" style="55"/>
    <col min="14602" max="14602" width="2.28515625" style="55" customWidth="1"/>
    <col min="14603" max="14603" width="9.140625" style="55"/>
    <col min="14604" max="14604" width="9.7109375" style="55" customWidth="1"/>
    <col min="14605" max="14605" width="10.42578125" style="55" bestFit="1" customWidth="1"/>
    <col min="14606" max="14848" width="9.140625" style="55"/>
    <col min="14849" max="14849" width="14.140625" style="55" customWidth="1"/>
    <col min="14850" max="14850" width="11" style="55" customWidth="1"/>
    <col min="14851" max="14851" width="9.5703125" style="55" customWidth="1"/>
    <col min="14852" max="14852" width="9.140625" style="55"/>
    <col min="14853" max="14853" width="10.85546875" style="55" customWidth="1"/>
    <col min="14854" max="14854" width="9.140625" style="55"/>
    <col min="14855" max="14855" width="9.28515625" style="55" customWidth="1"/>
    <col min="14856" max="14856" width="11.42578125" style="55" bestFit="1" customWidth="1"/>
    <col min="14857" max="14857" width="9.140625" style="55"/>
    <col min="14858" max="14858" width="2.28515625" style="55" customWidth="1"/>
    <col min="14859" max="14859" width="9.140625" style="55"/>
    <col min="14860" max="14860" width="9.7109375" style="55" customWidth="1"/>
    <col min="14861" max="14861" width="10.42578125" style="55" bestFit="1" customWidth="1"/>
    <col min="14862" max="15104" width="9.140625" style="55"/>
    <col min="15105" max="15105" width="14.140625" style="55" customWidth="1"/>
    <col min="15106" max="15106" width="11" style="55" customWidth="1"/>
    <col min="15107" max="15107" width="9.5703125" style="55" customWidth="1"/>
    <col min="15108" max="15108" width="9.140625" style="55"/>
    <col min="15109" max="15109" width="10.85546875" style="55" customWidth="1"/>
    <col min="15110" max="15110" width="9.140625" style="55"/>
    <col min="15111" max="15111" width="9.28515625" style="55" customWidth="1"/>
    <col min="15112" max="15112" width="11.42578125" style="55" bestFit="1" customWidth="1"/>
    <col min="15113" max="15113" width="9.140625" style="55"/>
    <col min="15114" max="15114" width="2.28515625" style="55" customWidth="1"/>
    <col min="15115" max="15115" width="9.140625" style="55"/>
    <col min="15116" max="15116" width="9.7109375" style="55" customWidth="1"/>
    <col min="15117" max="15117" width="10.42578125" style="55" bestFit="1" customWidth="1"/>
    <col min="15118" max="15360" width="9.140625" style="55"/>
    <col min="15361" max="15361" width="14.140625" style="55" customWidth="1"/>
    <col min="15362" max="15362" width="11" style="55" customWidth="1"/>
    <col min="15363" max="15363" width="9.5703125" style="55" customWidth="1"/>
    <col min="15364" max="15364" width="9.140625" style="55"/>
    <col min="15365" max="15365" width="10.85546875" style="55" customWidth="1"/>
    <col min="15366" max="15366" width="9.140625" style="55"/>
    <col min="15367" max="15367" width="9.28515625" style="55" customWidth="1"/>
    <col min="15368" max="15368" width="11.42578125" style="55" bestFit="1" customWidth="1"/>
    <col min="15369" max="15369" width="9.140625" style="55"/>
    <col min="15370" max="15370" width="2.28515625" style="55" customWidth="1"/>
    <col min="15371" max="15371" width="9.140625" style="55"/>
    <col min="15372" max="15372" width="9.7109375" style="55" customWidth="1"/>
    <col min="15373" max="15373" width="10.42578125" style="55" bestFit="1" customWidth="1"/>
    <col min="15374" max="15616" width="9.140625" style="55"/>
    <col min="15617" max="15617" width="14.140625" style="55" customWidth="1"/>
    <col min="15618" max="15618" width="11" style="55" customWidth="1"/>
    <col min="15619" max="15619" width="9.5703125" style="55" customWidth="1"/>
    <col min="15620" max="15620" width="9.140625" style="55"/>
    <col min="15621" max="15621" width="10.85546875" style="55" customWidth="1"/>
    <col min="15622" max="15622" width="9.140625" style="55"/>
    <col min="15623" max="15623" width="9.28515625" style="55" customWidth="1"/>
    <col min="15624" max="15624" width="11.42578125" style="55" bestFit="1" customWidth="1"/>
    <col min="15625" max="15625" width="9.140625" style="55"/>
    <col min="15626" max="15626" width="2.28515625" style="55" customWidth="1"/>
    <col min="15627" max="15627" width="9.140625" style="55"/>
    <col min="15628" max="15628" width="9.7109375" style="55" customWidth="1"/>
    <col min="15629" max="15629" width="10.42578125" style="55" bestFit="1" customWidth="1"/>
    <col min="15630" max="15872" width="9.140625" style="55"/>
    <col min="15873" max="15873" width="14.140625" style="55" customWidth="1"/>
    <col min="15874" max="15874" width="11" style="55" customWidth="1"/>
    <col min="15875" max="15875" width="9.5703125" style="55" customWidth="1"/>
    <col min="15876" max="15876" width="9.140625" style="55"/>
    <col min="15877" max="15877" width="10.85546875" style="55" customWidth="1"/>
    <col min="15878" max="15878" width="9.140625" style="55"/>
    <col min="15879" max="15879" width="9.28515625" style="55" customWidth="1"/>
    <col min="15880" max="15880" width="11.42578125" style="55" bestFit="1" customWidth="1"/>
    <col min="15881" max="15881" width="9.140625" style="55"/>
    <col min="15882" max="15882" width="2.28515625" style="55" customWidth="1"/>
    <col min="15883" max="15883" width="9.140625" style="55"/>
    <col min="15884" max="15884" width="9.7109375" style="55" customWidth="1"/>
    <col min="15885" max="15885" width="10.42578125" style="55" bestFit="1" customWidth="1"/>
    <col min="15886" max="16128" width="9.140625" style="55"/>
    <col min="16129" max="16129" width="14.140625" style="55" customWidth="1"/>
    <col min="16130" max="16130" width="11" style="55" customWidth="1"/>
    <col min="16131" max="16131" width="9.5703125" style="55" customWidth="1"/>
    <col min="16132" max="16132" width="9.140625" style="55"/>
    <col min="16133" max="16133" width="10.85546875" style="55" customWidth="1"/>
    <col min="16134" max="16134" width="9.140625" style="55"/>
    <col min="16135" max="16135" width="9.28515625" style="55" customWidth="1"/>
    <col min="16136" max="16136" width="11.42578125" style="55" bestFit="1" customWidth="1"/>
    <col min="16137" max="16137" width="9.140625" style="55"/>
    <col min="16138" max="16138" width="2.28515625" style="55" customWidth="1"/>
    <col min="16139" max="16139" width="9.140625" style="55"/>
    <col min="16140" max="16140" width="9.7109375" style="55" customWidth="1"/>
    <col min="16141" max="16141" width="10.42578125" style="55" bestFit="1" customWidth="1"/>
    <col min="16142" max="16384" width="9.140625" style="55"/>
  </cols>
  <sheetData>
    <row r="1" spans="1:13" ht="15.75" x14ac:dyDescent="0.25">
      <c r="A1" s="57" t="s">
        <v>27</v>
      </c>
    </row>
    <row r="2" spans="1:13" s="52" customFormat="1" x14ac:dyDescent="0.2">
      <c r="A2" s="58"/>
      <c r="C2" s="55"/>
      <c r="D2" s="55"/>
      <c r="E2" s="55"/>
      <c r="F2" s="55"/>
      <c r="G2" s="55"/>
    </row>
    <row r="3" spans="1:13" s="52" customFormat="1" x14ac:dyDescent="0.2">
      <c r="A3" s="58"/>
      <c r="B3" s="59">
        <v>2</v>
      </c>
      <c r="C3" s="55"/>
      <c r="D3" s="55"/>
      <c r="E3" s="55"/>
      <c r="F3" s="55"/>
      <c r="G3" s="55"/>
    </row>
    <row r="4" spans="1:13" s="52" customFormat="1" x14ac:dyDescent="0.2">
      <c r="A4" s="58"/>
      <c r="C4" s="55"/>
      <c r="D4" s="55"/>
      <c r="E4" s="55"/>
      <c r="F4" s="55"/>
      <c r="G4" s="55"/>
    </row>
    <row r="5" spans="1:13" ht="15.75" x14ac:dyDescent="0.25">
      <c r="A5" s="57"/>
    </row>
    <row r="6" spans="1:13" x14ac:dyDescent="0.2">
      <c r="A6" s="58" t="s">
        <v>28</v>
      </c>
      <c r="B6" s="60" t="s">
        <v>29</v>
      </c>
      <c r="C6" s="61" t="s">
        <v>98</v>
      </c>
      <c r="D6" s="61" t="s">
        <v>30</v>
      </c>
      <c r="L6" s="61" t="s">
        <v>78</v>
      </c>
    </row>
    <row r="7" spans="1:13" x14ac:dyDescent="0.2">
      <c r="H7" s="62"/>
      <c r="I7" s="62"/>
      <c r="J7" s="62"/>
      <c r="K7" s="63"/>
    </row>
    <row r="8" spans="1:13" x14ac:dyDescent="0.2">
      <c r="A8" s="55" t="s">
        <v>25</v>
      </c>
      <c r="B8" s="59">
        <f>[2]Analysis!$I$6</f>
        <v>60</v>
      </c>
      <c r="C8" s="64" t="s">
        <v>31</v>
      </c>
      <c r="D8" s="62"/>
      <c r="E8" s="62"/>
      <c r="F8" s="62"/>
      <c r="G8" s="65"/>
      <c r="H8" s="62"/>
      <c r="I8" s="62"/>
      <c r="J8" s="62"/>
      <c r="K8" s="63"/>
    </row>
    <row r="9" spans="1:13" x14ac:dyDescent="0.2">
      <c r="A9" s="55" t="s">
        <v>26</v>
      </c>
      <c r="B9" s="59">
        <f>IF(B3=2,0,1)</f>
        <v>0</v>
      </c>
      <c r="C9" s="64" t="s">
        <v>32</v>
      </c>
      <c r="D9" s="62"/>
      <c r="E9" s="62"/>
      <c r="F9" s="62"/>
      <c r="G9" s="65"/>
    </row>
    <row r="10" spans="1:13" x14ac:dyDescent="0.2">
      <c r="B10" s="59"/>
      <c r="C10" s="64"/>
      <c r="D10" s="62"/>
      <c r="E10" s="62"/>
      <c r="F10" s="62"/>
      <c r="G10" s="65"/>
    </row>
    <row r="11" spans="1:13" ht="15" x14ac:dyDescent="0.25">
      <c r="A11" s="64" t="s">
        <v>33</v>
      </c>
      <c r="B11" s="66">
        <v>0.06</v>
      </c>
      <c r="C11" s="64" t="s">
        <v>34</v>
      </c>
      <c r="H11" s="62"/>
      <c r="I11" s="62"/>
      <c r="J11" s="62"/>
      <c r="K11" s="63"/>
    </row>
    <row r="12" spans="1:13" ht="15" x14ac:dyDescent="0.25">
      <c r="A12" s="64" t="s">
        <v>35</v>
      </c>
      <c r="B12" s="66">
        <v>1.4999999999999999E-2</v>
      </c>
      <c r="C12" s="64" t="s">
        <v>36</v>
      </c>
      <c r="I12" s="62"/>
      <c r="J12" s="62"/>
      <c r="K12" s="63"/>
    </row>
    <row r="13" spans="1:13" ht="16.5" customHeight="1" x14ac:dyDescent="0.2">
      <c r="A13" s="55" t="s">
        <v>73</v>
      </c>
      <c r="B13" s="55">
        <v>2</v>
      </c>
      <c r="C13" s="67" t="s">
        <v>74</v>
      </c>
      <c r="D13" s="62"/>
      <c r="E13" s="62"/>
      <c r="F13" s="62"/>
      <c r="G13" s="65"/>
      <c r="I13" s="62"/>
      <c r="J13" s="62"/>
      <c r="K13" s="63"/>
    </row>
    <row r="14" spans="1:13" ht="16.5" customHeight="1" x14ac:dyDescent="0.2">
      <c r="C14" s="67"/>
      <c r="D14" s="62"/>
      <c r="E14" s="62"/>
      <c r="F14" s="62"/>
      <c r="G14" s="65"/>
      <c r="I14" s="62"/>
      <c r="J14" s="62"/>
      <c r="K14" s="63"/>
    </row>
    <row r="15" spans="1:13" ht="15" x14ac:dyDescent="0.25">
      <c r="A15" s="103" t="s">
        <v>87</v>
      </c>
      <c r="C15" s="67"/>
      <c r="D15" s="62"/>
      <c r="E15" s="62"/>
      <c r="F15" s="62"/>
      <c r="G15" s="65"/>
      <c r="I15" s="68"/>
      <c r="J15" s="68"/>
      <c r="K15" s="69"/>
      <c r="L15" s="70"/>
      <c r="M15" s="70"/>
    </row>
    <row r="16" spans="1:13" x14ac:dyDescent="0.2">
      <c r="A16" s="61" t="s">
        <v>85</v>
      </c>
      <c r="C16" s="67"/>
      <c r="D16" s="62"/>
      <c r="E16" s="62"/>
      <c r="F16" s="62"/>
      <c r="G16" s="65"/>
      <c r="I16" s="68"/>
      <c r="J16" s="68"/>
      <c r="K16" s="69"/>
      <c r="L16" s="70"/>
      <c r="M16" s="70"/>
    </row>
    <row r="17" spans="1:13" x14ac:dyDescent="0.2">
      <c r="A17" s="61"/>
      <c r="C17" s="67"/>
      <c r="D17" s="62"/>
      <c r="E17" s="62"/>
      <c r="F17" s="62"/>
      <c r="G17" s="65"/>
      <c r="I17" s="68"/>
      <c r="J17" s="68"/>
      <c r="K17" s="69"/>
      <c r="L17" s="70"/>
      <c r="M17" s="70"/>
    </row>
    <row r="18" spans="1:13" s="52" customFormat="1" x14ac:dyDescent="0.2">
      <c r="A18" s="71" t="s">
        <v>80</v>
      </c>
      <c r="B18" s="101">
        <v>0.4</v>
      </c>
      <c r="D18" s="52" t="s">
        <v>77</v>
      </c>
      <c r="E18" s="73"/>
      <c r="F18" s="73"/>
      <c r="G18" s="74"/>
      <c r="I18" s="75"/>
      <c r="J18" s="75"/>
      <c r="K18" s="76"/>
      <c r="L18" s="75" t="s">
        <v>79</v>
      </c>
      <c r="M18" s="75"/>
    </row>
    <row r="19" spans="1:13" s="52" customFormat="1" x14ac:dyDescent="0.2">
      <c r="A19" s="71" t="s">
        <v>75</v>
      </c>
      <c r="B19" s="101">
        <f>Probabilities!E8</f>
        <v>1.5341276249036806E-4</v>
      </c>
      <c r="D19" s="52" t="s">
        <v>81</v>
      </c>
      <c r="E19" s="73"/>
      <c r="F19" s="73"/>
      <c r="G19" s="74"/>
      <c r="H19" s="75"/>
      <c r="I19" s="75"/>
      <c r="J19" s="75"/>
      <c r="K19" s="75"/>
      <c r="L19" s="75"/>
      <c r="M19" s="75"/>
    </row>
    <row r="20" spans="1:13" s="52" customFormat="1" x14ac:dyDescent="0.2">
      <c r="A20" s="52" t="s">
        <v>59</v>
      </c>
      <c r="B20" s="101">
        <f>Probabilities!E7</f>
        <v>1.1650857320283259E-2</v>
      </c>
      <c r="D20" s="52" t="s">
        <v>82</v>
      </c>
      <c r="E20" s="73"/>
      <c r="F20" s="73"/>
      <c r="G20" s="74"/>
      <c r="H20" s="75"/>
      <c r="I20" s="75"/>
      <c r="J20" s="75"/>
      <c r="K20" s="75"/>
      <c r="L20" s="75"/>
      <c r="M20" s="75"/>
    </row>
    <row r="21" spans="1:13" s="52" customFormat="1" x14ac:dyDescent="0.2">
      <c r="B21" s="102">
        <v>0</v>
      </c>
      <c r="D21" s="52" t="s">
        <v>84</v>
      </c>
      <c r="E21" s="73"/>
      <c r="F21" s="73"/>
      <c r="G21" s="74"/>
      <c r="H21" s="75"/>
      <c r="I21" s="75"/>
      <c r="J21" s="75"/>
      <c r="K21" s="75"/>
      <c r="L21" s="75"/>
      <c r="M21" s="75"/>
    </row>
    <row r="22" spans="1:13" s="52" customFormat="1" x14ac:dyDescent="0.2">
      <c r="B22" s="102">
        <v>0</v>
      </c>
      <c r="D22" s="52" t="s">
        <v>83</v>
      </c>
      <c r="E22" s="73"/>
      <c r="F22" s="73"/>
      <c r="G22" s="74"/>
      <c r="H22" s="75"/>
      <c r="I22" s="75"/>
      <c r="J22" s="75"/>
      <c r="K22" s="75"/>
      <c r="L22" s="75"/>
      <c r="M22" s="75"/>
    </row>
    <row r="23" spans="1:13" ht="16.5" customHeight="1" x14ac:dyDescent="0.2">
      <c r="C23" s="67"/>
      <c r="D23" s="62"/>
      <c r="E23" s="62"/>
      <c r="F23" s="62"/>
      <c r="G23" s="65"/>
      <c r="I23" s="62"/>
      <c r="J23" s="62"/>
      <c r="K23" s="63"/>
    </row>
    <row r="24" spans="1:13" x14ac:dyDescent="0.2">
      <c r="A24" s="61" t="s">
        <v>86</v>
      </c>
      <c r="C24" s="67"/>
      <c r="D24" s="62"/>
      <c r="E24" s="62"/>
      <c r="F24" s="62"/>
      <c r="G24" s="65"/>
      <c r="I24" s="68"/>
      <c r="J24" s="68"/>
      <c r="K24" s="69"/>
      <c r="L24" s="70"/>
      <c r="M24" s="70"/>
    </row>
    <row r="25" spans="1:13" x14ac:dyDescent="0.2">
      <c r="A25" s="61" t="s">
        <v>118</v>
      </c>
      <c r="C25" s="67"/>
      <c r="D25" s="62"/>
      <c r="E25" s="62"/>
      <c r="F25" s="62"/>
      <c r="G25" s="65"/>
      <c r="I25" s="68"/>
      <c r="J25" s="68"/>
      <c r="K25" s="69"/>
      <c r="L25" s="70"/>
      <c r="M25" s="70"/>
    </row>
    <row r="26" spans="1:13" s="52" customFormat="1" x14ac:dyDescent="0.2">
      <c r="A26" s="71" t="s">
        <v>120</v>
      </c>
      <c r="B26" s="101">
        <f>Probabilities!E26</f>
        <v>0.10045209288469181</v>
      </c>
      <c r="D26" s="52" t="s">
        <v>68</v>
      </c>
      <c r="E26" s="73"/>
      <c r="F26" s="73"/>
      <c r="G26" s="74"/>
      <c r="I26" s="75"/>
      <c r="J26" s="75"/>
      <c r="K26" s="76"/>
      <c r="L26" s="108" t="s">
        <v>137</v>
      </c>
      <c r="M26" s="108"/>
    </row>
    <row r="27" spans="1:13" s="52" customFormat="1" x14ac:dyDescent="0.2">
      <c r="A27" s="71" t="s">
        <v>121</v>
      </c>
      <c r="B27" s="101">
        <f>Probabilities!E16</f>
        <v>2.2987227351808359E-3</v>
      </c>
      <c r="D27" s="52" t="s">
        <v>69</v>
      </c>
      <c r="E27" s="73"/>
      <c r="F27" s="73"/>
      <c r="G27" s="74"/>
      <c r="H27" s="75"/>
      <c r="I27" s="75"/>
      <c r="J27" s="75"/>
      <c r="K27" s="75"/>
      <c r="L27" s="108" t="s">
        <v>137</v>
      </c>
      <c r="M27" s="108"/>
    </row>
    <row r="28" spans="1:13" s="52" customFormat="1" x14ac:dyDescent="0.2">
      <c r="A28" s="52" t="s">
        <v>122</v>
      </c>
      <c r="B28" s="101">
        <f>Probabilities!E17</f>
        <v>2.2987227351808359E-3</v>
      </c>
      <c r="D28" s="52" t="s">
        <v>70</v>
      </c>
      <c r="E28" s="73"/>
      <c r="F28" s="73"/>
      <c r="G28" s="74"/>
      <c r="H28" s="75"/>
      <c r="I28" s="75"/>
      <c r="J28" s="75"/>
      <c r="K28" s="75"/>
      <c r="L28" s="108" t="s">
        <v>137</v>
      </c>
      <c r="M28" s="108"/>
    </row>
    <row r="29" spans="1:13" x14ac:dyDescent="0.2">
      <c r="A29" s="61" t="s">
        <v>119</v>
      </c>
      <c r="H29" s="62"/>
      <c r="I29" s="62"/>
      <c r="J29" s="62"/>
      <c r="K29" s="77"/>
      <c r="L29" s="78"/>
      <c r="M29" s="78"/>
    </row>
    <row r="30" spans="1:13" x14ac:dyDescent="0.2">
      <c r="A30" s="71" t="s">
        <v>123</v>
      </c>
      <c r="B30" s="101">
        <f>Probabilities!E15</f>
        <v>9.6302166627487917E-2</v>
      </c>
      <c r="C30" s="52"/>
      <c r="D30" s="52" t="s">
        <v>134</v>
      </c>
      <c r="E30" s="73"/>
      <c r="F30" s="73"/>
      <c r="G30" s="74"/>
      <c r="H30" s="52"/>
      <c r="I30" s="75"/>
      <c r="J30" s="75"/>
      <c r="K30" s="76"/>
      <c r="L30" s="108" t="s">
        <v>137</v>
      </c>
      <c r="M30" s="78"/>
    </row>
    <row r="31" spans="1:13" x14ac:dyDescent="0.2">
      <c r="A31" s="71" t="s">
        <v>124</v>
      </c>
      <c r="B31" s="101">
        <f>Probabilities!E16</f>
        <v>2.2987227351808359E-3</v>
      </c>
      <c r="C31" s="52"/>
      <c r="D31" s="52" t="s">
        <v>135</v>
      </c>
      <c r="E31" s="73"/>
      <c r="F31" s="73"/>
      <c r="G31" s="74"/>
      <c r="H31" s="75"/>
      <c r="I31" s="75"/>
      <c r="J31" s="75"/>
      <c r="K31" s="75"/>
      <c r="L31" s="108" t="s">
        <v>137</v>
      </c>
      <c r="M31" s="78"/>
    </row>
    <row r="32" spans="1:13" s="70" customFormat="1" x14ac:dyDescent="0.2">
      <c r="A32" s="52" t="s">
        <v>125</v>
      </c>
      <c r="B32" s="101">
        <f>Probabilities!E17</f>
        <v>2.2987227351808359E-3</v>
      </c>
      <c r="C32" s="52"/>
      <c r="D32" s="52" t="s">
        <v>136</v>
      </c>
      <c r="E32" s="73"/>
      <c r="F32" s="73"/>
      <c r="G32" s="74"/>
      <c r="H32" s="75"/>
      <c r="I32" s="75"/>
      <c r="J32" s="75"/>
      <c r="K32" s="75"/>
      <c r="L32" s="108" t="s">
        <v>137</v>
      </c>
      <c r="M32" s="78"/>
    </row>
    <row r="33" spans="1:13" x14ac:dyDescent="0.2">
      <c r="B33" s="80"/>
      <c r="D33" s="81"/>
      <c r="E33" s="81"/>
      <c r="F33" s="62"/>
      <c r="G33" s="65"/>
    </row>
    <row r="34" spans="1:13" x14ac:dyDescent="0.2">
      <c r="A34" s="61" t="s">
        <v>37</v>
      </c>
      <c r="B34" s="80"/>
      <c r="D34" s="81"/>
      <c r="E34" s="81"/>
      <c r="F34" s="62"/>
      <c r="G34" s="65"/>
      <c r="H34" s="82"/>
      <c r="I34" s="82"/>
      <c r="J34" s="82"/>
      <c r="K34" s="83"/>
      <c r="L34" s="82"/>
      <c r="M34" s="82"/>
    </row>
    <row r="35" spans="1:13" x14ac:dyDescent="0.2">
      <c r="H35" s="82"/>
      <c r="I35" s="82"/>
      <c r="J35" s="82"/>
      <c r="K35" s="83"/>
      <c r="L35" s="82"/>
      <c r="M35" s="82"/>
    </row>
    <row r="36" spans="1:13" s="52" customFormat="1" x14ac:dyDescent="0.2">
      <c r="A36" s="52" t="s">
        <v>88</v>
      </c>
      <c r="B36" s="105">
        <v>2410</v>
      </c>
      <c r="D36" s="52" t="s">
        <v>99</v>
      </c>
      <c r="E36" s="73"/>
      <c r="F36" s="73"/>
      <c r="G36" s="74"/>
      <c r="L36" s="52" t="s">
        <v>112</v>
      </c>
    </row>
    <row r="37" spans="1:13" s="52" customFormat="1" x14ac:dyDescent="0.2">
      <c r="A37" s="52" t="s">
        <v>100</v>
      </c>
      <c r="B37" s="106">
        <v>120</v>
      </c>
      <c r="C37" s="52">
        <v>12</v>
      </c>
      <c r="D37" s="52" t="s">
        <v>103</v>
      </c>
      <c r="E37" s="73"/>
      <c r="F37" s="73"/>
      <c r="G37" s="74"/>
      <c r="H37" s="75"/>
      <c r="I37" s="75"/>
      <c r="J37" s="75"/>
      <c r="K37" s="76"/>
      <c r="L37" s="108" t="s">
        <v>113</v>
      </c>
      <c r="M37" s="75"/>
    </row>
    <row r="38" spans="1:13" s="52" customFormat="1" x14ac:dyDescent="0.2">
      <c r="A38" s="52" t="s">
        <v>101</v>
      </c>
      <c r="B38" s="105">
        <v>548</v>
      </c>
      <c r="C38" s="52">
        <v>55</v>
      </c>
      <c r="D38" s="52" t="s">
        <v>104</v>
      </c>
      <c r="E38" s="73"/>
      <c r="F38" s="73"/>
      <c r="G38" s="74"/>
      <c r="H38" s="75"/>
      <c r="I38" s="75"/>
      <c r="J38" s="75"/>
      <c r="K38" s="76"/>
      <c r="L38" s="109" t="s">
        <v>113</v>
      </c>
      <c r="M38" s="75"/>
    </row>
    <row r="39" spans="1:13" s="52" customFormat="1" x14ac:dyDescent="0.2">
      <c r="A39" s="52" t="s">
        <v>102</v>
      </c>
      <c r="B39" s="107">
        <v>9132</v>
      </c>
      <c r="C39" s="52">
        <v>913</v>
      </c>
      <c r="D39" s="52" t="s">
        <v>105</v>
      </c>
      <c r="E39" s="73"/>
      <c r="F39" s="73"/>
      <c r="G39" s="74"/>
      <c r="H39" s="75"/>
      <c r="I39" s="75"/>
      <c r="J39" s="75"/>
      <c r="K39" s="76"/>
      <c r="L39" s="108" t="s">
        <v>113</v>
      </c>
      <c r="M39" s="75"/>
    </row>
    <row r="40" spans="1:13" s="52" customFormat="1" x14ac:dyDescent="0.2">
      <c r="A40" s="52" t="s">
        <v>107</v>
      </c>
      <c r="B40" s="107">
        <v>100</v>
      </c>
      <c r="D40" s="52" t="s">
        <v>106</v>
      </c>
      <c r="E40" s="73"/>
      <c r="F40" s="73"/>
      <c r="G40" s="74"/>
      <c r="H40" s="85"/>
      <c r="I40" s="85"/>
      <c r="J40" s="85"/>
      <c r="K40" s="86"/>
      <c r="L40" s="110" t="s">
        <v>111</v>
      </c>
      <c r="M40" s="87"/>
    </row>
    <row r="41" spans="1:13" s="52" customFormat="1" x14ac:dyDescent="0.2">
      <c r="A41" s="52" t="s">
        <v>108</v>
      </c>
      <c r="B41" s="107">
        <v>50</v>
      </c>
      <c r="D41" s="52" t="s">
        <v>109</v>
      </c>
      <c r="E41" s="73"/>
      <c r="F41" s="73"/>
      <c r="G41" s="74"/>
      <c r="H41" s="85"/>
      <c r="I41" s="85"/>
      <c r="J41" s="85"/>
      <c r="K41" s="86"/>
      <c r="L41" s="110" t="s">
        <v>111</v>
      </c>
      <c r="M41" s="87"/>
    </row>
    <row r="42" spans="1:13" s="52" customFormat="1" x14ac:dyDescent="0.2">
      <c r="B42" s="84"/>
      <c r="D42" s="73"/>
      <c r="E42" s="73"/>
      <c r="F42" s="73"/>
      <c r="G42" s="74"/>
      <c r="H42" s="55"/>
      <c r="I42" s="55"/>
      <c r="J42" s="55"/>
      <c r="K42" s="55"/>
      <c r="L42" s="55"/>
      <c r="M42" s="55"/>
    </row>
    <row r="43" spans="1:13" ht="15" x14ac:dyDescent="0.25">
      <c r="A43" s="64"/>
      <c r="B43" s="79"/>
      <c r="C43" s="67"/>
      <c r="D43" s="62"/>
      <c r="E43" s="62"/>
      <c r="F43" s="62"/>
      <c r="G43" s="65"/>
    </row>
    <row r="44" spans="1:13" x14ac:dyDescent="0.2">
      <c r="A44" s="61" t="s">
        <v>38</v>
      </c>
      <c r="H44" s="70"/>
      <c r="I44" s="70"/>
      <c r="J44" s="70"/>
      <c r="K44" s="70"/>
      <c r="L44" s="70"/>
      <c r="M44" s="70"/>
    </row>
    <row r="45" spans="1:13" x14ac:dyDescent="0.2">
      <c r="H45" s="70"/>
      <c r="I45" s="70"/>
      <c r="J45" s="70"/>
      <c r="K45" s="70"/>
      <c r="L45" s="70"/>
      <c r="M45" s="70"/>
    </row>
    <row r="46" spans="1:13" s="52" customFormat="1" x14ac:dyDescent="0.2">
      <c r="A46" s="52" t="s">
        <v>89</v>
      </c>
      <c r="B46" s="72">
        <v>0.66900000000000004</v>
      </c>
      <c r="C46" s="52">
        <v>0.15</v>
      </c>
      <c r="D46" s="52" t="s">
        <v>90</v>
      </c>
      <c r="L46" s="52" t="s">
        <v>91</v>
      </c>
    </row>
    <row r="47" spans="1:13" s="52" customFormat="1" x14ac:dyDescent="0.2">
      <c r="A47" s="52" t="s">
        <v>92</v>
      </c>
      <c r="B47" s="72">
        <v>0.57199999999999995</v>
      </c>
      <c r="C47" s="52">
        <v>0.36</v>
      </c>
      <c r="D47" s="52" t="s">
        <v>94</v>
      </c>
      <c r="L47" s="52" t="s">
        <v>110</v>
      </c>
    </row>
    <row r="48" spans="1:13" s="52" customFormat="1" x14ac:dyDescent="0.2">
      <c r="A48" s="52" t="s">
        <v>93</v>
      </c>
      <c r="B48" s="72">
        <v>0.44900000000000001</v>
      </c>
      <c r="C48" s="52">
        <v>0.37</v>
      </c>
      <c r="D48" s="52" t="s">
        <v>95</v>
      </c>
      <c r="L48" s="52" t="s">
        <v>110</v>
      </c>
    </row>
    <row r="49" spans="1:12" s="52" customFormat="1" x14ac:dyDescent="0.2">
      <c r="A49" s="52" t="s">
        <v>96</v>
      </c>
      <c r="B49" s="104">
        <v>0.32600000000000001</v>
      </c>
      <c r="C49" s="52">
        <v>0.39</v>
      </c>
      <c r="D49" s="52" t="s">
        <v>97</v>
      </c>
      <c r="L49" s="52" t="s">
        <v>110</v>
      </c>
    </row>
    <row r="51" spans="1:12" x14ac:dyDescent="0.2">
      <c r="A51" s="61" t="s">
        <v>138</v>
      </c>
    </row>
    <row r="53" spans="1:12" x14ac:dyDescent="0.2">
      <c r="A53" s="55" t="s">
        <v>139</v>
      </c>
      <c r="B53" s="72">
        <f>Probabilities!E35</f>
        <v>3.7417663718882443E-2</v>
      </c>
      <c r="C53" s="52"/>
      <c r="D53" s="52" t="s">
        <v>140</v>
      </c>
      <c r="L53" s="55" t="s">
        <v>156</v>
      </c>
    </row>
    <row r="54" spans="1:12" x14ac:dyDescent="0.2">
      <c r="A54" s="55" t="s">
        <v>141</v>
      </c>
      <c r="B54" s="72">
        <f>Probabilities!E34</f>
        <v>2.5496231708073913E-2</v>
      </c>
      <c r="C54" s="52"/>
      <c r="D54" s="52" t="s">
        <v>142</v>
      </c>
      <c r="L54" s="55" t="s">
        <v>156</v>
      </c>
    </row>
    <row r="55" spans="1:12" x14ac:dyDescent="0.2">
      <c r="A55" s="55" t="s">
        <v>154</v>
      </c>
      <c r="B55" s="72">
        <f>Probabilities!E37</f>
        <v>7.1214038276825598E-3</v>
      </c>
      <c r="C55" s="52"/>
      <c r="D55" s="52" t="s">
        <v>152</v>
      </c>
      <c r="L55" s="55" t="s">
        <v>156</v>
      </c>
    </row>
    <row r="56" spans="1:12" x14ac:dyDescent="0.2">
      <c r="A56" s="55" t="s">
        <v>155</v>
      </c>
      <c r="B56" s="72">
        <f>Probabilities!E36</f>
        <v>5.3273136224152307E-3</v>
      </c>
      <c r="C56" s="52"/>
      <c r="D56" s="52" t="s">
        <v>153</v>
      </c>
      <c r="L56" s="55" t="s">
        <v>156</v>
      </c>
    </row>
  </sheetData>
  <pageMargins left="0.74803149606299213" right="0.74803149606299213" top="0.54" bottom="0.56000000000000005" header="0.51181102362204722" footer="0.51181102362204722"/>
  <pageSetup paperSize="9" scale="66"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N123"/>
  <sheetViews>
    <sheetView workbookViewId="0">
      <selection activeCell="G30" sqref="G30"/>
    </sheetView>
  </sheetViews>
  <sheetFormatPr defaultRowHeight="12.75" x14ac:dyDescent="0.2"/>
  <cols>
    <col min="1" max="1" width="6.85546875" style="4" customWidth="1"/>
    <col min="2" max="2" width="12.42578125" style="4" customWidth="1"/>
    <col min="3" max="16384" width="9.140625" style="4"/>
  </cols>
  <sheetData>
    <row r="1" spans="1:14" ht="15.75" x14ac:dyDescent="0.25">
      <c r="A1" s="23" t="s">
        <v>43</v>
      </c>
      <c r="G1" s="31"/>
      <c r="H1" s="92" t="s">
        <v>51</v>
      </c>
      <c r="I1" s="4" t="s">
        <v>52</v>
      </c>
    </row>
    <row r="2" spans="1:14" ht="15.75" x14ac:dyDescent="0.25">
      <c r="A2" s="23"/>
      <c r="B2" s="92" t="s">
        <v>45</v>
      </c>
      <c r="E2" s="92" t="s">
        <v>42</v>
      </c>
      <c r="H2" s="89"/>
      <c r="I2" s="90"/>
    </row>
    <row r="3" spans="1:14" x14ac:dyDescent="0.2">
      <c r="A3" s="92" t="s">
        <v>44</v>
      </c>
      <c r="B3" s="28" t="s">
        <v>46</v>
      </c>
      <c r="C3" s="30" t="s">
        <v>47</v>
      </c>
      <c r="D3" s="30" t="s">
        <v>48</v>
      </c>
      <c r="E3" s="92" t="s">
        <v>49</v>
      </c>
      <c r="F3" s="92" t="s">
        <v>47</v>
      </c>
      <c r="G3" s="92" t="s">
        <v>50</v>
      </c>
      <c r="H3" s="91"/>
      <c r="I3" s="91"/>
      <c r="J3" s="91"/>
      <c r="K3" s="91"/>
      <c r="L3" s="91"/>
    </row>
    <row r="4" spans="1:14" ht="20.25" x14ac:dyDescent="0.2">
      <c r="A4" s="93">
        <v>0</v>
      </c>
      <c r="B4" s="94">
        <v>6.5189999999999996E-3</v>
      </c>
      <c r="C4" s="95">
        <v>100000</v>
      </c>
      <c r="D4" s="94">
        <v>76.28</v>
      </c>
      <c r="E4" s="94">
        <v>5.3769999999999998E-3</v>
      </c>
      <c r="F4" s="95">
        <v>100000</v>
      </c>
      <c r="G4" s="94">
        <v>81.05</v>
      </c>
      <c r="H4" s="31"/>
      <c r="I4" s="31"/>
      <c r="J4" s="31"/>
      <c r="K4" s="31"/>
    </row>
    <row r="5" spans="1:14" ht="20.25" x14ac:dyDescent="0.2">
      <c r="A5" s="93">
        <v>1</v>
      </c>
      <c r="B5" s="94">
        <v>4.6200000000000001E-4</v>
      </c>
      <c r="C5" s="95">
        <v>99348</v>
      </c>
      <c r="D5" s="94">
        <v>75.78</v>
      </c>
      <c r="E5" s="94">
        <v>3.79E-4</v>
      </c>
      <c r="F5" s="95">
        <v>99462</v>
      </c>
      <c r="G5" s="94">
        <v>80.489999999999995</v>
      </c>
    </row>
    <row r="6" spans="1:14" ht="20.25" x14ac:dyDescent="0.2">
      <c r="A6" s="93">
        <v>2</v>
      </c>
      <c r="B6" s="94">
        <v>2.9100000000000003E-4</v>
      </c>
      <c r="C6" s="95">
        <v>99302</v>
      </c>
      <c r="D6" s="94">
        <v>74.819999999999993</v>
      </c>
      <c r="E6" s="94">
        <v>2.2100000000000001E-4</v>
      </c>
      <c r="F6" s="95">
        <v>99425</v>
      </c>
      <c r="G6" s="94">
        <v>79.52</v>
      </c>
      <c r="H6" s="31"/>
      <c r="I6" s="31"/>
      <c r="J6" s="31"/>
      <c r="K6" s="31"/>
    </row>
    <row r="7" spans="1:14" ht="20.25" x14ac:dyDescent="0.2">
      <c r="A7" s="93">
        <v>3</v>
      </c>
      <c r="B7" s="94">
        <v>2.0900000000000001E-4</v>
      </c>
      <c r="C7" s="95">
        <v>99273</v>
      </c>
      <c r="D7" s="94">
        <v>73.84</v>
      </c>
      <c r="E7" s="94">
        <v>1.6200000000000001E-4</v>
      </c>
      <c r="F7" s="95">
        <v>99403</v>
      </c>
      <c r="G7" s="94">
        <v>78.540000000000006</v>
      </c>
      <c r="L7" s="29"/>
      <c r="M7" s="29"/>
      <c r="N7" s="29"/>
    </row>
    <row r="8" spans="1:14" ht="20.25" x14ac:dyDescent="0.2">
      <c r="A8" s="93">
        <v>4</v>
      </c>
      <c r="B8" s="94">
        <v>1.76E-4</v>
      </c>
      <c r="C8" s="95">
        <v>99252</v>
      </c>
      <c r="D8" s="94">
        <v>72.849999999999994</v>
      </c>
      <c r="E8" s="94">
        <v>1.3300000000000001E-4</v>
      </c>
      <c r="F8" s="95">
        <v>99387</v>
      </c>
      <c r="G8" s="94">
        <v>77.55</v>
      </c>
      <c r="L8" s="29"/>
      <c r="M8" s="29"/>
      <c r="N8" s="29"/>
    </row>
    <row r="9" spans="1:14" ht="20.25" x14ac:dyDescent="0.2">
      <c r="A9" s="96">
        <v>5</v>
      </c>
      <c r="B9" s="97">
        <v>1.5899999999999999E-4</v>
      </c>
      <c r="C9" s="98">
        <v>99235</v>
      </c>
      <c r="D9" s="97">
        <v>71.87</v>
      </c>
      <c r="E9" s="97">
        <v>1.1900000000000001E-4</v>
      </c>
      <c r="F9" s="98">
        <v>99373</v>
      </c>
      <c r="G9" s="97">
        <v>76.56</v>
      </c>
      <c r="L9" s="29"/>
      <c r="M9" s="29"/>
      <c r="N9" s="29"/>
    </row>
    <row r="10" spans="1:14" ht="20.25" x14ac:dyDescent="0.2">
      <c r="A10" s="96">
        <v>6</v>
      </c>
      <c r="B10" s="97">
        <v>1.46E-4</v>
      </c>
      <c r="C10" s="98">
        <v>99219</v>
      </c>
      <c r="D10" s="97">
        <v>70.88</v>
      </c>
      <c r="E10" s="97">
        <v>1.0900000000000001E-4</v>
      </c>
      <c r="F10" s="98">
        <v>99361</v>
      </c>
      <c r="G10" s="97">
        <v>75.569999999999993</v>
      </c>
      <c r="L10" s="29"/>
      <c r="M10" s="29"/>
      <c r="N10" s="29"/>
    </row>
    <row r="11" spans="1:14" ht="20.25" x14ac:dyDescent="0.2">
      <c r="A11" s="96">
        <v>7</v>
      </c>
      <c r="B11" s="97">
        <v>1.3300000000000001E-4</v>
      </c>
      <c r="C11" s="98">
        <v>99205</v>
      </c>
      <c r="D11" s="97">
        <v>69.89</v>
      </c>
      <c r="E11" s="97">
        <v>1.01E-4</v>
      </c>
      <c r="F11" s="98">
        <v>99351</v>
      </c>
      <c r="G11" s="97">
        <v>74.58</v>
      </c>
      <c r="L11" s="29"/>
      <c r="M11" s="29"/>
      <c r="N11" s="29"/>
    </row>
    <row r="12" spans="1:14" ht="20.25" x14ac:dyDescent="0.2">
      <c r="A12" s="96">
        <v>8</v>
      </c>
      <c r="B12" s="97">
        <v>1.18E-4</v>
      </c>
      <c r="C12" s="98">
        <v>99192</v>
      </c>
      <c r="D12" s="97">
        <v>68.900000000000006</v>
      </c>
      <c r="E12" s="97">
        <v>9.6000000000000002E-5</v>
      </c>
      <c r="F12" s="98">
        <v>99341</v>
      </c>
      <c r="G12" s="97">
        <v>73.58</v>
      </c>
      <c r="L12" s="29"/>
      <c r="M12" s="29"/>
      <c r="N12" s="29"/>
    </row>
    <row r="13" spans="1:14" ht="20.25" x14ac:dyDescent="0.2">
      <c r="A13" s="96">
        <v>9</v>
      </c>
      <c r="B13" s="97">
        <v>1.02E-4</v>
      </c>
      <c r="C13" s="98">
        <v>99180</v>
      </c>
      <c r="D13" s="97">
        <v>67.900000000000006</v>
      </c>
      <c r="E13" s="97">
        <v>9.2999999999999997E-5</v>
      </c>
      <c r="F13" s="98">
        <v>99331</v>
      </c>
      <c r="G13" s="97">
        <v>72.59</v>
      </c>
      <c r="L13" s="29"/>
      <c r="M13" s="29"/>
      <c r="N13" s="29"/>
    </row>
    <row r="14" spans="1:14" ht="20.25" x14ac:dyDescent="0.2">
      <c r="A14" s="93">
        <v>10</v>
      </c>
      <c r="B14" s="94">
        <v>9.1000000000000003E-5</v>
      </c>
      <c r="C14" s="95">
        <v>99170</v>
      </c>
      <c r="D14" s="94">
        <v>66.91</v>
      </c>
      <c r="E14" s="94">
        <v>9.3999999999999994E-5</v>
      </c>
      <c r="F14" s="95">
        <v>99322</v>
      </c>
      <c r="G14" s="94">
        <v>71.599999999999994</v>
      </c>
      <c r="L14" s="29"/>
      <c r="M14" s="29"/>
      <c r="N14" s="29"/>
    </row>
    <row r="15" spans="1:14" ht="20.25" x14ac:dyDescent="0.2">
      <c r="A15" s="93">
        <v>11</v>
      </c>
      <c r="B15" s="94">
        <v>9.6000000000000002E-5</v>
      </c>
      <c r="C15" s="95">
        <v>99161</v>
      </c>
      <c r="D15" s="94">
        <v>65.92</v>
      </c>
      <c r="E15" s="94">
        <v>1E-4</v>
      </c>
      <c r="F15" s="95">
        <v>99312</v>
      </c>
      <c r="G15" s="94">
        <v>70.599999999999994</v>
      </c>
      <c r="L15" s="29"/>
      <c r="M15" s="29"/>
      <c r="N15" s="29"/>
    </row>
    <row r="16" spans="1:14" ht="20.25" x14ac:dyDescent="0.2">
      <c r="A16" s="93">
        <v>12</v>
      </c>
      <c r="B16" s="94">
        <v>1.2799999999999999E-4</v>
      </c>
      <c r="C16" s="95">
        <v>99151</v>
      </c>
      <c r="D16" s="94">
        <v>64.92</v>
      </c>
      <c r="E16" s="94">
        <v>1.12E-4</v>
      </c>
      <c r="F16" s="95">
        <v>99303</v>
      </c>
      <c r="G16" s="94">
        <v>69.61</v>
      </c>
      <c r="L16" s="29"/>
      <c r="M16" s="29"/>
      <c r="N16" s="29"/>
    </row>
    <row r="17" spans="1:14" ht="20.25" x14ac:dyDescent="0.2">
      <c r="A17" s="93">
        <v>13</v>
      </c>
      <c r="B17" s="94">
        <v>1.95E-4</v>
      </c>
      <c r="C17" s="95">
        <v>99138</v>
      </c>
      <c r="D17" s="94">
        <v>63.93</v>
      </c>
      <c r="E17" s="94">
        <v>1.34E-4</v>
      </c>
      <c r="F17" s="95">
        <v>99291</v>
      </c>
      <c r="G17" s="94">
        <v>68.62</v>
      </c>
      <c r="L17" s="29"/>
      <c r="M17" s="29"/>
      <c r="N17" s="29"/>
    </row>
    <row r="18" spans="1:14" ht="20.25" x14ac:dyDescent="0.2">
      <c r="A18" s="93">
        <v>14</v>
      </c>
      <c r="B18" s="94">
        <v>2.8800000000000001E-4</v>
      </c>
      <c r="C18" s="95">
        <v>99119</v>
      </c>
      <c r="D18" s="94">
        <v>62.94</v>
      </c>
      <c r="E18" s="94">
        <v>1.6200000000000001E-4</v>
      </c>
      <c r="F18" s="95">
        <v>99278</v>
      </c>
      <c r="G18" s="94">
        <v>67.63</v>
      </c>
      <c r="L18" s="29"/>
      <c r="M18" s="29"/>
      <c r="N18" s="29"/>
    </row>
    <row r="19" spans="1:14" ht="20.25" x14ac:dyDescent="0.2">
      <c r="A19" s="96">
        <v>15</v>
      </c>
      <c r="B19" s="97">
        <v>3.8900000000000002E-4</v>
      </c>
      <c r="C19" s="98">
        <v>99091</v>
      </c>
      <c r="D19" s="97">
        <v>61.96</v>
      </c>
      <c r="E19" s="97">
        <v>1.94E-4</v>
      </c>
      <c r="F19" s="98">
        <v>99262</v>
      </c>
      <c r="G19" s="97">
        <v>66.64</v>
      </c>
      <c r="L19" s="29"/>
      <c r="M19" s="29"/>
      <c r="N19" s="29"/>
    </row>
    <row r="20" spans="1:14" ht="20.25" x14ac:dyDescent="0.2">
      <c r="A20" s="96">
        <v>16</v>
      </c>
      <c r="B20" s="97">
        <v>4.9200000000000003E-4</v>
      </c>
      <c r="C20" s="98">
        <v>99052</v>
      </c>
      <c r="D20" s="97">
        <v>60.99</v>
      </c>
      <c r="E20" s="97">
        <v>2.2599999999999999E-4</v>
      </c>
      <c r="F20" s="98">
        <v>99243</v>
      </c>
      <c r="G20" s="97">
        <v>65.650000000000006</v>
      </c>
      <c r="L20" s="29"/>
      <c r="M20" s="29"/>
      <c r="N20" s="29"/>
    </row>
    <row r="21" spans="1:14" ht="20.25" x14ac:dyDescent="0.2">
      <c r="A21" s="96">
        <v>17</v>
      </c>
      <c r="B21" s="97">
        <v>6.0700000000000001E-4</v>
      </c>
      <c r="C21" s="98">
        <v>99003</v>
      </c>
      <c r="D21" s="97">
        <v>60.02</v>
      </c>
      <c r="E21" s="97">
        <v>2.61E-4</v>
      </c>
      <c r="F21" s="98">
        <v>99220</v>
      </c>
      <c r="G21" s="97">
        <v>64.67</v>
      </c>
      <c r="L21" s="29"/>
      <c r="M21" s="29"/>
      <c r="N21" s="29"/>
    </row>
    <row r="22" spans="1:14" ht="20.25" x14ac:dyDescent="0.2">
      <c r="A22" s="96">
        <v>18</v>
      </c>
      <c r="B22" s="97">
        <v>7.3499999999999998E-4</v>
      </c>
      <c r="C22" s="98">
        <v>98943</v>
      </c>
      <c r="D22" s="97">
        <v>59.05</v>
      </c>
      <c r="E22" s="97">
        <v>2.9700000000000001E-4</v>
      </c>
      <c r="F22" s="98">
        <v>99194</v>
      </c>
      <c r="G22" s="97">
        <v>63.68</v>
      </c>
      <c r="L22" s="29"/>
      <c r="M22" s="29"/>
      <c r="N22" s="29"/>
    </row>
    <row r="23" spans="1:14" ht="20.25" x14ac:dyDescent="0.2">
      <c r="A23" s="96">
        <v>19</v>
      </c>
      <c r="B23" s="97">
        <v>8.6899999999999998E-4</v>
      </c>
      <c r="C23" s="98">
        <v>98870</v>
      </c>
      <c r="D23" s="97">
        <v>58.09</v>
      </c>
      <c r="E23" s="97">
        <v>3.3399999999999999E-4</v>
      </c>
      <c r="F23" s="98">
        <v>99165</v>
      </c>
      <c r="G23" s="97">
        <v>62.7</v>
      </c>
      <c r="L23" s="29"/>
      <c r="M23" s="29"/>
      <c r="N23" s="29"/>
    </row>
    <row r="24" spans="1:14" ht="20.25" x14ac:dyDescent="0.2">
      <c r="A24" s="93">
        <v>20</v>
      </c>
      <c r="B24" s="94">
        <v>1.011E-3</v>
      </c>
      <c r="C24" s="95">
        <v>98785</v>
      </c>
      <c r="D24" s="94">
        <v>57.14</v>
      </c>
      <c r="E24" s="94">
        <v>3.7300000000000001E-4</v>
      </c>
      <c r="F24" s="95">
        <v>99132</v>
      </c>
      <c r="G24" s="94">
        <v>61.72</v>
      </c>
      <c r="L24" s="29"/>
      <c r="M24" s="29"/>
      <c r="N24" s="29"/>
    </row>
    <row r="25" spans="1:14" ht="20.25" x14ac:dyDescent="0.2">
      <c r="A25" s="93">
        <v>21</v>
      </c>
      <c r="B25" s="94">
        <v>1.145E-3</v>
      </c>
      <c r="C25" s="95">
        <v>98685</v>
      </c>
      <c r="D25" s="94">
        <v>56.2</v>
      </c>
      <c r="E25" s="94">
        <v>4.1199999999999999E-4</v>
      </c>
      <c r="F25" s="95">
        <v>99095</v>
      </c>
      <c r="G25" s="94">
        <v>60.75</v>
      </c>
      <c r="L25" s="29"/>
      <c r="M25" s="29"/>
      <c r="N25" s="29"/>
    </row>
    <row r="26" spans="1:14" ht="20.25" x14ac:dyDescent="0.2">
      <c r="A26" s="93">
        <v>22</v>
      </c>
      <c r="B26" s="94">
        <v>1.2459999999999999E-3</v>
      </c>
      <c r="C26" s="95">
        <v>98572</v>
      </c>
      <c r="D26" s="94">
        <v>55.27</v>
      </c>
      <c r="E26" s="94">
        <v>4.46E-4</v>
      </c>
      <c r="F26" s="95">
        <v>99054</v>
      </c>
      <c r="G26" s="94">
        <v>59.77</v>
      </c>
      <c r="L26" s="29"/>
    </row>
    <row r="27" spans="1:14" ht="20.25" x14ac:dyDescent="0.2">
      <c r="A27" s="93">
        <v>23</v>
      </c>
      <c r="B27" s="94">
        <v>1.3010000000000001E-3</v>
      </c>
      <c r="C27" s="95">
        <v>98449</v>
      </c>
      <c r="D27" s="94">
        <v>54.33</v>
      </c>
      <c r="E27" s="94">
        <v>4.7199999999999998E-4</v>
      </c>
      <c r="F27" s="95">
        <v>99010</v>
      </c>
      <c r="G27" s="94">
        <v>58.8</v>
      </c>
      <c r="L27" s="29"/>
    </row>
    <row r="28" spans="1:14" ht="20.25" x14ac:dyDescent="0.2">
      <c r="A28" s="93">
        <v>24</v>
      </c>
      <c r="B28" s="94">
        <v>1.3209999999999999E-3</v>
      </c>
      <c r="C28" s="95">
        <v>98321</v>
      </c>
      <c r="D28" s="94">
        <v>53.4</v>
      </c>
      <c r="E28" s="94">
        <v>4.9299999999999995E-4</v>
      </c>
      <c r="F28" s="95">
        <v>98963</v>
      </c>
      <c r="G28" s="94">
        <v>57.82</v>
      </c>
      <c r="L28" s="29"/>
    </row>
    <row r="29" spans="1:14" ht="20.25" x14ac:dyDescent="0.2">
      <c r="A29" s="96">
        <v>25</v>
      </c>
      <c r="B29" s="97">
        <v>1.33E-3</v>
      </c>
      <c r="C29" s="98">
        <v>98191</v>
      </c>
      <c r="D29" s="97">
        <v>52.47</v>
      </c>
      <c r="E29" s="97">
        <v>5.13E-4</v>
      </c>
      <c r="F29" s="98">
        <v>98915</v>
      </c>
      <c r="G29" s="97">
        <v>56.85</v>
      </c>
      <c r="L29" s="29"/>
    </row>
    <row r="30" spans="1:14" ht="20.25" x14ac:dyDescent="0.2">
      <c r="A30" s="96">
        <v>26</v>
      </c>
      <c r="B30" s="97">
        <v>1.3450000000000001E-3</v>
      </c>
      <c r="C30" s="98">
        <v>98060</v>
      </c>
      <c r="D30" s="97">
        <v>51.54</v>
      </c>
      <c r="E30" s="97">
        <v>5.3700000000000004E-4</v>
      </c>
      <c r="F30" s="98">
        <v>98864</v>
      </c>
      <c r="G30" s="97">
        <v>55.88</v>
      </c>
      <c r="L30" s="29"/>
    </row>
    <row r="31" spans="1:14" ht="20.25" x14ac:dyDescent="0.2">
      <c r="A31" s="96">
        <v>27</v>
      </c>
      <c r="B31" s="97">
        <v>1.3630000000000001E-3</v>
      </c>
      <c r="C31" s="98">
        <v>97928</v>
      </c>
      <c r="D31" s="97">
        <v>50.61</v>
      </c>
      <c r="E31" s="97">
        <v>5.6300000000000002E-4</v>
      </c>
      <c r="F31" s="98">
        <v>98811</v>
      </c>
      <c r="G31" s="97">
        <v>54.91</v>
      </c>
      <c r="L31" s="29"/>
    </row>
    <row r="32" spans="1:14" ht="20.25" x14ac:dyDescent="0.2">
      <c r="A32" s="96">
        <v>28</v>
      </c>
      <c r="B32" s="97">
        <v>1.3910000000000001E-3</v>
      </c>
      <c r="C32" s="98">
        <v>97795</v>
      </c>
      <c r="D32" s="97">
        <v>49.68</v>
      </c>
      <c r="E32" s="97">
        <v>5.9299999999999999E-4</v>
      </c>
      <c r="F32" s="98">
        <v>98755</v>
      </c>
      <c r="G32" s="97">
        <v>53.94</v>
      </c>
    </row>
    <row r="33" spans="1:11" ht="20.25" x14ac:dyDescent="0.2">
      <c r="A33" s="96">
        <v>29</v>
      </c>
      <c r="B33" s="97">
        <v>1.4270000000000001E-3</v>
      </c>
      <c r="C33" s="98">
        <v>97659</v>
      </c>
      <c r="D33" s="97">
        <v>48.75</v>
      </c>
      <c r="E33" s="97">
        <v>6.2699999999999995E-4</v>
      </c>
      <c r="F33" s="98">
        <v>98697</v>
      </c>
      <c r="G33" s="97">
        <v>52.97</v>
      </c>
    </row>
    <row r="34" spans="1:11" ht="20.25" x14ac:dyDescent="0.2">
      <c r="A34" s="93">
        <v>30</v>
      </c>
      <c r="B34" s="94">
        <v>1.467E-3</v>
      </c>
      <c r="C34" s="95">
        <v>97519</v>
      </c>
      <c r="D34" s="94">
        <v>47.82</v>
      </c>
      <c r="E34" s="94">
        <v>6.6399999999999999E-4</v>
      </c>
      <c r="F34" s="95">
        <v>98635</v>
      </c>
      <c r="G34" s="94">
        <v>52.01</v>
      </c>
    </row>
    <row r="35" spans="1:11" ht="20.25" x14ac:dyDescent="0.2">
      <c r="A35" s="93">
        <v>31</v>
      </c>
      <c r="B35" s="94">
        <v>1.505E-3</v>
      </c>
      <c r="C35" s="95">
        <v>97376</v>
      </c>
      <c r="D35" s="94">
        <v>46.89</v>
      </c>
      <c r="E35" s="94">
        <v>7.0500000000000001E-4</v>
      </c>
      <c r="F35" s="95">
        <v>98569</v>
      </c>
      <c r="G35" s="94">
        <v>51.04</v>
      </c>
    </row>
    <row r="36" spans="1:11" ht="20.25" x14ac:dyDescent="0.2">
      <c r="A36" s="93">
        <v>32</v>
      </c>
      <c r="B36" s="94">
        <v>1.5410000000000001E-3</v>
      </c>
      <c r="C36" s="95">
        <v>97230</v>
      </c>
      <c r="D36" s="94">
        <v>45.96</v>
      </c>
      <c r="E36" s="94">
        <v>7.4799999999999997E-4</v>
      </c>
      <c r="F36" s="95">
        <v>98500</v>
      </c>
      <c r="G36" s="94">
        <v>50.08</v>
      </c>
    </row>
    <row r="37" spans="1:11" ht="20.25" x14ac:dyDescent="0.2">
      <c r="A37" s="93">
        <v>33</v>
      </c>
      <c r="B37" s="94">
        <v>1.573E-3</v>
      </c>
      <c r="C37" s="95">
        <v>97080</v>
      </c>
      <c r="D37" s="94">
        <v>45.03</v>
      </c>
      <c r="E37" s="94">
        <v>7.94E-4</v>
      </c>
      <c r="F37" s="95">
        <v>98426</v>
      </c>
      <c r="G37" s="94">
        <v>49.11</v>
      </c>
    </row>
    <row r="38" spans="1:11" ht="20.25" x14ac:dyDescent="0.2">
      <c r="A38" s="93">
        <v>34</v>
      </c>
      <c r="B38" s="94">
        <v>1.606E-3</v>
      </c>
      <c r="C38" s="95">
        <v>96927</v>
      </c>
      <c r="D38" s="94">
        <v>44.1</v>
      </c>
      <c r="E38" s="94">
        <v>8.4500000000000005E-4</v>
      </c>
      <c r="F38" s="95">
        <v>98348</v>
      </c>
      <c r="G38" s="94">
        <v>48.15</v>
      </c>
    </row>
    <row r="39" spans="1:11" ht="20.25" x14ac:dyDescent="0.2">
      <c r="A39" s="96">
        <v>35</v>
      </c>
      <c r="B39" s="97">
        <v>1.6479999999999999E-3</v>
      </c>
      <c r="C39" s="98">
        <v>96772</v>
      </c>
      <c r="D39" s="97">
        <v>43.17</v>
      </c>
      <c r="E39" s="97">
        <v>9.0300000000000005E-4</v>
      </c>
      <c r="F39" s="98">
        <v>98265</v>
      </c>
      <c r="G39" s="97">
        <v>47.19</v>
      </c>
    </row>
    <row r="40" spans="1:11" ht="20.25" x14ac:dyDescent="0.2">
      <c r="A40" s="96">
        <v>36</v>
      </c>
      <c r="B40" s="97">
        <v>1.704E-3</v>
      </c>
      <c r="C40" s="98">
        <v>96612</v>
      </c>
      <c r="D40" s="97">
        <v>42.24</v>
      </c>
      <c r="E40" s="97">
        <v>9.68E-4</v>
      </c>
      <c r="F40" s="98">
        <v>98176</v>
      </c>
      <c r="G40" s="97">
        <v>46.23</v>
      </c>
    </row>
    <row r="41" spans="1:11" ht="20.25" x14ac:dyDescent="0.2">
      <c r="A41" s="96">
        <v>37</v>
      </c>
      <c r="B41" s="97">
        <v>1.774E-3</v>
      </c>
      <c r="C41" s="98">
        <v>96448</v>
      </c>
      <c r="D41" s="97">
        <v>41.31</v>
      </c>
      <c r="E41" s="97">
        <v>1.0380000000000001E-3</v>
      </c>
      <c r="F41" s="98">
        <v>98081</v>
      </c>
      <c r="G41" s="97">
        <v>45.28</v>
      </c>
    </row>
    <row r="42" spans="1:11" ht="20.25" x14ac:dyDescent="0.2">
      <c r="A42" s="96">
        <v>38</v>
      </c>
      <c r="B42" s="97">
        <v>1.861E-3</v>
      </c>
      <c r="C42" s="98">
        <v>96277</v>
      </c>
      <c r="D42" s="97">
        <v>40.380000000000003</v>
      </c>
      <c r="E42" s="97">
        <v>1.1130000000000001E-3</v>
      </c>
      <c r="F42" s="98">
        <v>97979</v>
      </c>
      <c r="G42" s="97">
        <v>44.33</v>
      </c>
    </row>
    <row r="43" spans="1:11" ht="20.25" x14ac:dyDescent="0.2">
      <c r="A43" s="96">
        <v>39</v>
      </c>
      <c r="B43" s="97">
        <v>1.967E-3</v>
      </c>
      <c r="C43" s="98">
        <v>96097</v>
      </c>
      <c r="D43" s="97">
        <v>39.46</v>
      </c>
      <c r="E43" s="97">
        <v>1.196E-3</v>
      </c>
      <c r="F43" s="98">
        <v>97870</v>
      </c>
      <c r="G43" s="97">
        <v>43.37</v>
      </c>
    </row>
    <row r="44" spans="1:11" ht="20.25" x14ac:dyDescent="0.2">
      <c r="A44" s="93">
        <v>40</v>
      </c>
      <c r="B44" s="94">
        <v>2.0920000000000001E-3</v>
      </c>
      <c r="C44" s="95">
        <v>95908</v>
      </c>
      <c r="D44" s="94">
        <v>38.53</v>
      </c>
      <c r="E44" s="94">
        <v>1.2869999999999999E-3</v>
      </c>
      <c r="F44" s="95">
        <v>97753</v>
      </c>
      <c r="G44" s="94">
        <v>42.43</v>
      </c>
    </row>
    <row r="45" spans="1:11" ht="20.25" x14ac:dyDescent="0.2">
      <c r="A45" s="93">
        <v>41</v>
      </c>
      <c r="B45" s="94">
        <v>2.2399999999999998E-3</v>
      </c>
      <c r="C45" s="95">
        <v>95708</v>
      </c>
      <c r="D45" s="94">
        <v>37.61</v>
      </c>
      <c r="E45" s="94">
        <v>1.3929999999999999E-3</v>
      </c>
      <c r="F45" s="95">
        <v>97627</v>
      </c>
      <c r="G45" s="94">
        <v>41.48</v>
      </c>
      <c r="H45" s="27"/>
      <c r="I45" s="27"/>
      <c r="J45" s="27"/>
      <c r="K45" s="27"/>
    </row>
    <row r="46" spans="1:11" ht="20.25" x14ac:dyDescent="0.2">
      <c r="A46" s="93">
        <v>42</v>
      </c>
      <c r="B46" s="94">
        <v>2.418E-3</v>
      </c>
      <c r="C46" s="95">
        <v>95493</v>
      </c>
      <c r="D46" s="94">
        <v>36.700000000000003</v>
      </c>
      <c r="E46" s="94">
        <v>1.5169999999999999E-3</v>
      </c>
      <c r="F46" s="95">
        <v>97491</v>
      </c>
      <c r="G46" s="94">
        <v>40.54</v>
      </c>
      <c r="H46" s="27"/>
      <c r="I46" s="27"/>
      <c r="J46" s="27"/>
      <c r="K46" s="27"/>
    </row>
    <row r="47" spans="1:11" ht="20.25" x14ac:dyDescent="0.2">
      <c r="A47" s="93">
        <v>43</v>
      </c>
      <c r="B47" s="94">
        <v>2.6289999999999998E-3</v>
      </c>
      <c r="C47" s="95">
        <v>95262</v>
      </c>
      <c r="D47" s="94">
        <v>35.78</v>
      </c>
      <c r="E47" s="94">
        <v>1.6620000000000001E-3</v>
      </c>
      <c r="F47" s="95">
        <v>97343</v>
      </c>
      <c r="G47" s="94">
        <v>39.6</v>
      </c>
      <c r="H47" s="27"/>
      <c r="I47" s="27"/>
      <c r="J47" s="27"/>
      <c r="K47" s="27"/>
    </row>
    <row r="48" spans="1:11" ht="20.25" x14ac:dyDescent="0.2">
      <c r="A48" s="93">
        <v>44</v>
      </c>
      <c r="B48" s="94">
        <v>2.8730000000000001E-3</v>
      </c>
      <c r="C48" s="95">
        <v>95012</v>
      </c>
      <c r="D48" s="94">
        <v>34.880000000000003</v>
      </c>
      <c r="E48" s="94">
        <v>1.8270000000000001E-3</v>
      </c>
      <c r="F48" s="95">
        <v>97182</v>
      </c>
      <c r="G48" s="94">
        <v>38.659999999999997</v>
      </c>
      <c r="H48" s="27"/>
      <c r="I48" s="27"/>
      <c r="J48" s="27"/>
      <c r="K48" s="27"/>
    </row>
    <row r="49" spans="1:11" ht="20.25" x14ac:dyDescent="0.2">
      <c r="A49" s="96">
        <v>45</v>
      </c>
      <c r="B49" s="97">
        <v>3.1459999999999999E-3</v>
      </c>
      <c r="C49" s="98">
        <v>94739</v>
      </c>
      <c r="D49" s="97">
        <v>33.979999999999997</v>
      </c>
      <c r="E49" s="97">
        <v>2.0049999999999998E-3</v>
      </c>
      <c r="F49" s="98">
        <v>97004</v>
      </c>
      <c r="G49" s="97">
        <v>37.729999999999997</v>
      </c>
      <c r="H49" s="27"/>
      <c r="I49" s="27"/>
      <c r="J49" s="27"/>
      <c r="K49" s="27"/>
    </row>
    <row r="50" spans="1:11" ht="20.25" x14ac:dyDescent="0.2">
      <c r="A50" s="96">
        <v>46</v>
      </c>
      <c r="B50" s="97">
        <v>3.447E-3</v>
      </c>
      <c r="C50" s="98">
        <v>94441</v>
      </c>
      <c r="D50" s="97">
        <v>33.08</v>
      </c>
      <c r="E50" s="97">
        <v>2.1979999999999999E-3</v>
      </c>
      <c r="F50" s="98">
        <v>96810</v>
      </c>
      <c r="G50" s="97">
        <v>36.81</v>
      </c>
      <c r="H50" s="27"/>
      <c r="I50" s="27"/>
      <c r="J50" s="27"/>
      <c r="K50" s="27"/>
    </row>
    <row r="51" spans="1:11" ht="20.25" x14ac:dyDescent="0.2">
      <c r="A51" s="96">
        <v>47</v>
      </c>
      <c r="B51" s="97">
        <v>3.787E-3</v>
      </c>
      <c r="C51" s="98">
        <v>94115</v>
      </c>
      <c r="D51" s="97">
        <v>32.19</v>
      </c>
      <c r="E51" s="97">
        <v>2.4120000000000001E-3</v>
      </c>
      <c r="F51" s="98">
        <v>96597</v>
      </c>
      <c r="G51" s="97">
        <v>35.89</v>
      </c>
      <c r="H51" s="27"/>
      <c r="I51" s="26"/>
      <c r="J51" s="26"/>
      <c r="K51" s="26"/>
    </row>
    <row r="52" spans="1:11" ht="20.25" x14ac:dyDescent="0.2">
      <c r="A52" s="96">
        <v>48</v>
      </c>
      <c r="B52" s="97">
        <v>4.1669999999999997E-3</v>
      </c>
      <c r="C52" s="98">
        <v>93759</v>
      </c>
      <c r="D52" s="97">
        <v>31.32</v>
      </c>
      <c r="E52" s="97">
        <v>2.6480000000000002E-3</v>
      </c>
      <c r="F52" s="98">
        <v>96364</v>
      </c>
      <c r="G52" s="97">
        <v>34.97</v>
      </c>
      <c r="H52" s="27"/>
      <c r="I52" s="27"/>
      <c r="J52" s="27"/>
      <c r="K52" s="27"/>
    </row>
    <row r="53" spans="1:11" ht="20.25" x14ac:dyDescent="0.2">
      <c r="A53" s="96">
        <v>49</v>
      </c>
      <c r="B53" s="97">
        <v>4.5859999999999998E-3</v>
      </c>
      <c r="C53" s="98">
        <v>93368</v>
      </c>
      <c r="D53" s="97">
        <v>30.44</v>
      </c>
      <c r="E53" s="97">
        <v>2.9039999999999999E-3</v>
      </c>
      <c r="F53" s="98">
        <v>96109</v>
      </c>
      <c r="G53" s="97">
        <v>34.06</v>
      </c>
      <c r="H53" s="27"/>
      <c r="I53" s="27"/>
      <c r="J53" s="27"/>
      <c r="K53" s="27"/>
    </row>
    <row r="54" spans="1:11" ht="20.25" x14ac:dyDescent="0.2">
      <c r="A54" s="93">
        <v>50</v>
      </c>
      <c r="B54" s="94">
        <v>5.0379999999999999E-3</v>
      </c>
      <c r="C54" s="95">
        <v>92940</v>
      </c>
      <c r="D54" s="94">
        <v>29.58</v>
      </c>
      <c r="E54" s="94">
        <v>3.1819999999999999E-3</v>
      </c>
      <c r="F54" s="95">
        <v>95829</v>
      </c>
      <c r="G54" s="94">
        <v>33.159999999999997</v>
      </c>
      <c r="H54" s="27"/>
      <c r="I54" s="27"/>
      <c r="J54" s="27"/>
      <c r="K54" s="27"/>
    </row>
    <row r="55" spans="1:11" ht="20.25" x14ac:dyDescent="0.2">
      <c r="A55" s="93">
        <v>51</v>
      </c>
      <c r="B55" s="94">
        <v>5.5199999999999997E-3</v>
      </c>
      <c r="C55" s="95">
        <v>92472</v>
      </c>
      <c r="D55" s="94">
        <v>28.73</v>
      </c>
      <c r="E55" s="94">
        <v>3.473E-3</v>
      </c>
      <c r="F55" s="95">
        <v>95524</v>
      </c>
      <c r="G55" s="94">
        <v>32.270000000000003</v>
      </c>
      <c r="H55" s="27"/>
      <c r="I55" s="27"/>
      <c r="J55" s="27"/>
      <c r="K55" s="27"/>
    </row>
    <row r="56" spans="1:11" ht="20.25" x14ac:dyDescent="0.2">
      <c r="A56" s="93">
        <v>52</v>
      </c>
      <c r="B56" s="94">
        <v>6.0359999999999997E-3</v>
      </c>
      <c r="C56" s="95">
        <v>91961</v>
      </c>
      <c r="D56" s="94">
        <v>27.89</v>
      </c>
      <c r="E56" s="94">
        <v>3.7669999999999999E-3</v>
      </c>
      <c r="F56" s="95">
        <v>95193</v>
      </c>
      <c r="G56" s="94">
        <v>31.38</v>
      </c>
      <c r="H56" s="27"/>
      <c r="I56" s="27"/>
      <c r="J56" s="27"/>
      <c r="K56" s="27"/>
    </row>
    <row r="57" spans="1:11" ht="20.25" x14ac:dyDescent="0.2">
      <c r="A57" s="93">
        <v>53</v>
      </c>
      <c r="B57" s="94">
        <v>6.587E-3</v>
      </c>
      <c r="C57" s="95">
        <v>91406</v>
      </c>
      <c r="D57" s="94">
        <v>27.05</v>
      </c>
      <c r="E57" s="94">
        <v>4.058E-3</v>
      </c>
      <c r="F57" s="95">
        <v>94834</v>
      </c>
      <c r="G57" s="94">
        <v>30.49</v>
      </c>
      <c r="H57" s="27"/>
      <c r="I57" s="27"/>
      <c r="J57" s="27"/>
      <c r="K57" s="27"/>
    </row>
    <row r="58" spans="1:11" ht="20.25" x14ac:dyDescent="0.2">
      <c r="A58" s="93">
        <v>54</v>
      </c>
      <c r="B58" s="94">
        <v>7.1700000000000002E-3</v>
      </c>
      <c r="C58" s="95">
        <v>90804</v>
      </c>
      <c r="D58" s="94">
        <v>26.23</v>
      </c>
      <c r="E58" s="94">
        <v>4.352E-3</v>
      </c>
      <c r="F58" s="95">
        <v>94449</v>
      </c>
      <c r="G58" s="94">
        <v>29.62</v>
      </c>
      <c r="H58" s="27"/>
      <c r="I58" s="27"/>
      <c r="J58" s="27"/>
      <c r="K58" s="27"/>
    </row>
    <row r="59" spans="1:11" ht="20.25" x14ac:dyDescent="0.2">
      <c r="A59" s="96">
        <v>55</v>
      </c>
      <c r="B59" s="97">
        <v>7.8009999999999998E-3</v>
      </c>
      <c r="C59" s="98">
        <v>90153</v>
      </c>
      <c r="D59" s="97">
        <v>25.41</v>
      </c>
      <c r="E59" s="97">
        <v>4.6810000000000003E-3</v>
      </c>
      <c r="F59" s="98">
        <v>94038</v>
      </c>
      <c r="G59" s="97">
        <v>28.74</v>
      </c>
      <c r="H59" s="27"/>
      <c r="I59" s="27"/>
      <c r="J59" s="27"/>
      <c r="K59" s="27"/>
    </row>
    <row r="60" spans="1:11" ht="20.25" x14ac:dyDescent="0.2">
      <c r="A60" s="96">
        <v>56</v>
      </c>
      <c r="B60" s="97">
        <v>8.4659999999999996E-3</v>
      </c>
      <c r="C60" s="98">
        <v>89450</v>
      </c>
      <c r="D60" s="97">
        <v>24.61</v>
      </c>
      <c r="E60" s="97">
        <v>5.0400000000000002E-3</v>
      </c>
      <c r="F60" s="98">
        <v>93598</v>
      </c>
      <c r="G60" s="97">
        <v>27.88</v>
      </c>
      <c r="H60" s="27"/>
      <c r="I60" s="26"/>
      <c r="J60" s="26"/>
      <c r="K60" s="26"/>
    </row>
    <row r="61" spans="1:11" ht="20.25" x14ac:dyDescent="0.2">
      <c r="A61" s="96">
        <v>57</v>
      </c>
      <c r="B61" s="97">
        <v>9.1330000000000005E-3</v>
      </c>
      <c r="C61" s="98">
        <v>88693</v>
      </c>
      <c r="D61" s="97">
        <v>23.82</v>
      </c>
      <c r="E61" s="97">
        <v>5.4000000000000003E-3</v>
      </c>
      <c r="F61" s="98">
        <v>93126</v>
      </c>
      <c r="G61" s="97">
        <v>27.01</v>
      </c>
    </row>
    <row r="62" spans="1:11" ht="20.25" x14ac:dyDescent="0.2">
      <c r="A62" s="96">
        <v>58</v>
      </c>
      <c r="B62" s="97">
        <v>9.7920000000000004E-3</v>
      </c>
      <c r="C62" s="98">
        <v>87883</v>
      </c>
      <c r="D62" s="97">
        <v>23.03</v>
      </c>
      <c r="E62" s="97">
        <v>5.7559999999999998E-3</v>
      </c>
      <c r="F62" s="98">
        <v>92623</v>
      </c>
      <c r="G62" s="97">
        <v>26.16</v>
      </c>
    </row>
    <row r="63" spans="1:11" ht="20.25" x14ac:dyDescent="0.2">
      <c r="A63" s="96">
        <v>59</v>
      </c>
      <c r="B63" s="97">
        <v>1.0462000000000001E-2</v>
      </c>
      <c r="C63" s="98">
        <v>87022</v>
      </c>
      <c r="D63" s="97">
        <v>22.25</v>
      </c>
      <c r="E63" s="97">
        <v>6.1279999999999998E-3</v>
      </c>
      <c r="F63" s="98">
        <v>92090</v>
      </c>
      <c r="G63" s="97">
        <v>25.31</v>
      </c>
    </row>
    <row r="64" spans="1:11" ht="20.25" x14ac:dyDescent="0.2">
      <c r="A64" s="93">
        <v>60</v>
      </c>
      <c r="B64" s="94">
        <v>1.1197E-2</v>
      </c>
      <c r="C64" s="95">
        <v>86112</v>
      </c>
      <c r="D64" s="94">
        <v>21.48</v>
      </c>
      <c r="E64" s="94">
        <v>6.5449999999999996E-3</v>
      </c>
      <c r="F64" s="95">
        <v>91526</v>
      </c>
      <c r="G64" s="94">
        <v>24.46</v>
      </c>
    </row>
    <row r="65" spans="1:11" ht="20.25" x14ac:dyDescent="0.2">
      <c r="A65" s="93">
        <v>61</v>
      </c>
      <c r="B65" s="94">
        <v>1.2009000000000001E-2</v>
      </c>
      <c r="C65" s="95">
        <v>85147</v>
      </c>
      <c r="D65" s="94">
        <v>20.72</v>
      </c>
      <c r="E65" s="94">
        <v>7.0340000000000003E-3</v>
      </c>
      <c r="F65" s="95">
        <v>90927</v>
      </c>
      <c r="G65" s="94">
        <v>23.62</v>
      </c>
    </row>
    <row r="66" spans="1:11" ht="20.25" x14ac:dyDescent="0.2">
      <c r="A66" s="93">
        <v>62</v>
      </c>
      <c r="B66" s="94">
        <v>1.2867E-2</v>
      </c>
      <c r="C66" s="95">
        <v>84125</v>
      </c>
      <c r="D66" s="94">
        <v>19.97</v>
      </c>
      <c r="E66" s="94">
        <v>7.607E-3</v>
      </c>
      <c r="F66" s="95">
        <v>90287</v>
      </c>
      <c r="G66" s="94">
        <v>22.78</v>
      </c>
      <c r="H66" s="24"/>
      <c r="I66" s="24"/>
      <c r="J66" s="24"/>
      <c r="K66" s="24"/>
    </row>
    <row r="67" spans="1:11" ht="20.25" x14ac:dyDescent="0.2">
      <c r="A67" s="93">
        <v>63</v>
      </c>
      <c r="B67" s="94">
        <v>1.3772E-2</v>
      </c>
      <c r="C67" s="95">
        <v>83042</v>
      </c>
      <c r="D67" s="94">
        <v>19.22</v>
      </c>
      <c r="E67" s="94">
        <v>8.2810000000000002E-3</v>
      </c>
      <c r="F67" s="95">
        <v>89600</v>
      </c>
      <c r="G67" s="94">
        <v>21.95</v>
      </c>
      <c r="H67" s="24"/>
      <c r="I67" s="24"/>
      <c r="J67" s="24"/>
      <c r="K67" s="24"/>
    </row>
    <row r="68" spans="1:11" ht="20.25" x14ac:dyDescent="0.2">
      <c r="A68" s="93">
        <v>64</v>
      </c>
      <c r="B68" s="94">
        <v>1.4749E-2</v>
      </c>
      <c r="C68" s="95">
        <v>81899</v>
      </c>
      <c r="D68" s="94">
        <v>18.48</v>
      </c>
      <c r="E68" s="94">
        <v>9.0570000000000008E-3</v>
      </c>
      <c r="F68" s="95">
        <v>88858</v>
      </c>
      <c r="G68" s="94">
        <v>21.13</v>
      </c>
      <c r="H68" s="24"/>
      <c r="I68" s="24"/>
      <c r="J68" s="24"/>
      <c r="K68" s="24"/>
    </row>
    <row r="69" spans="1:11" ht="20.25" x14ac:dyDescent="0.2">
      <c r="A69" s="96">
        <v>65</v>
      </c>
      <c r="B69" s="97">
        <v>1.5852000000000002E-2</v>
      </c>
      <c r="C69" s="98">
        <v>80691</v>
      </c>
      <c r="D69" s="97">
        <v>17.75</v>
      </c>
      <c r="E69" s="97">
        <v>9.953E-3</v>
      </c>
      <c r="F69" s="98">
        <v>88054</v>
      </c>
      <c r="G69" s="97">
        <v>20.32</v>
      </c>
    </row>
    <row r="70" spans="1:11" ht="20.25" x14ac:dyDescent="0.2">
      <c r="A70" s="96">
        <v>66</v>
      </c>
      <c r="B70" s="97">
        <v>1.7097000000000001E-2</v>
      </c>
      <c r="C70" s="98">
        <v>79412</v>
      </c>
      <c r="D70" s="97">
        <v>17.03</v>
      </c>
      <c r="E70" s="97">
        <v>1.095E-2</v>
      </c>
      <c r="F70" s="98">
        <v>87177</v>
      </c>
      <c r="G70" s="97">
        <v>19.52</v>
      </c>
    </row>
    <row r="71" spans="1:11" ht="20.25" x14ac:dyDescent="0.2">
      <c r="A71" s="96">
        <v>67</v>
      </c>
      <c r="B71" s="97">
        <v>1.8463E-2</v>
      </c>
      <c r="C71" s="98">
        <v>78054</v>
      </c>
      <c r="D71" s="97">
        <v>16.32</v>
      </c>
      <c r="E71" s="97">
        <v>1.201E-2</v>
      </c>
      <c r="F71" s="98">
        <v>86223</v>
      </c>
      <c r="G71" s="97">
        <v>18.73</v>
      </c>
      <c r="H71" s="24"/>
      <c r="I71" s="24"/>
      <c r="J71" s="24"/>
      <c r="K71" s="24"/>
    </row>
    <row r="72" spans="1:11" ht="20.25" x14ac:dyDescent="0.2">
      <c r="A72" s="96">
        <v>68</v>
      </c>
      <c r="B72" s="97">
        <v>1.9959000000000001E-2</v>
      </c>
      <c r="C72" s="98">
        <v>76613</v>
      </c>
      <c r="D72" s="97">
        <v>15.61</v>
      </c>
      <c r="E72" s="97">
        <v>1.3124E-2</v>
      </c>
      <c r="F72" s="98">
        <v>85187</v>
      </c>
      <c r="G72" s="97">
        <v>17.95</v>
      </c>
      <c r="H72" s="24"/>
      <c r="I72" s="24"/>
      <c r="J72" s="24"/>
      <c r="K72" s="24"/>
    </row>
    <row r="73" spans="1:11" ht="20.25" x14ac:dyDescent="0.2">
      <c r="A73" s="96">
        <v>69</v>
      </c>
      <c r="B73" s="97">
        <v>2.1616E-2</v>
      </c>
      <c r="C73" s="98">
        <v>75084</v>
      </c>
      <c r="D73" s="97">
        <v>14.92</v>
      </c>
      <c r="E73" s="97">
        <v>1.4330000000000001E-2</v>
      </c>
      <c r="F73" s="98">
        <v>84069</v>
      </c>
      <c r="G73" s="97">
        <v>17.18</v>
      </c>
      <c r="H73" s="24"/>
      <c r="I73" s="24"/>
      <c r="J73" s="24"/>
      <c r="K73" s="24"/>
    </row>
    <row r="74" spans="1:11" ht="20.25" x14ac:dyDescent="0.2">
      <c r="A74" s="93">
        <v>70</v>
      </c>
      <c r="B74" s="94">
        <v>2.3528E-2</v>
      </c>
      <c r="C74" s="95">
        <v>73461</v>
      </c>
      <c r="D74" s="94">
        <v>14.24</v>
      </c>
      <c r="E74" s="94">
        <v>1.5727999999999999E-2</v>
      </c>
      <c r="F74" s="95">
        <v>82864</v>
      </c>
      <c r="G74" s="94">
        <v>16.43</v>
      </c>
    </row>
    <row r="75" spans="1:11" ht="20.25" x14ac:dyDescent="0.2">
      <c r="A75" s="93">
        <v>71</v>
      </c>
      <c r="B75" s="94">
        <v>2.5693000000000001E-2</v>
      </c>
      <c r="C75" s="95">
        <v>71732</v>
      </c>
      <c r="D75" s="94">
        <v>13.57</v>
      </c>
      <c r="E75" s="94">
        <v>1.7337999999999999E-2</v>
      </c>
      <c r="F75" s="95">
        <v>81561</v>
      </c>
      <c r="G75" s="94">
        <v>15.68</v>
      </c>
    </row>
    <row r="76" spans="1:11" ht="20.25" x14ac:dyDescent="0.2">
      <c r="A76" s="93">
        <v>72</v>
      </c>
      <c r="B76" s="94">
        <v>2.8041E-2</v>
      </c>
      <c r="C76" s="95">
        <v>69889</v>
      </c>
      <c r="D76" s="94">
        <v>12.92</v>
      </c>
      <c r="E76" s="94">
        <v>1.9108E-2</v>
      </c>
      <c r="F76" s="95">
        <v>80147</v>
      </c>
      <c r="G76" s="94">
        <v>14.95</v>
      </c>
    </row>
    <row r="77" spans="1:11" ht="20.25" x14ac:dyDescent="0.2">
      <c r="A77" s="93">
        <v>73</v>
      </c>
      <c r="B77" s="94">
        <v>3.0567E-2</v>
      </c>
      <c r="C77" s="95">
        <v>67930</v>
      </c>
      <c r="D77" s="94">
        <v>12.27</v>
      </c>
      <c r="E77" s="94">
        <v>2.1041000000000001E-2</v>
      </c>
      <c r="F77" s="95">
        <v>78616</v>
      </c>
      <c r="G77" s="94">
        <v>14.23</v>
      </c>
    </row>
    <row r="78" spans="1:11" ht="20.25" x14ac:dyDescent="0.2">
      <c r="A78" s="93">
        <v>74</v>
      </c>
      <c r="B78" s="94">
        <v>3.3347000000000002E-2</v>
      </c>
      <c r="C78" s="95">
        <v>65853</v>
      </c>
      <c r="D78" s="94">
        <v>11.65</v>
      </c>
      <c r="E78" s="94">
        <v>2.3191E-2</v>
      </c>
      <c r="F78" s="95">
        <v>76961</v>
      </c>
      <c r="G78" s="94">
        <v>13.53</v>
      </c>
    </row>
    <row r="79" spans="1:11" ht="20.25" x14ac:dyDescent="0.2">
      <c r="A79" s="96">
        <v>75</v>
      </c>
      <c r="B79" s="97">
        <v>3.6572E-2</v>
      </c>
      <c r="C79" s="98">
        <v>63657</v>
      </c>
      <c r="D79" s="97">
        <v>11.03</v>
      </c>
      <c r="E79" s="97">
        <v>2.5713E-2</v>
      </c>
      <c r="F79" s="98">
        <v>75177</v>
      </c>
      <c r="G79" s="97">
        <v>12.83</v>
      </c>
    </row>
    <row r="80" spans="1:11" ht="20.25" x14ac:dyDescent="0.2">
      <c r="A80" s="96">
        <v>76</v>
      </c>
      <c r="B80" s="97">
        <v>4.0275999999999999E-2</v>
      </c>
      <c r="C80" s="98">
        <v>61329</v>
      </c>
      <c r="D80" s="97">
        <v>10.43</v>
      </c>
      <c r="E80" s="97">
        <v>2.8608999999999999E-2</v>
      </c>
      <c r="F80" s="98">
        <v>73244</v>
      </c>
      <c r="G80" s="97">
        <v>12.16</v>
      </c>
    </row>
    <row r="81" spans="1:7" ht="20.25" x14ac:dyDescent="0.2">
      <c r="A81" s="96">
        <v>77</v>
      </c>
      <c r="B81" s="97">
        <v>4.4347999999999999E-2</v>
      </c>
      <c r="C81" s="98">
        <v>58859</v>
      </c>
      <c r="D81" s="97">
        <v>9.85</v>
      </c>
      <c r="E81" s="97">
        <v>3.1759999999999997E-2</v>
      </c>
      <c r="F81" s="98">
        <v>71148</v>
      </c>
      <c r="G81" s="97">
        <v>11.5</v>
      </c>
    </row>
    <row r="82" spans="1:7" ht="20.25" x14ac:dyDescent="0.2">
      <c r="A82" s="96">
        <v>78</v>
      </c>
      <c r="B82" s="97">
        <v>4.8797E-2</v>
      </c>
      <c r="C82" s="98">
        <v>56249</v>
      </c>
      <c r="D82" s="97">
        <v>9.2799999999999994</v>
      </c>
      <c r="E82" s="97">
        <v>3.5157000000000001E-2</v>
      </c>
      <c r="F82" s="98">
        <v>68888</v>
      </c>
      <c r="G82" s="97">
        <v>10.86</v>
      </c>
    </row>
    <row r="83" spans="1:7" ht="20.25" x14ac:dyDescent="0.2">
      <c r="A83" s="96">
        <v>79</v>
      </c>
      <c r="B83" s="97">
        <v>5.3739000000000002E-2</v>
      </c>
      <c r="C83" s="98">
        <v>53504</v>
      </c>
      <c r="D83" s="97">
        <v>8.73</v>
      </c>
      <c r="E83" s="97">
        <v>3.8920000000000003E-2</v>
      </c>
      <c r="F83" s="98">
        <v>66467</v>
      </c>
      <c r="G83" s="97">
        <v>10.24</v>
      </c>
    </row>
    <row r="84" spans="1:7" ht="20.25" x14ac:dyDescent="0.2">
      <c r="A84" s="93">
        <v>80</v>
      </c>
      <c r="B84" s="94">
        <v>5.9402999999999997E-2</v>
      </c>
      <c r="C84" s="95">
        <v>50629</v>
      </c>
      <c r="D84" s="94">
        <v>8.1999999999999993</v>
      </c>
      <c r="E84" s="94">
        <v>4.3289000000000001E-2</v>
      </c>
      <c r="F84" s="95">
        <v>63880</v>
      </c>
      <c r="G84" s="94">
        <v>9.64</v>
      </c>
    </row>
    <row r="85" spans="1:7" ht="20.25" x14ac:dyDescent="0.2">
      <c r="A85" s="93">
        <v>81</v>
      </c>
      <c r="B85" s="94">
        <v>6.5873000000000001E-2</v>
      </c>
      <c r="C85" s="95">
        <v>47621</v>
      </c>
      <c r="D85" s="94">
        <v>7.68</v>
      </c>
      <c r="E85" s="94">
        <v>4.8356000000000003E-2</v>
      </c>
      <c r="F85" s="95">
        <v>61114</v>
      </c>
      <c r="G85" s="94">
        <v>9.0500000000000007</v>
      </c>
    </row>
    <row r="86" spans="1:7" ht="20.25" x14ac:dyDescent="0.2">
      <c r="A86" s="93">
        <v>82</v>
      </c>
      <c r="B86" s="94">
        <v>7.3081999999999994E-2</v>
      </c>
      <c r="C86" s="95">
        <v>44484</v>
      </c>
      <c r="D86" s="94">
        <v>7.19</v>
      </c>
      <c r="E86" s="94">
        <v>5.4040999999999999E-2</v>
      </c>
      <c r="F86" s="95">
        <v>58159</v>
      </c>
      <c r="G86" s="94">
        <v>8.48</v>
      </c>
    </row>
    <row r="87" spans="1:7" ht="20.25" x14ac:dyDescent="0.2">
      <c r="A87" s="93">
        <v>83</v>
      </c>
      <c r="B87" s="94">
        <v>8.1070000000000003E-2</v>
      </c>
      <c r="C87" s="95">
        <v>41233</v>
      </c>
      <c r="D87" s="94">
        <v>6.72</v>
      </c>
      <c r="E87" s="94">
        <v>6.0384E-2</v>
      </c>
      <c r="F87" s="95">
        <v>55016</v>
      </c>
      <c r="G87" s="94">
        <v>7.94</v>
      </c>
    </row>
    <row r="88" spans="1:7" ht="20.25" x14ac:dyDescent="0.2">
      <c r="A88" s="93">
        <v>84</v>
      </c>
      <c r="B88" s="94">
        <v>8.9946999999999999E-2</v>
      </c>
      <c r="C88" s="95">
        <v>37890</v>
      </c>
      <c r="D88" s="94">
        <v>6.27</v>
      </c>
      <c r="E88" s="94">
        <v>6.7498000000000002E-2</v>
      </c>
      <c r="F88" s="95">
        <v>51694</v>
      </c>
      <c r="G88" s="94">
        <v>7.42</v>
      </c>
    </row>
    <row r="89" spans="1:7" ht="20.25" x14ac:dyDescent="0.2">
      <c r="A89" s="96">
        <v>85</v>
      </c>
      <c r="B89" s="97">
        <v>9.9842E-2</v>
      </c>
      <c r="C89" s="98">
        <v>34482</v>
      </c>
      <c r="D89" s="97">
        <v>5.84</v>
      </c>
      <c r="E89" s="97">
        <v>7.5516E-2</v>
      </c>
      <c r="F89" s="98">
        <v>48205</v>
      </c>
      <c r="G89" s="97">
        <v>6.92</v>
      </c>
    </row>
    <row r="90" spans="1:7" ht="20.25" x14ac:dyDescent="0.2">
      <c r="A90" s="96">
        <v>86</v>
      </c>
      <c r="B90" s="97">
        <v>0.110863</v>
      </c>
      <c r="C90" s="98">
        <v>31040</v>
      </c>
      <c r="D90" s="97">
        <v>5.43</v>
      </c>
      <c r="E90" s="97">
        <v>8.4556000000000006E-2</v>
      </c>
      <c r="F90" s="98">
        <v>44565</v>
      </c>
      <c r="G90" s="97">
        <v>6.44</v>
      </c>
    </row>
    <row r="91" spans="1:7" ht="20.25" x14ac:dyDescent="0.2">
      <c r="A91" s="96">
        <v>87</v>
      </c>
      <c r="B91" s="97">
        <v>0.123088</v>
      </c>
      <c r="C91" s="98">
        <v>27598</v>
      </c>
      <c r="D91" s="97">
        <v>5.04</v>
      </c>
      <c r="E91" s="97">
        <v>9.4702999999999996E-2</v>
      </c>
      <c r="F91" s="98">
        <v>40796</v>
      </c>
      <c r="G91" s="97">
        <v>5.99</v>
      </c>
    </row>
    <row r="92" spans="1:7" ht="20.25" x14ac:dyDescent="0.2">
      <c r="A92" s="96">
        <v>88</v>
      </c>
      <c r="B92" s="97">
        <v>0.13656299999999999</v>
      </c>
      <c r="C92" s="98">
        <v>24201</v>
      </c>
      <c r="D92" s="97">
        <v>4.68</v>
      </c>
      <c r="E92" s="97">
        <v>0.106014</v>
      </c>
      <c r="F92" s="98">
        <v>36933</v>
      </c>
      <c r="G92" s="97">
        <v>5.57</v>
      </c>
    </row>
    <row r="93" spans="1:7" ht="20.25" x14ac:dyDescent="0.2">
      <c r="A93" s="96">
        <v>89</v>
      </c>
      <c r="B93" s="97">
        <v>0.15129899999999999</v>
      </c>
      <c r="C93" s="98">
        <v>20896</v>
      </c>
      <c r="D93" s="97">
        <v>4.34</v>
      </c>
      <c r="E93" s="97">
        <v>0.11851299999999999</v>
      </c>
      <c r="F93" s="98">
        <v>33017</v>
      </c>
      <c r="G93" s="97">
        <v>5.17</v>
      </c>
    </row>
    <row r="94" spans="1:7" ht="20.25" x14ac:dyDescent="0.2">
      <c r="A94" s="93">
        <v>90</v>
      </c>
      <c r="B94" s="94">
        <v>0.167291</v>
      </c>
      <c r="C94" s="95">
        <v>17735</v>
      </c>
      <c r="D94" s="94">
        <v>4.03</v>
      </c>
      <c r="E94" s="94">
        <v>0.13220599999999999</v>
      </c>
      <c r="F94" s="95">
        <v>29104</v>
      </c>
      <c r="G94" s="94">
        <v>4.8</v>
      </c>
    </row>
    <row r="95" spans="1:7" ht="20.25" x14ac:dyDescent="0.2">
      <c r="A95" s="93">
        <v>91</v>
      </c>
      <c r="B95" s="94">
        <v>0.18451999999999999</v>
      </c>
      <c r="C95" s="95">
        <v>14768</v>
      </c>
      <c r="D95" s="94">
        <v>3.74</v>
      </c>
      <c r="E95" s="94">
        <v>0.147092</v>
      </c>
      <c r="F95" s="95">
        <v>25257</v>
      </c>
      <c r="G95" s="94">
        <v>4.45</v>
      </c>
    </row>
    <row r="96" spans="1:7" ht="20.25" x14ac:dyDescent="0.2">
      <c r="A96" s="93">
        <v>92</v>
      </c>
      <c r="B96" s="94">
        <v>0.202954</v>
      </c>
      <c r="C96" s="95">
        <v>12043</v>
      </c>
      <c r="D96" s="94">
        <v>3.47</v>
      </c>
      <c r="E96" s="94">
        <v>0.16315399999999999</v>
      </c>
      <c r="F96" s="95">
        <v>21542</v>
      </c>
      <c r="G96" s="94">
        <v>4.13</v>
      </c>
    </row>
    <row r="97" spans="1:7" ht="20.25" x14ac:dyDescent="0.2">
      <c r="A97" s="93">
        <v>93</v>
      </c>
      <c r="B97" s="94">
        <v>0.222555</v>
      </c>
      <c r="C97" s="95">
        <v>9599</v>
      </c>
      <c r="D97" s="94">
        <v>3.23</v>
      </c>
      <c r="E97" s="94">
        <v>0.180371</v>
      </c>
      <c r="F97" s="95">
        <v>18027</v>
      </c>
      <c r="G97" s="94">
        <v>3.84</v>
      </c>
    </row>
    <row r="98" spans="1:7" ht="20.25" x14ac:dyDescent="0.2">
      <c r="A98" s="93">
        <v>94</v>
      </c>
      <c r="B98" s="94">
        <v>0.24327199999999999</v>
      </c>
      <c r="C98" s="95">
        <v>7463</v>
      </c>
      <c r="D98" s="94">
        <v>3.01</v>
      </c>
      <c r="E98" s="94">
        <v>0.198714</v>
      </c>
      <c r="F98" s="95">
        <v>14775</v>
      </c>
      <c r="G98" s="94">
        <v>3.57</v>
      </c>
    </row>
    <row r="99" spans="1:7" ht="20.25" x14ac:dyDescent="0.2">
      <c r="A99" s="96">
        <v>95</v>
      </c>
      <c r="B99" s="97">
        <v>0.26382100000000003</v>
      </c>
      <c r="C99" s="98">
        <v>5647</v>
      </c>
      <c r="D99" s="97">
        <v>2.82</v>
      </c>
      <c r="E99" s="97">
        <v>0.21726400000000001</v>
      </c>
      <c r="F99" s="98">
        <v>11839</v>
      </c>
      <c r="G99" s="97">
        <v>3.34</v>
      </c>
    </row>
    <row r="100" spans="1:7" ht="20.25" x14ac:dyDescent="0.2">
      <c r="A100" s="96">
        <v>96</v>
      </c>
      <c r="B100" s="97">
        <v>0.283833</v>
      </c>
      <c r="C100" s="98">
        <v>4157</v>
      </c>
      <c r="D100" s="97">
        <v>2.64</v>
      </c>
      <c r="E100" s="97">
        <v>0.235735</v>
      </c>
      <c r="F100" s="98">
        <v>9267</v>
      </c>
      <c r="G100" s="97">
        <v>3.12</v>
      </c>
    </row>
    <row r="101" spans="1:7" ht="20.25" x14ac:dyDescent="0.2">
      <c r="A101" s="96">
        <v>97</v>
      </c>
      <c r="B101" s="97">
        <v>0.30291600000000002</v>
      </c>
      <c r="C101" s="98">
        <v>2977</v>
      </c>
      <c r="D101" s="97">
        <v>2.4900000000000002</v>
      </c>
      <c r="E101" s="97">
        <v>0.25380999999999998</v>
      </c>
      <c r="F101" s="98">
        <v>7083</v>
      </c>
      <c r="G101" s="97">
        <v>2.93</v>
      </c>
    </row>
    <row r="102" spans="1:7" ht="20.25" x14ac:dyDescent="0.2">
      <c r="A102" s="96">
        <v>98</v>
      </c>
      <c r="B102" s="97">
        <v>0.32067200000000001</v>
      </c>
      <c r="C102" s="98">
        <v>2075</v>
      </c>
      <c r="D102" s="97">
        <v>2.36</v>
      </c>
      <c r="E102" s="97">
        <v>0.27115499999999998</v>
      </c>
      <c r="F102" s="98">
        <v>5285</v>
      </c>
      <c r="G102" s="97">
        <v>2.76</v>
      </c>
    </row>
    <row r="103" spans="1:7" ht="20.25" x14ac:dyDescent="0.2">
      <c r="A103" s="96">
        <v>99</v>
      </c>
      <c r="B103" s="97">
        <v>0.33670600000000001</v>
      </c>
      <c r="C103" s="98">
        <v>1410</v>
      </c>
      <c r="D103" s="97">
        <v>2.2400000000000002</v>
      </c>
      <c r="E103" s="97">
        <v>0.28742400000000001</v>
      </c>
      <c r="F103" s="98">
        <v>3852</v>
      </c>
      <c r="G103" s="97">
        <v>2.6</v>
      </c>
    </row>
    <row r="104" spans="1:7" ht="20.25" x14ac:dyDescent="0.2">
      <c r="A104" s="93">
        <v>100</v>
      </c>
      <c r="B104" s="94">
        <v>0.35354099999999999</v>
      </c>
      <c r="C104" s="94">
        <v>935</v>
      </c>
      <c r="D104" s="94">
        <v>2.12</v>
      </c>
      <c r="E104" s="94">
        <v>0.30467</v>
      </c>
      <c r="F104" s="95">
        <v>2745</v>
      </c>
      <c r="G104" s="94">
        <v>2.4500000000000002</v>
      </c>
    </row>
    <row r="105" spans="1:7" ht="20.25" x14ac:dyDescent="0.2">
      <c r="A105" s="93">
        <v>101</v>
      </c>
      <c r="B105" s="94">
        <v>0.37121799999999999</v>
      </c>
      <c r="C105" s="94">
        <v>605</v>
      </c>
      <c r="D105" s="94">
        <v>2.0099999999999998</v>
      </c>
      <c r="E105" s="94">
        <v>0.32295000000000001</v>
      </c>
      <c r="F105" s="95">
        <v>1909</v>
      </c>
      <c r="G105" s="94">
        <v>2.2999999999999998</v>
      </c>
    </row>
    <row r="106" spans="1:7" ht="20.25" x14ac:dyDescent="0.2">
      <c r="A106" s="93">
        <v>102</v>
      </c>
      <c r="B106" s="94">
        <v>0.38977899999999999</v>
      </c>
      <c r="C106" s="94">
        <v>380</v>
      </c>
      <c r="D106" s="94">
        <v>1.9</v>
      </c>
      <c r="E106" s="94">
        <v>0.34232699999999999</v>
      </c>
      <c r="F106" s="95">
        <v>1292</v>
      </c>
      <c r="G106" s="94">
        <v>2.17</v>
      </c>
    </row>
    <row r="107" spans="1:7" ht="20.25" x14ac:dyDescent="0.2">
      <c r="A107" s="93">
        <v>103</v>
      </c>
      <c r="B107" s="94">
        <v>0.40926800000000002</v>
      </c>
      <c r="C107" s="94">
        <v>232</v>
      </c>
      <c r="D107" s="94">
        <v>1.8</v>
      </c>
      <c r="E107" s="94">
        <v>0.362867</v>
      </c>
      <c r="F107" s="94">
        <v>850</v>
      </c>
      <c r="G107" s="94">
        <v>2.0299999999999998</v>
      </c>
    </row>
    <row r="108" spans="1:7" ht="20.25" x14ac:dyDescent="0.2">
      <c r="A108" s="93">
        <v>104</v>
      </c>
      <c r="B108" s="94">
        <v>0.429732</v>
      </c>
      <c r="C108" s="94">
        <v>137</v>
      </c>
      <c r="D108" s="94">
        <v>1.7</v>
      </c>
      <c r="E108" s="94">
        <v>0.38463900000000001</v>
      </c>
      <c r="F108" s="94">
        <v>541</v>
      </c>
      <c r="G108" s="94">
        <v>1.91</v>
      </c>
    </row>
    <row r="109" spans="1:7" ht="20.25" x14ac:dyDescent="0.2">
      <c r="A109" s="96">
        <v>105</v>
      </c>
      <c r="B109" s="97">
        <v>0.45121800000000001</v>
      </c>
      <c r="C109" s="97">
        <v>78</v>
      </c>
      <c r="D109" s="97">
        <v>1.6</v>
      </c>
      <c r="E109" s="97">
        <v>0.407717</v>
      </c>
      <c r="F109" s="97">
        <v>333</v>
      </c>
      <c r="G109" s="97">
        <v>1.78</v>
      </c>
    </row>
    <row r="110" spans="1:7" ht="20.25" x14ac:dyDescent="0.2">
      <c r="A110" s="96">
        <v>106</v>
      </c>
      <c r="B110" s="97">
        <v>0.47377900000000001</v>
      </c>
      <c r="C110" s="97">
        <v>43</v>
      </c>
      <c r="D110" s="97">
        <v>1.51</v>
      </c>
      <c r="E110" s="97">
        <v>0.43218000000000001</v>
      </c>
      <c r="F110" s="97">
        <v>197</v>
      </c>
      <c r="G110" s="97">
        <v>1.67</v>
      </c>
    </row>
    <row r="111" spans="1:7" ht="20.25" x14ac:dyDescent="0.2">
      <c r="A111" s="96">
        <v>107</v>
      </c>
      <c r="B111" s="97">
        <v>0.49746800000000002</v>
      </c>
      <c r="C111" s="97">
        <v>23</v>
      </c>
      <c r="D111" s="97">
        <v>1.42</v>
      </c>
      <c r="E111" s="97">
        <v>0.45811099999999999</v>
      </c>
      <c r="F111" s="97">
        <v>112</v>
      </c>
      <c r="G111" s="97">
        <v>1.56</v>
      </c>
    </row>
    <row r="112" spans="1:7" ht="20.25" x14ac:dyDescent="0.2">
      <c r="A112" s="96">
        <v>108</v>
      </c>
      <c r="B112" s="97">
        <v>0.52234100000000006</v>
      </c>
      <c r="C112" s="97">
        <v>11</v>
      </c>
      <c r="D112" s="97">
        <v>1.34</v>
      </c>
      <c r="E112" s="97">
        <v>0.485597</v>
      </c>
      <c r="F112" s="97">
        <v>61</v>
      </c>
      <c r="G112" s="97">
        <v>1.45</v>
      </c>
    </row>
    <row r="113" spans="1:7" ht="20.25" x14ac:dyDescent="0.2">
      <c r="A113" s="96">
        <v>109</v>
      </c>
      <c r="B113" s="97">
        <v>0.548458</v>
      </c>
      <c r="C113" s="97">
        <v>5</v>
      </c>
      <c r="D113" s="97">
        <v>1.26</v>
      </c>
      <c r="E113" s="97">
        <v>0.514733</v>
      </c>
      <c r="F113" s="97">
        <v>31</v>
      </c>
      <c r="G113" s="97">
        <v>1.35</v>
      </c>
    </row>
    <row r="114" spans="1:7" ht="20.25" x14ac:dyDescent="0.2">
      <c r="A114" s="93">
        <v>110</v>
      </c>
      <c r="B114" s="94">
        <v>0.57588099999999998</v>
      </c>
      <c r="C114" s="94">
        <v>2</v>
      </c>
      <c r="D114" s="94">
        <v>1.18</v>
      </c>
      <c r="E114" s="94">
        <v>0.54561700000000002</v>
      </c>
      <c r="F114" s="94">
        <v>15</v>
      </c>
      <c r="G114" s="94">
        <v>1.26</v>
      </c>
    </row>
    <row r="115" spans="1:7" ht="20.25" x14ac:dyDescent="0.2">
      <c r="A115" s="93">
        <v>111</v>
      </c>
      <c r="B115" s="94">
        <v>0.60467499999999996</v>
      </c>
      <c r="C115" s="94">
        <v>1</v>
      </c>
      <c r="D115" s="94">
        <v>1.1100000000000001</v>
      </c>
      <c r="E115" s="94">
        <v>0.57835400000000003</v>
      </c>
      <c r="F115" s="94">
        <v>7</v>
      </c>
      <c r="G115" s="94">
        <v>1.17</v>
      </c>
    </row>
    <row r="116" spans="1:7" ht="20.25" x14ac:dyDescent="0.2">
      <c r="A116" s="93">
        <v>112</v>
      </c>
      <c r="B116" s="94">
        <v>0.63490899999999995</v>
      </c>
      <c r="C116" s="94">
        <v>0</v>
      </c>
      <c r="D116" s="94">
        <v>1.04</v>
      </c>
      <c r="E116" s="94">
        <v>0.61305500000000002</v>
      </c>
      <c r="F116" s="94">
        <v>3</v>
      </c>
      <c r="G116" s="94">
        <v>1.08</v>
      </c>
    </row>
    <row r="117" spans="1:7" ht="20.25" x14ac:dyDescent="0.2">
      <c r="A117" s="93">
        <v>113</v>
      </c>
      <c r="B117" s="94">
        <v>0.666655</v>
      </c>
      <c r="C117" s="94">
        <v>0</v>
      </c>
      <c r="D117" s="94">
        <v>0.97</v>
      </c>
      <c r="E117" s="94">
        <v>0.64983900000000006</v>
      </c>
      <c r="F117" s="94">
        <v>1</v>
      </c>
      <c r="G117" s="94">
        <v>1</v>
      </c>
    </row>
    <row r="118" spans="1:7" ht="20.25" x14ac:dyDescent="0.2">
      <c r="A118" s="93">
        <v>114</v>
      </c>
      <c r="B118" s="94">
        <v>0.69998700000000003</v>
      </c>
      <c r="C118" s="94">
        <v>0</v>
      </c>
      <c r="D118" s="94">
        <v>0.9</v>
      </c>
      <c r="E118" s="94">
        <v>0.68882900000000002</v>
      </c>
      <c r="F118" s="94">
        <v>0</v>
      </c>
      <c r="G118" s="94">
        <v>0.92</v>
      </c>
    </row>
    <row r="119" spans="1:7" ht="20.25" x14ac:dyDescent="0.2">
      <c r="A119" s="96">
        <v>115</v>
      </c>
      <c r="B119" s="97">
        <v>0.73498699999999995</v>
      </c>
      <c r="C119" s="97">
        <v>0</v>
      </c>
      <c r="D119" s="97">
        <v>0.84</v>
      </c>
      <c r="E119" s="97">
        <v>0.730159</v>
      </c>
      <c r="F119" s="97">
        <v>0</v>
      </c>
      <c r="G119" s="97">
        <v>0.85</v>
      </c>
    </row>
    <row r="120" spans="1:7" ht="20.25" x14ac:dyDescent="0.2">
      <c r="A120" s="96">
        <v>116</v>
      </c>
      <c r="B120" s="97">
        <v>0.77173599999999998</v>
      </c>
      <c r="C120" s="97">
        <v>0</v>
      </c>
      <c r="D120" s="97">
        <v>0.78</v>
      </c>
      <c r="E120" s="97">
        <v>0.77173599999999998</v>
      </c>
      <c r="F120" s="97">
        <v>0</v>
      </c>
      <c r="G120" s="97">
        <v>0.78</v>
      </c>
    </row>
    <row r="121" spans="1:7" ht="20.25" x14ac:dyDescent="0.2">
      <c r="A121" s="96">
        <v>117</v>
      </c>
      <c r="B121" s="97">
        <v>0.81032300000000002</v>
      </c>
      <c r="C121" s="97">
        <v>0</v>
      </c>
      <c r="D121" s="97">
        <v>0.72</v>
      </c>
      <c r="E121" s="97">
        <v>0.81032300000000002</v>
      </c>
      <c r="F121" s="97">
        <v>0</v>
      </c>
      <c r="G121" s="97">
        <v>0.72</v>
      </c>
    </row>
    <row r="122" spans="1:7" ht="20.25" x14ac:dyDescent="0.2">
      <c r="A122" s="96">
        <v>118</v>
      </c>
      <c r="B122" s="97">
        <v>0.85083900000000001</v>
      </c>
      <c r="C122" s="97">
        <v>0</v>
      </c>
      <c r="D122" s="97">
        <v>0.67</v>
      </c>
      <c r="E122" s="97">
        <v>0.85083900000000001</v>
      </c>
      <c r="F122" s="97">
        <v>0</v>
      </c>
      <c r="G122" s="97">
        <v>0.67</v>
      </c>
    </row>
    <row r="123" spans="1:7" ht="20.25" x14ac:dyDescent="0.2">
      <c r="A123" s="96">
        <v>119</v>
      </c>
      <c r="B123" s="97">
        <v>0.89338099999999998</v>
      </c>
      <c r="C123" s="97">
        <v>0</v>
      </c>
      <c r="D123" s="97">
        <v>0.61</v>
      </c>
      <c r="E123" s="97">
        <v>0.89338099999999998</v>
      </c>
      <c r="F123" s="97">
        <v>0</v>
      </c>
      <c r="G123" s="97">
        <v>0.61</v>
      </c>
    </row>
  </sheetData>
  <pageMargins left="0.75" right="0.75" top="1" bottom="1" header="0.5" footer="0.5"/>
  <pageSetup scale="65"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37"/>
  <sheetViews>
    <sheetView topLeftCell="A2" workbookViewId="0">
      <selection activeCell="F36" sqref="F36"/>
    </sheetView>
  </sheetViews>
  <sheetFormatPr defaultRowHeight="12.75" x14ac:dyDescent="0.2"/>
  <cols>
    <col min="1" max="1" width="11" style="55" customWidth="1"/>
    <col min="2" max="2" width="27.85546875" style="55" bestFit="1" customWidth="1"/>
    <col min="3" max="3" width="10.5703125" style="56" customWidth="1"/>
    <col min="4" max="7" width="10.5703125" style="55" customWidth="1"/>
    <col min="8" max="8" width="10.28515625" style="55" customWidth="1"/>
    <col min="9" max="9" width="9.5703125" style="55" bestFit="1" customWidth="1"/>
    <col min="10" max="10" width="9.140625" style="55"/>
    <col min="11" max="11" width="10.85546875" style="55" customWidth="1"/>
    <col min="12" max="257" width="9.140625" style="55"/>
    <col min="258" max="258" width="20.42578125" style="55" customWidth="1"/>
    <col min="259" max="263" width="10.5703125" style="55" customWidth="1"/>
    <col min="264" max="264" width="10.28515625" style="55" customWidth="1"/>
    <col min="265" max="265" width="9.5703125" style="55" bestFit="1" customWidth="1"/>
    <col min="266" max="266" width="9.140625" style="55"/>
    <col min="267" max="267" width="10.85546875" style="55" customWidth="1"/>
    <col min="268" max="513" width="9.140625" style="55"/>
    <col min="514" max="514" width="20.42578125" style="55" customWidth="1"/>
    <col min="515" max="519" width="10.5703125" style="55" customWidth="1"/>
    <col min="520" max="520" width="10.28515625" style="55" customWidth="1"/>
    <col min="521" max="521" width="9.5703125" style="55" bestFit="1" customWidth="1"/>
    <col min="522" max="522" width="9.140625" style="55"/>
    <col min="523" max="523" width="10.85546875" style="55" customWidth="1"/>
    <col min="524" max="769" width="9.140625" style="55"/>
    <col min="770" max="770" width="20.42578125" style="55" customWidth="1"/>
    <col min="771" max="775" width="10.5703125" style="55" customWidth="1"/>
    <col min="776" max="776" width="10.28515625" style="55" customWidth="1"/>
    <col min="777" max="777" width="9.5703125" style="55" bestFit="1" customWidth="1"/>
    <col min="778" max="778" width="9.140625" style="55"/>
    <col min="779" max="779" width="10.85546875" style="55" customWidth="1"/>
    <col min="780" max="1025" width="9.140625" style="55"/>
    <col min="1026" max="1026" width="20.42578125" style="55" customWidth="1"/>
    <col min="1027" max="1031" width="10.5703125" style="55" customWidth="1"/>
    <col min="1032" max="1032" width="10.28515625" style="55" customWidth="1"/>
    <col min="1033" max="1033" width="9.5703125" style="55" bestFit="1" customWidth="1"/>
    <col min="1034" max="1034" width="9.140625" style="55"/>
    <col min="1035" max="1035" width="10.85546875" style="55" customWidth="1"/>
    <col min="1036" max="1281" width="9.140625" style="55"/>
    <col min="1282" max="1282" width="20.42578125" style="55" customWidth="1"/>
    <col min="1283" max="1287" width="10.5703125" style="55" customWidth="1"/>
    <col min="1288" max="1288" width="10.28515625" style="55" customWidth="1"/>
    <col min="1289" max="1289" width="9.5703125" style="55" bestFit="1" customWidth="1"/>
    <col min="1290" max="1290" width="9.140625" style="55"/>
    <col min="1291" max="1291" width="10.85546875" style="55" customWidth="1"/>
    <col min="1292" max="1537" width="9.140625" style="55"/>
    <col min="1538" max="1538" width="20.42578125" style="55" customWidth="1"/>
    <col min="1539" max="1543" width="10.5703125" style="55" customWidth="1"/>
    <col min="1544" max="1544" width="10.28515625" style="55" customWidth="1"/>
    <col min="1545" max="1545" width="9.5703125" style="55" bestFit="1" customWidth="1"/>
    <col min="1546" max="1546" width="9.140625" style="55"/>
    <col min="1547" max="1547" width="10.85546875" style="55" customWidth="1"/>
    <col min="1548" max="1793" width="9.140625" style="55"/>
    <col min="1794" max="1794" width="20.42578125" style="55" customWidth="1"/>
    <col min="1795" max="1799" width="10.5703125" style="55" customWidth="1"/>
    <col min="1800" max="1800" width="10.28515625" style="55" customWidth="1"/>
    <col min="1801" max="1801" width="9.5703125" style="55" bestFit="1" customWidth="1"/>
    <col min="1802" max="1802" width="9.140625" style="55"/>
    <col min="1803" max="1803" width="10.85546875" style="55" customWidth="1"/>
    <col min="1804" max="2049" width="9.140625" style="55"/>
    <col min="2050" max="2050" width="20.42578125" style="55" customWidth="1"/>
    <col min="2051" max="2055" width="10.5703125" style="55" customWidth="1"/>
    <col min="2056" max="2056" width="10.28515625" style="55" customWidth="1"/>
    <col min="2057" max="2057" width="9.5703125" style="55" bestFit="1" customWidth="1"/>
    <col min="2058" max="2058" width="9.140625" style="55"/>
    <col min="2059" max="2059" width="10.85546875" style="55" customWidth="1"/>
    <col min="2060" max="2305" width="9.140625" style="55"/>
    <col min="2306" max="2306" width="20.42578125" style="55" customWidth="1"/>
    <col min="2307" max="2311" width="10.5703125" style="55" customWidth="1"/>
    <col min="2312" max="2312" width="10.28515625" style="55" customWidth="1"/>
    <col min="2313" max="2313" width="9.5703125" style="55" bestFit="1" customWidth="1"/>
    <col min="2314" max="2314" width="9.140625" style="55"/>
    <col min="2315" max="2315" width="10.85546875" style="55" customWidth="1"/>
    <col min="2316" max="2561" width="9.140625" style="55"/>
    <col min="2562" max="2562" width="20.42578125" style="55" customWidth="1"/>
    <col min="2563" max="2567" width="10.5703125" style="55" customWidth="1"/>
    <col min="2568" max="2568" width="10.28515625" style="55" customWidth="1"/>
    <col min="2569" max="2569" width="9.5703125" style="55" bestFit="1" customWidth="1"/>
    <col min="2570" max="2570" width="9.140625" style="55"/>
    <col min="2571" max="2571" width="10.85546875" style="55" customWidth="1"/>
    <col min="2572" max="2817" width="9.140625" style="55"/>
    <col min="2818" max="2818" width="20.42578125" style="55" customWidth="1"/>
    <col min="2819" max="2823" width="10.5703125" style="55" customWidth="1"/>
    <col min="2824" max="2824" width="10.28515625" style="55" customWidth="1"/>
    <col min="2825" max="2825" width="9.5703125" style="55" bestFit="1" customWidth="1"/>
    <col min="2826" max="2826" width="9.140625" style="55"/>
    <col min="2827" max="2827" width="10.85546875" style="55" customWidth="1"/>
    <col min="2828" max="3073" width="9.140625" style="55"/>
    <col min="3074" max="3074" width="20.42578125" style="55" customWidth="1"/>
    <col min="3075" max="3079" width="10.5703125" style="55" customWidth="1"/>
    <col min="3080" max="3080" width="10.28515625" style="55" customWidth="1"/>
    <col min="3081" max="3081" width="9.5703125" style="55" bestFit="1" customWidth="1"/>
    <col min="3082" max="3082" width="9.140625" style="55"/>
    <col min="3083" max="3083" width="10.85546875" style="55" customWidth="1"/>
    <col min="3084" max="3329" width="9.140625" style="55"/>
    <col min="3330" max="3330" width="20.42578125" style="55" customWidth="1"/>
    <col min="3331" max="3335" width="10.5703125" style="55" customWidth="1"/>
    <col min="3336" max="3336" width="10.28515625" style="55" customWidth="1"/>
    <col min="3337" max="3337" width="9.5703125" style="55" bestFit="1" customWidth="1"/>
    <col min="3338" max="3338" width="9.140625" style="55"/>
    <col min="3339" max="3339" width="10.85546875" style="55" customWidth="1"/>
    <col min="3340" max="3585" width="9.140625" style="55"/>
    <col min="3586" max="3586" width="20.42578125" style="55" customWidth="1"/>
    <col min="3587" max="3591" width="10.5703125" style="55" customWidth="1"/>
    <col min="3592" max="3592" width="10.28515625" style="55" customWidth="1"/>
    <col min="3593" max="3593" width="9.5703125" style="55" bestFit="1" customWidth="1"/>
    <col min="3594" max="3594" width="9.140625" style="55"/>
    <col min="3595" max="3595" width="10.85546875" style="55" customWidth="1"/>
    <col min="3596" max="3841" width="9.140625" style="55"/>
    <col min="3842" max="3842" width="20.42578125" style="55" customWidth="1"/>
    <col min="3843" max="3847" width="10.5703125" style="55" customWidth="1"/>
    <col min="3848" max="3848" width="10.28515625" style="55" customWidth="1"/>
    <col min="3849" max="3849" width="9.5703125" style="55" bestFit="1" customWidth="1"/>
    <col min="3850" max="3850" width="9.140625" style="55"/>
    <col min="3851" max="3851" width="10.85546875" style="55" customWidth="1"/>
    <col min="3852" max="4097" width="9.140625" style="55"/>
    <col min="4098" max="4098" width="20.42578125" style="55" customWidth="1"/>
    <col min="4099" max="4103" width="10.5703125" style="55" customWidth="1"/>
    <col min="4104" max="4104" width="10.28515625" style="55" customWidth="1"/>
    <col min="4105" max="4105" width="9.5703125" style="55" bestFit="1" customWidth="1"/>
    <col min="4106" max="4106" width="9.140625" style="55"/>
    <col min="4107" max="4107" width="10.85546875" style="55" customWidth="1"/>
    <col min="4108" max="4353" width="9.140625" style="55"/>
    <col min="4354" max="4354" width="20.42578125" style="55" customWidth="1"/>
    <col min="4355" max="4359" width="10.5703125" style="55" customWidth="1"/>
    <col min="4360" max="4360" width="10.28515625" style="55" customWidth="1"/>
    <col min="4361" max="4361" width="9.5703125" style="55" bestFit="1" customWidth="1"/>
    <col min="4362" max="4362" width="9.140625" style="55"/>
    <col min="4363" max="4363" width="10.85546875" style="55" customWidth="1"/>
    <col min="4364" max="4609" width="9.140625" style="55"/>
    <col min="4610" max="4610" width="20.42578125" style="55" customWidth="1"/>
    <col min="4611" max="4615" width="10.5703125" style="55" customWidth="1"/>
    <col min="4616" max="4616" width="10.28515625" style="55" customWidth="1"/>
    <col min="4617" max="4617" width="9.5703125" style="55" bestFit="1" customWidth="1"/>
    <col min="4618" max="4618" width="9.140625" style="55"/>
    <col min="4619" max="4619" width="10.85546875" style="55" customWidth="1"/>
    <col min="4620" max="4865" width="9.140625" style="55"/>
    <col min="4866" max="4866" width="20.42578125" style="55" customWidth="1"/>
    <col min="4867" max="4871" width="10.5703125" style="55" customWidth="1"/>
    <col min="4872" max="4872" width="10.28515625" style="55" customWidth="1"/>
    <col min="4873" max="4873" width="9.5703125" style="55" bestFit="1" customWidth="1"/>
    <col min="4874" max="4874" width="9.140625" style="55"/>
    <col min="4875" max="4875" width="10.85546875" style="55" customWidth="1"/>
    <col min="4876" max="5121" width="9.140625" style="55"/>
    <col min="5122" max="5122" width="20.42578125" style="55" customWidth="1"/>
    <col min="5123" max="5127" width="10.5703125" style="55" customWidth="1"/>
    <col min="5128" max="5128" width="10.28515625" style="55" customWidth="1"/>
    <col min="5129" max="5129" width="9.5703125" style="55" bestFit="1" customWidth="1"/>
    <col min="5130" max="5130" width="9.140625" style="55"/>
    <col min="5131" max="5131" width="10.85546875" style="55" customWidth="1"/>
    <col min="5132" max="5377" width="9.140625" style="55"/>
    <col min="5378" max="5378" width="20.42578125" style="55" customWidth="1"/>
    <col min="5379" max="5383" width="10.5703125" style="55" customWidth="1"/>
    <col min="5384" max="5384" width="10.28515625" style="55" customWidth="1"/>
    <col min="5385" max="5385" width="9.5703125" style="55" bestFit="1" customWidth="1"/>
    <col min="5386" max="5386" width="9.140625" style="55"/>
    <col min="5387" max="5387" width="10.85546875" style="55" customWidth="1"/>
    <col min="5388" max="5633" width="9.140625" style="55"/>
    <col min="5634" max="5634" width="20.42578125" style="55" customWidth="1"/>
    <col min="5635" max="5639" width="10.5703125" style="55" customWidth="1"/>
    <col min="5640" max="5640" width="10.28515625" style="55" customWidth="1"/>
    <col min="5641" max="5641" width="9.5703125" style="55" bestFit="1" customWidth="1"/>
    <col min="5642" max="5642" width="9.140625" style="55"/>
    <col min="5643" max="5643" width="10.85546875" style="55" customWidth="1"/>
    <col min="5644" max="5889" width="9.140625" style="55"/>
    <col min="5890" max="5890" width="20.42578125" style="55" customWidth="1"/>
    <col min="5891" max="5895" width="10.5703125" style="55" customWidth="1"/>
    <col min="5896" max="5896" width="10.28515625" style="55" customWidth="1"/>
    <col min="5897" max="5897" width="9.5703125" style="55" bestFit="1" customWidth="1"/>
    <col min="5898" max="5898" width="9.140625" style="55"/>
    <col min="5899" max="5899" width="10.85546875" style="55" customWidth="1"/>
    <col min="5900" max="6145" width="9.140625" style="55"/>
    <col min="6146" max="6146" width="20.42578125" style="55" customWidth="1"/>
    <col min="6147" max="6151" width="10.5703125" style="55" customWidth="1"/>
    <col min="6152" max="6152" width="10.28515625" style="55" customWidth="1"/>
    <col min="6153" max="6153" width="9.5703125" style="55" bestFit="1" customWidth="1"/>
    <col min="6154" max="6154" width="9.140625" style="55"/>
    <col min="6155" max="6155" width="10.85546875" style="55" customWidth="1"/>
    <col min="6156" max="6401" width="9.140625" style="55"/>
    <col min="6402" max="6402" width="20.42578125" style="55" customWidth="1"/>
    <col min="6403" max="6407" width="10.5703125" style="55" customWidth="1"/>
    <col min="6408" max="6408" width="10.28515625" style="55" customWidth="1"/>
    <col min="6409" max="6409" width="9.5703125" style="55" bestFit="1" customWidth="1"/>
    <col min="6410" max="6410" width="9.140625" style="55"/>
    <col min="6411" max="6411" width="10.85546875" style="55" customWidth="1"/>
    <col min="6412" max="6657" width="9.140625" style="55"/>
    <col min="6658" max="6658" width="20.42578125" style="55" customWidth="1"/>
    <col min="6659" max="6663" width="10.5703125" style="55" customWidth="1"/>
    <col min="6664" max="6664" width="10.28515625" style="55" customWidth="1"/>
    <col min="6665" max="6665" width="9.5703125" style="55" bestFit="1" customWidth="1"/>
    <col min="6666" max="6666" width="9.140625" style="55"/>
    <col min="6667" max="6667" width="10.85546875" style="55" customWidth="1"/>
    <col min="6668" max="6913" width="9.140625" style="55"/>
    <col min="6914" max="6914" width="20.42578125" style="55" customWidth="1"/>
    <col min="6915" max="6919" width="10.5703125" style="55" customWidth="1"/>
    <col min="6920" max="6920" width="10.28515625" style="55" customWidth="1"/>
    <col min="6921" max="6921" width="9.5703125" style="55" bestFit="1" customWidth="1"/>
    <col min="6922" max="6922" width="9.140625" style="55"/>
    <col min="6923" max="6923" width="10.85546875" style="55" customWidth="1"/>
    <col min="6924" max="7169" width="9.140625" style="55"/>
    <col min="7170" max="7170" width="20.42578125" style="55" customWidth="1"/>
    <col min="7171" max="7175" width="10.5703125" style="55" customWidth="1"/>
    <col min="7176" max="7176" width="10.28515625" style="55" customWidth="1"/>
    <col min="7177" max="7177" width="9.5703125" style="55" bestFit="1" customWidth="1"/>
    <col min="7178" max="7178" width="9.140625" style="55"/>
    <col min="7179" max="7179" width="10.85546875" style="55" customWidth="1"/>
    <col min="7180" max="7425" width="9.140625" style="55"/>
    <col min="7426" max="7426" width="20.42578125" style="55" customWidth="1"/>
    <col min="7427" max="7431" width="10.5703125" style="55" customWidth="1"/>
    <col min="7432" max="7432" width="10.28515625" style="55" customWidth="1"/>
    <col min="7433" max="7433" width="9.5703125" style="55" bestFit="1" customWidth="1"/>
    <col min="7434" max="7434" width="9.140625" style="55"/>
    <col min="7435" max="7435" width="10.85546875" style="55" customWidth="1"/>
    <col min="7436" max="7681" width="9.140625" style="55"/>
    <col min="7682" max="7682" width="20.42578125" style="55" customWidth="1"/>
    <col min="7683" max="7687" width="10.5703125" style="55" customWidth="1"/>
    <col min="7688" max="7688" width="10.28515625" style="55" customWidth="1"/>
    <col min="7689" max="7689" width="9.5703125" style="55" bestFit="1" customWidth="1"/>
    <col min="7690" max="7690" width="9.140625" style="55"/>
    <col min="7691" max="7691" width="10.85546875" style="55" customWidth="1"/>
    <col min="7692" max="7937" width="9.140625" style="55"/>
    <col min="7938" max="7938" width="20.42578125" style="55" customWidth="1"/>
    <col min="7939" max="7943" width="10.5703125" style="55" customWidth="1"/>
    <col min="7944" max="7944" width="10.28515625" style="55" customWidth="1"/>
    <col min="7945" max="7945" width="9.5703125" style="55" bestFit="1" customWidth="1"/>
    <col min="7946" max="7946" width="9.140625" style="55"/>
    <col min="7947" max="7947" width="10.85546875" style="55" customWidth="1"/>
    <col min="7948" max="8193" width="9.140625" style="55"/>
    <col min="8194" max="8194" width="20.42578125" style="55" customWidth="1"/>
    <col min="8195" max="8199" width="10.5703125" style="55" customWidth="1"/>
    <col min="8200" max="8200" width="10.28515625" style="55" customWidth="1"/>
    <col min="8201" max="8201" width="9.5703125" style="55" bestFit="1" customWidth="1"/>
    <col min="8202" max="8202" width="9.140625" style="55"/>
    <col min="8203" max="8203" width="10.85546875" style="55" customWidth="1"/>
    <col min="8204" max="8449" width="9.140625" style="55"/>
    <col min="8450" max="8450" width="20.42578125" style="55" customWidth="1"/>
    <col min="8451" max="8455" width="10.5703125" style="55" customWidth="1"/>
    <col min="8456" max="8456" width="10.28515625" style="55" customWidth="1"/>
    <col min="8457" max="8457" width="9.5703125" style="55" bestFit="1" customWidth="1"/>
    <col min="8458" max="8458" width="9.140625" style="55"/>
    <col min="8459" max="8459" width="10.85546875" style="55" customWidth="1"/>
    <col min="8460" max="8705" width="9.140625" style="55"/>
    <col min="8706" max="8706" width="20.42578125" style="55" customWidth="1"/>
    <col min="8707" max="8711" width="10.5703125" style="55" customWidth="1"/>
    <col min="8712" max="8712" width="10.28515625" style="55" customWidth="1"/>
    <col min="8713" max="8713" width="9.5703125" style="55" bestFit="1" customWidth="1"/>
    <col min="8714" max="8714" width="9.140625" style="55"/>
    <col min="8715" max="8715" width="10.85546875" style="55" customWidth="1"/>
    <col min="8716" max="8961" width="9.140625" style="55"/>
    <col min="8962" max="8962" width="20.42578125" style="55" customWidth="1"/>
    <col min="8963" max="8967" width="10.5703125" style="55" customWidth="1"/>
    <col min="8968" max="8968" width="10.28515625" style="55" customWidth="1"/>
    <col min="8969" max="8969" width="9.5703125" style="55" bestFit="1" customWidth="1"/>
    <col min="8970" max="8970" width="9.140625" style="55"/>
    <col min="8971" max="8971" width="10.85546875" style="55" customWidth="1"/>
    <col min="8972" max="9217" width="9.140625" style="55"/>
    <col min="9218" max="9218" width="20.42578125" style="55" customWidth="1"/>
    <col min="9219" max="9223" width="10.5703125" style="55" customWidth="1"/>
    <col min="9224" max="9224" width="10.28515625" style="55" customWidth="1"/>
    <col min="9225" max="9225" width="9.5703125" style="55" bestFit="1" customWidth="1"/>
    <col min="9226" max="9226" width="9.140625" style="55"/>
    <col min="9227" max="9227" width="10.85546875" style="55" customWidth="1"/>
    <col min="9228" max="9473" width="9.140625" style="55"/>
    <col min="9474" max="9474" width="20.42578125" style="55" customWidth="1"/>
    <col min="9475" max="9479" width="10.5703125" style="55" customWidth="1"/>
    <col min="9480" max="9480" width="10.28515625" style="55" customWidth="1"/>
    <col min="9481" max="9481" width="9.5703125" style="55" bestFit="1" customWidth="1"/>
    <col min="9482" max="9482" width="9.140625" style="55"/>
    <col min="9483" max="9483" width="10.85546875" style="55" customWidth="1"/>
    <col min="9484" max="9729" width="9.140625" style="55"/>
    <col min="9730" max="9730" width="20.42578125" style="55" customWidth="1"/>
    <col min="9731" max="9735" width="10.5703125" style="55" customWidth="1"/>
    <col min="9736" max="9736" width="10.28515625" style="55" customWidth="1"/>
    <col min="9737" max="9737" width="9.5703125" style="55" bestFit="1" customWidth="1"/>
    <col min="9738" max="9738" width="9.140625" style="55"/>
    <col min="9739" max="9739" width="10.85546875" style="55" customWidth="1"/>
    <col min="9740" max="9985" width="9.140625" style="55"/>
    <col min="9986" max="9986" width="20.42578125" style="55" customWidth="1"/>
    <col min="9987" max="9991" width="10.5703125" style="55" customWidth="1"/>
    <col min="9992" max="9992" width="10.28515625" style="55" customWidth="1"/>
    <col min="9993" max="9993" width="9.5703125" style="55" bestFit="1" customWidth="1"/>
    <col min="9994" max="9994" width="9.140625" style="55"/>
    <col min="9995" max="9995" width="10.85546875" style="55" customWidth="1"/>
    <col min="9996" max="10241" width="9.140625" style="55"/>
    <col min="10242" max="10242" width="20.42578125" style="55" customWidth="1"/>
    <col min="10243" max="10247" width="10.5703125" style="55" customWidth="1"/>
    <col min="10248" max="10248" width="10.28515625" style="55" customWidth="1"/>
    <col min="10249" max="10249" width="9.5703125" style="55" bestFit="1" customWidth="1"/>
    <col min="10250" max="10250" width="9.140625" style="55"/>
    <col min="10251" max="10251" width="10.85546875" style="55" customWidth="1"/>
    <col min="10252" max="10497" width="9.140625" style="55"/>
    <col min="10498" max="10498" width="20.42578125" style="55" customWidth="1"/>
    <col min="10499" max="10503" width="10.5703125" style="55" customWidth="1"/>
    <col min="10504" max="10504" width="10.28515625" style="55" customWidth="1"/>
    <col min="10505" max="10505" width="9.5703125" style="55" bestFit="1" customWidth="1"/>
    <col min="10506" max="10506" width="9.140625" style="55"/>
    <col min="10507" max="10507" width="10.85546875" style="55" customWidth="1"/>
    <col min="10508" max="10753" width="9.140625" style="55"/>
    <col min="10754" max="10754" width="20.42578125" style="55" customWidth="1"/>
    <col min="10755" max="10759" width="10.5703125" style="55" customWidth="1"/>
    <col min="10760" max="10760" width="10.28515625" style="55" customWidth="1"/>
    <col min="10761" max="10761" width="9.5703125" style="55" bestFit="1" customWidth="1"/>
    <col min="10762" max="10762" width="9.140625" style="55"/>
    <col min="10763" max="10763" width="10.85546875" style="55" customWidth="1"/>
    <col min="10764" max="11009" width="9.140625" style="55"/>
    <col min="11010" max="11010" width="20.42578125" style="55" customWidth="1"/>
    <col min="11011" max="11015" width="10.5703125" style="55" customWidth="1"/>
    <col min="11016" max="11016" width="10.28515625" style="55" customWidth="1"/>
    <col min="11017" max="11017" width="9.5703125" style="55" bestFit="1" customWidth="1"/>
    <col min="11018" max="11018" width="9.140625" style="55"/>
    <col min="11019" max="11019" width="10.85546875" style="55" customWidth="1"/>
    <col min="11020" max="11265" width="9.140625" style="55"/>
    <col min="11266" max="11266" width="20.42578125" style="55" customWidth="1"/>
    <col min="11267" max="11271" width="10.5703125" style="55" customWidth="1"/>
    <col min="11272" max="11272" width="10.28515625" style="55" customWidth="1"/>
    <col min="11273" max="11273" width="9.5703125" style="55" bestFit="1" customWidth="1"/>
    <col min="11274" max="11274" width="9.140625" style="55"/>
    <col min="11275" max="11275" width="10.85546875" style="55" customWidth="1"/>
    <col min="11276" max="11521" width="9.140625" style="55"/>
    <col min="11522" max="11522" width="20.42578125" style="55" customWidth="1"/>
    <col min="11523" max="11527" width="10.5703125" style="55" customWidth="1"/>
    <col min="11528" max="11528" width="10.28515625" style="55" customWidth="1"/>
    <col min="11529" max="11529" width="9.5703125" style="55" bestFit="1" customWidth="1"/>
    <col min="11530" max="11530" width="9.140625" style="55"/>
    <col min="11531" max="11531" width="10.85546875" style="55" customWidth="1"/>
    <col min="11532" max="11777" width="9.140625" style="55"/>
    <col min="11778" max="11778" width="20.42578125" style="55" customWidth="1"/>
    <col min="11779" max="11783" width="10.5703125" style="55" customWidth="1"/>
    <col min="11784" max="11784" width="10.28515625" style="55" customWidth="1"/>
    <col min="11785" max="11785" width="9.5703125" style="55" bestFit="1" customWidth="1"/>
    <col min="11786" max="11786" width="9.140625" style="55"/>
    <col min="11787" max="11787" width="10.85546875" style="55" customWidth="1"/>
    <col min="11788" max="12033" width="9.140625" style="55"/>
    <col min="12034" max="12034" width="20.42578125" style="55" customWidth="1"/>
    <col min="12035" max="12039" width="10.5703125" style="55" customWidth="1"/>
    <col min="12040" max="12040" width="10.28515625" style="55" customWidth="1"/>
    <col min="12041" max="12041" width="9.5703125" style="55" bestFit="1" customWidth="1"/>
    <col min="12042" max="12042" width="9.140625" style="55"/>
    <col min="12043" max="12043" width="10.85546875" style="55" customWidth="1"/>
    <col min="12044" max="12289" width="9.140625" style="55"/>
    <col min="12290" max="12290" width="20.42578125" style="55" customWidth="1"/>
    <col min="12291" max="12295" width="10.5703125" style="55" customWidth="1"/>
    <col min="12296" max="12296" width="10.28515625" style="55" customWidth="1"/>
    <col min="12297" max="12297" width="9.5703125" style="55" bestFit="1" customWidth="1"/>
    <col min="12298" max="12298" width="9.140625" style="55"/>
    <col min="12299" max="12299" width="10.85546875" style="55" customWidth="1"/>
    <col min="12300" max="12545" width="9.140625" style="55"/>
    <col min="12546" max="12546" width="20.42578125" style="55" customWidth="1"/>
    <col min="12547" max="12551" width="10.5703125" style="55" customWidth="1"/>
    <col min="12552" max="12552" width="10.28515625" style="55" customWidth="1"/>
    <col min="12553" max="12553" width="9.5703125" style="55" bestFit="1" customWidth="1"/>
    <col min="12554" max="12554" width="9.140625" style="55"/>
    <col min="12555" max="12555" width="10.85546875" style="55" customWidth="1"/>
    <col min="12556" max="12801" width="9.140625" style="55"/>
    <col min="12802" max="12802" width="20.42578125" style="55" customWidth="1"/>
    <col min="12803" max="12807" width="10.5703125" style="55" customWidth="1"/>
    <col min="12808" max="12808" width="10.28515625" style="55" customWidth="1"/>
    <col min="12809" max="12809" width="9.5703125" style="55" bestFit="1" customWidth="1"/>
    <col min="12810" max="12810" width="9.140625" style="55"/>
    <col min="12811" max="12811" width="10.85546875" style="55" customWidth="1"/>
    <col min="12812" max="13057" width="9.140625" style="55"/>
    <col min="13058" max="13058" width="20.42578125" style="55" customWidth="1"/>
    <col min="13059" max="13063" width="10.5703125" style="55" customWidth="1"/>
    <col min="13064" max="13064" width="10.28515625" style="55" customWidth="1"/>
    <col min="13065" max="13065" width="9.5703125" style="55" bestFit="1" customWidth="1"/>
    <col min="13066" max="13066" width="9.140625" style="55"/>
    <col min="13067" max="13067" width="10.85546875" style="55" customWidth="1"/>
    <col min="13068" max="13313" width="9.140625" style="55"/>
    <col min="13314" max="13314" width="20.42578125" style="55" customWidth="1"/>
    <col min="13315" max="13319" width="10.5703125" style="55" customWidth="1"/>
    <col min="13320" max="13320" width="10.28515625" style="55" customWidth="1"/>
    <col min="13321" max="13321" width="9.5703125" style="55" bestFit="1" customWidth="1"/>
    <col min="13322" max="13322" width="9.140625" style="55"/>
    <col min="13323" max="13323" width="10.85546875" style="55" customWidth="1"/>
    <col min="13324" max="13569" width="9.140625" style="55"/>
    <col min="13570" max="13570" width="20.42578125" style="55" customWidth="1"/>
    <col min="13571" max="13575" width="10.5703125" style="55" customWidth="1"/>
    <col min="13576" max="13576" width="10.28515625" style="55" customWidth="1"/>
    <col min="13577" max="13577" width="9.5703125" style="55" bestFit="1" customWidth="1"/>
    <col min="13578" max="13578" width="9.140625" style="55"/>
    <col min="13579" max="13579" width="10.85546875" style="55" customWidth="1"/>
    <col min="13580" max="13825" width="9.140625" style="55"/>
    <col min="13826" max="13826" width="20.42578125" style="55" customWidth="1"/>
    <col min="13827" max="13831" width="10.5703125" style="55" customWidth="1"/>
    <col min="13832" max="13832" width="10.28515625" style="55" customWidth="1"/>
    <col min="13833" max="13833" width="9.5703125" style="55" bestFit="1" customWidth="1"/>
    <col min="13834" max="13834" width="9.140625" style="55"/>
    <col min="13835" max="13835" width="10.85546875" style="55" customWidth="1"/>
    <col min="13836" max="14081" width="9.140625" style="55"/>
    <col min="14082" max="14082" width="20.42578125" style="55" customWidth="1"/>
    <col min="14083" max="14087" width="10.5703125" style="55" customWidth="1"/>
    <col min="14088" max="14088" width="10.28515625" style="55" customWidth="1"/>
    <col min="14089" max="14089" width="9.5703125" style="55" bestFit="1" customWidth="1"/>
    <col min="14090" max="14090" width="9.140625" style="55"/>
    <col min="14091" max="14091" width="10.85546875" style="55" customWidth="1"/>
    <col min="14092" max="14337" width="9.140625" style="55"/>
    <col min="14338" max="14338" width="20.42578125" style="55" customWidth="1"/>
    <col min="14339" max="14343" width="10.5703125" style="55" customWidth="1"/>
    <col min="14344" max="14344" width="10.28515625" style="55" customWidth="1"/>
    <col min="14345" max="14345" width="9.5703125" style="55" bestFit="1" customWidth="1"/>
    <col min="14346" max="14346" width="9.140625" style="55"/>
    <col min="14347" max="14347" width="10.85546875" style="55" customWidth="1"/>
    <col min="14348" max="14593" width="9.140625" style="55"/>
    <col min="14594" max="14594" width="20.42578125" style="55" customWidth="1"/>
    <col min="14595" max="14599" width="10.5703125" style="55" customWidth="1"/>
    <col min="14600" max="14600" width="10.28515625" style="55" customWidth="1"/>
    <col min="14601" max="14601" width="9.5703125" style="55" bestFit="1" customWidth="1"/>
    <col min="14602" max="14602" width="9.140625" style="55"/>
    <col min="14603" max="14603" width="10.85546875" style="55" customWidth="1"/>
    <col min="14604" max="14849" width="9.140625" style="55"/>
    <col min="14850" max="14850" width="20.42578125" style="55" customWidth="1"/>
    <col min="14851" max="14855" width="10.5703125" style="55" customWidth="1"/>
    <col min="14856" max="14856" width="10.28515625" style="55" customWidth="1"/>
    <col min="14857" max="14857" width="9.5703125" style="55" bestFit="1" customWidth="1"/>
    <col min="14858" max="14858" width="9.140625" style="55"/>
    <col min="14859" max="14859" width="10.85546875" style="55" customWidth="1"/>
    <col min="14860" max="15105" width="9.140625" style="55"/>
    <col min="15106" max="15106" width="20.42578125" style="55" customWidth="1"/>
    <col min="15107" max="15111" width="10.5703125" style="55" customWidth="1"/>
    <col min="15112" max="15112" width="10.28515625" style="55" customWidth="1"/>
    <col min="15113" max="15113" width="9.5703125" style="55" bestFit="1" customWidth="1"/>
    <col min="15114" max="15114" width="9.140625" style="55"/>
    <col min="15115" max="15115" width="10.85546875" style="55" customWidth="1"/>
    <col min="15116" max="15361" width="9.140625" style="55"/>
    <col min="15362" max="15362" width="20.42578125" style="55" customWidth="1"/>
    <col min="15363" max="15367" width="10.5703125" style="55" customWidth="1"/>
    <col min="15368" max="15368" width="10.28515625" style="55" customWidth="1"/>
    <col min="15369" max="15369" width="9.5703125" style="55" bestFit="1" customWidth="1"/>
    <col min="15370" max="15370" width="9.140625" style="55"/>
    <col min="15371" max="15371" width="10.85546875" style="55" customWidth="1"/>
    <col min="15372" max="15617" width="9.140625" style="55"/>
    <col min="15618" max="15618" width="20.42578125" style="55" customWidth="1"/>
    <col min="15619" max="15623" width="10.5703125" style="55" customWidth="1"/>
    <col min="15624" max="15624" width="10.28515625" style="55" customWidth="1"/>
    <col min="15625" max="15625" width="9.5703125" style="55" bestFit="1" customWidth="1"/>
    <col min="15626" max="15626" width="9.140625" style="55"/>
    <col min="15627" max="15627" width="10.85546875" style="55" customWidth="1"/>
    <col min="15628" max="15873" width="9.140625" style="55"/>
    <col min="15874" max="15874" width="20.42578125" style="55" customWidth="1"/>
    <col min="15875" max="15879" width="10.5703125" style="55" customWidth="1"/>
    <col min="15880" max="15880" width="10.28515625" style="55" customWidth="1"/>
    <col min="15881" max="15881" width="9.5703125" style="55" bestFit="1" customWidth="1"/>
    <col min="15882" max="15882" width="9.140625" style="55"/>
    <col min="15883" max="15883" width="10.85546875" style="55" customWidth="1"/>
    <col min="15884" max="16129" width="9.140625" style="55"/>
    <col min="16130" max="16130" width="20.42578125" style="55" customWidth="1"/>
    <col min="16131" max="16135" width="10.5703125" style="55" customWidth="1"/>
    <col min="16136" max="16136" width="10.28515625" style="55" customWidth="1"/>
    <col min="16137" max="16137" width="9.5703125" style="55" bestFit="1" customWidth="1"/>
    <col min="16138" max="16138" width="9.140625" style="55"/>
    <col min="16139" max="16139" width="10.85546875" style="55" customWidth="1"/>
    <col min="16140" max="16384" width="9.140625" style="55"/>
  </cols>
  <sheetData>
    <row r="1" spans="1:7" s="50" customFormat="1" ht="15.75" x14ac:dyDescent="0.25">
      <c r="A1" s="50" t="s">
        <v>71</v>
      </c>
      <c r="C1" s="51"/>
      <c r="F1" s="52"/>
      <c r="G1" s="52"/>
    </row>
    <row r="2" spans="1:7" x14ac:dyDescent="0.2">
      <c r="A2" s="53" t="s">
        <v>131</v>
      </c>
    </row>
    <row r="3" spans="1:7" x14ac:dyDescent="0.2">
      <c r="A3" s="53" t="s">
        <v>60</v>
      </c>
      <c r="B3" s="53" t="s">
        <v>76</v>
      </c>
      <c r="C3" s="54" t="s">
        <v>64</v>
      </c>
      <c r="D3" s="54" t="s">
        <v>63</v>
      </c>
      <c r="E3" s="53" t="s">
        <v>65</v>
      </c>
      <c r="F3" s="55" t="s">
        <v>72</v>
      </c>
    </row>
    <row r="4" spans="1:7" x14ac:dyDescent="0.2">
      <c r="A4" s="100" t="s">
        <v>54</v>
      </c>
      <c r="B4" s="55">
        <v>1.3460000000000001</v>
      </c>
      <c r="C4" s="56">
        <f>B4/$B$11</f>
        <v>2.5813677413415826E-2</v>
      </c>
      <c r="D4" s="56">
        <f>1-EXP(-B4*1)</f>
        <v>0.73972070162144288</v>
      </c>
      <c r="E4" s="99">
        <f>1-EXP(-C4*2)</f>
        <v>5.0317304414940089E-2</v>
      </c>
    </row>
    <row r="5" spans="1:7" x14ac:dyDescent="0.2">
      <c r="A5" s="100" t="s">
        <v>61</v>
      </c>
      <c r="B5" s="55">
        <v>6.6000000000000003E-2</v>
      </c>
      <c r="C5" s="56">
        <f>B5/$B$11</f>
        <v>1.2657523843131089E-3</v>
      </c>
      <c r="D5" s="56">
        <f>1-EXP(-B5*1)</f>
        <v>6.3869135708381153E-2</v>
      </c>
      <c r="E5" s="99">
        <f t="shared" ref="E5:E8" si="0">1-EXP(-C5*2)</f>
        <v>2.5283032125840155E-3</v>
      </c>
    </row>
    <row r="6" spans="1:7" x14ac:dyDescent="0.2">
      <c r="A6" s="100" t="s">
        <v>62</v>
      </c>
      <c r="B6" s="55">
        <v>6.2E-2</v>
      </c>
      <c r="C6" s="56">
        <f>B6/$B$11</f>
        <v>1.1890401185971628E-3</v>
      </c>
      <c r="D6" s="56">
        <f>1-EXP(-B6*1)</f>
        <v>6.011711320891111E-2</v>
      </c>
      <c r="E6" s="99">
        <f t="shared" si="0"/>
        <v>2.3752548445009625E-3</v>
      </c>
    </row>
    <row r="7" spans="1:7" x14ac:dyDescent="0.2">
      <c r="A7" s="100" t="s">
        <v>59</v>
      </c>
      <c r="C7" s="56">
        <f>(-LN(1-F7)/30)*7</f>
        <v>5.8596301901842427E-3</v>
      </c>
      <c r="E7" s="99">
        <f t="shared" si="0"/>
        <v>1.1650857320283259E-2</v>
      </c>
      <c r="F7" s="55">
        <v>2.4799999999999999E-2</v>
      </c>
    </row>
    <row r="8" spans="1:7" x14ac:dyDescent="0.2">
      <c r="A8" s="100" t="s">
        <v>75</v>
      </c>
      <c r="B8" s="55">
        <f>Parameters!B18/100</f>
        <v>4.0000000000000001E-3</v>
      </c>
      <c r="C8" s="56">
        <f>B8/B11</f>
        <v>7.6712265715945998E-5</v>
      </c>
      <c r="E8" s="99">
        <f t="shared" si="0"/>
        <v>1.5341276249036806E-4</v>
      </c>
      <c r="F8" s="55">
        <v>1.0999999999999999E-2</v>
      </c>
    </row>
    <row r="10" spans="1:7" x14ac:dyDescent="0.2">
      <c r="A10" s="55" t="s">
        <v>66</v>
      </c>
      <c r="B10" s="55">
        <v>1</v>
      </c>
    </row>
    <row r="11" spans="1:7" x14ac:dyDescent="0.2">
      <c r="A11" s="55" t="s">
        <v>67</v>
      </c>
      <c r="B11" s="55">
        <v>52.142899999999997</v>
      </c>
    </row>
    <row r="13" spans="1:7" x14ac:dyDescent="0.2">
      <c r="A13" s="53" t="s">
        <v>133</v>
      </c>
    </row>
    <row r="14" spans="1:7" x14ac:dyDescent="0.2">
      <c r="A14" s="53" t="s">
        <v>60</v>
      </c>
      <c r="B14" s="53" t="s">
        <v>126</v>
      </c>
      <c r="C14" s="54" t="s">
        <v>64</v>
      </c>
      <c r="D14" s="54" t="s">
        <v>63</v>
      </c>
      <c r="E14" s="53" t="s">
        <v>65</v>
      </c>
      <c r="F14" s="55" t="s">
        <v>72</v>
      </c>
    </row>
    <row r="15" spans="1:7" x14ac:dyDescent="0.2">
      <c r="A15" s="100" t="s">
        <v>54</v>
      </c>
      <c r="B15" s="55">
        <v>0.88</v>
      </c>
      <c r="C15" s="56">
        <f>B15/($B$22*4)</f>
        <v>5.0630114792278441E-2</v>
      </c>
      <c r="D15" s="56">
        <f>1-EXP(-B15*1)</f>
        <v>0.58521708831841868</v>
      </c>
      <c r="E15" s="99">
        <f>1-EXP(-C15*2)</f>
        <v>9.6302166627487917E-2</v>
      </c>
    </row>
    <row r="16" spans="1:7" x14ac:dyDescent="0.2">
      <c r="A16" s="100" t="s">
        <v>61</v>
      </c>
      <c r="B16" s="55">
        <v>0.02</v>
      </c>
      <c r="C16" s="56">
        <f>B16/($B$22*4)</f>
        <v>1.1506844270972373E-3</v>
      </c>
      <c r="D16" s="56">
        <f>1-EXP(-B16*1)</f>
        <v>1.9801326693244747E-2</v>
      </c>
      <c r="E16" s="99">
        <f t="shared" ref="E16:E18" si="1">1-EXP(-C16*2)</f>
        <v>2.2987227351808359E-3</v>
      </c>
    </row>
    <row r="17" spans="1:6" x14ac:dyDescent="0.2">
      <c r="A17" s="100" t="s">
        <v>62</v>
      </c>
      <c r="B17" s="55">
        <v>0.02</v>
      </c>
      <c r="C17" s="56">
        <f>B17/($B$22*4)</f>
        <v>1.1506844270972373E-3</v>
      </c>
      <c r="D17" s="56">
        <f>1-EXP(-B17*1)</f>
        <v>1.9801326693244747E-2</v>
      </c>
      <c r="E17" s="99">
        <f t="shared" si="1"/>
        <v>2.2987227351808359E-3</v>
      </c>
    </row>
    <row r="18" spans="1:6" x14ac:dyDescent="0.2">
      <c r="A18" s="100" t="s">
        <v>59</v>
      </c>
      <c r="C18" s="56">
        <f>B18/$B$22</f>
        <v>0</v>
      </c>
      <c r="E18" s="99">
        <f t="shared" si="1"/>
        <v>0</v>
      </c>
      <c r="F18" s="55">
        <v>2.4799999999999999E-2</v>
      </c>
    </row>
    <row r="19" spans="1:6" x14ac:dyDescent="0.2">
      <c r="A19" s="100" t="s">
        <v>75</v>
      </c>
      <c r="B19" s="55">
        <v>4.0000000000000001E-3</v>
      </c>
      <c r="C19" s="56">
        <f>B19/B11</f>
        <v>7.6712265715945998E-5</v>
      </c>
      <c r="E19" s="99">
        <f>1-EXP(-C19*2)</f>
        <v>1.5341276249036806E-4</v>
      </c>
      <c r="F19" s="55">
        <v>1.0999999999999999E-2</v>
      </c>
    </row>
    <row r="20" spans="1:6" x14ac:dyDescent="0.2">
      <c r="A20" s="100"/>
      <c r="E20" s="99"/>
    </row>
    <row r="21" spans="1:6" x14ac:dyDescent="0.2">
      <c r="A21" s="55" t="s">
        <v>127</v>
      </c>
      <c r="B21" s="55">
        <v>1</v>
      </c>
      <c r="E21" s="99"/>
    </row>
    <row r="22" spans="1:6" x14ac:dyDescent="0.2">
      <c r="A22" s="55" t="s">
        <v>67</v>
      </c>
      <c r="B22" s="55">
        <v>4.3452400000000004</v>
      </c>
      <c r="E22" s="99"/>
    </row>
    <row r="23" spans="1:6" x14ac:dyDescent="0.2">
      <c r="E23" s="99"/>
    </row>
    <row r="24" spans="1:6" x14ac:dyDescent="0.2">
      <c r="A24" s="53" t="s">
        <v>132</v>
      </c>
    </row>
    <row r="25" spans="1:6" x14ac:dyDescent="0.2">
      <c r="A25" s="53" t="s">
        <v>60</v>
      </c>
      <c r="B25" s="53" t="s">
        <v>129</v>
      </c>
      <c r="C25" s="54" t="s">
        <v>64</v>
      </c>
      <c r="D25" s="54" t="s">
        <v>63</v>
      </c>
      <c r="E25" s="53" t="s">
        <v>65</v>
      </c>
      <c r="F25" s="55" t="s">
        <v>72</v>
      </c>
    </row>
    <row r="26" spans="1:6" x14ac:dyDescent="0.2">
      <c r="A26" s="100" t="s">
        <v>54</v>
      </c>
      <c r="B26" s="55">
        <v>0.92</v>
      </c>
      <c r="C26" s="56">
        <f>B26/($B$22*4)</f>
        <v>5.2931483646472918E-2</v>
      </c>
      <c r="D26" s="56">
        <f>1-EXP(-B26*1)</f>
        <v>0.60148095891548592</v>
      </c>
      <c r="E26" s="99">
        <f>1-EXP(-C26*2)</f>
        <v>0.10045209288469181</v>
      </c>
    </row>
    <row r="27" spans="1:6" x14ac:dyDescent="0.2">
      <c r="A27" s="100" t="s">
        <v>61</v>
      </c>
      <c r="B27" s="55">
        <v>0.05</v>
      </c>
      <c r="C27" s="56">
        <f t="shared" ref="C27:C28" si="2">B27/($B$22*4)</f>
        <v>2.8767110677430934E-3</v>
      </c>
      <c r="D27" s="56">
        <f>1-EXP(-B27*1)</f>
        <v>4.8770575499285984E-2</v>
      </c>
      <c r="E27" s="99">
        <f t="shared" ref="E27:E30" si="3">1-EXP(-C27*2)</f>
        <v>5.7369028982502401E-3</v>
      </c>
    </row>
    <row r="28" spans="1:6" x14ac:dyDescent="0.2">
      <c r="A28" s="100" t="s">
        <v>62</v>
      </c>
      <c r="B28" s="55">
        <v>0.02</v>
      </c>
      <c r="C28" s="56">
        <f t="shared" si="2"/>
        <v>1.1506844270972373E-3</v>
      </c>
      <c r="D28" s="56">
        <f>1-EXP(-B28*1)</f>
        <v>1.9801326693244747E-2</v>
      </c>
      <c r="E28" s="99">
        <f t="shared" si="3"/>
        <v>2.2987227351808359E-3</v>
      </c>
    </row>
    <row r="29" spans="1:6" x14ac:dyDescent="0.2">
      <c r="A29" s="100" t="s">
        <v>59</v>
      </c>
      <c r="C29" s="56">
        <f>(-LN(1-F29)/30)*7</f>
        <v>5.8596301901842427E-3</v>
      </c>
      <c r="E29" s="99">
        <f t="shared" si="3"/>
        <v>1.1650857320283259E-2</v>
      </c>
      <c r="F29" s="55">
        <v>2.4799999999999999E-2</v>
      </c>
    </row>
    <row r="30" spans="1:6" x14ac:dyDescent="0.2">
      <c r="A30" s="100" t="s">
        <v>75</v>
      </c>
      <c r="B30" s="55">
        <f>B8</f>
        <v>4.0000000000000001E-3</v>
      </c>
      <c r="C30" s="56">
        <f>B30/B11</f>
        <v>7.6712265715945998E-5</v>
      </c>
      <c r="E30" s="99">
        <f t="shared" si="3"/>
        <v>1.5341276249036806E-4</v>
      </c>
      <c r="F30" s="55">
        <v>1.0999999999999999E-2</v>
      </c>
    </row>
    <row r="32" spans="1:6" x14ac:dyDescent="0.2">
      <c r="A32" s="53" t="s">
        <v>128</v>
      </c>
    </row>
    <row r="33" spans="1:6" x14ac:dyDescent="0.2">
      <c r="B33" s="53" t="s">
        <v>76</v>
      </c>
      <c r="C33" s="54" t="s">
        <v>64</v>
      </c>
      <c r="D33" s="54" t="s">
        <v>63</v>
      </c>
      <c r="E33" s="53" t="s">
        <v>65</v>
      </c>
      <c r="F33" s="55" t="s">
        <v>72</v>
      </c>
    </row>
    <row r="34" spans="1:6" x14ac:dyDescent="0.2">
      <c r="A34" s="55" t="s">
        <v>39</v>
      </c>
      <c r="B34" s="55">
        <f>-LN(1-D34)/1</f>
        <v>0.67334455326376563</v>
      </c>
      <c r="C34" s="115">
        <f>B34/B11</f>
        <v>1.2913446572088734E-2</v>
      </c>
      <c r="D34" s="55">
        <v>0.49</v>
      </c>
      <c r="E34" s="99">
        <f>1-EXP(-C34*2)</f>
        <v>2.5496231708073913E-2</v>
      </c>
    </row>
    <row r="35" spans="1:6" x14ac:dyDescent="0.2">
      <c r="A35" s="55" t="s">
        <v>130</v>
      </c>
      <c r="B35" s="55">
        <f>-LN(1-D35)/1</f>
        <v>0.9942522733438669</v>
      </c>
      <c r="C35" s="115">
        <f>B35/B11</f>
        <v>1.9067836145359521E-2</v>
      </c>
      <c r="D35" s="55">
        <v>0.63</v>
      </c>
      <c r="E35" s="99">
        <f>1-EXP(-C35*2)</f>
        <v>3.7417663718882443E-2</v>
      </c>
    </row>
    <row r="36" spans="1:6" x14ac:dyDescent="0.2">
      <c r="A36" s="55" t="s">
        <v>159</v>
      </c>
      <c r="B36" s="55">
        <f t="shared" ref="B36:B37" si="4">-LN(1-D36)/1</f>
        <v>0.13926206733350766</v>
      </c>
      <c r="C36" s="115">
        <f>B36/B11</f>
        <v>2.6707771783600004E-3</v>
      </c>
      <c r="D36" s="55">
        <v>0.13</v>
      </c>
      <c r="E36" s="99">
        <f t="shared" ref="E36:E37" si="5">1-EXP(-C36*2)</f>
        <v>5.3273136224152307E-3</v>
      </c>
    </row>
    <row r="37" spans="1:6" x14ac:dyDescent="0.2">
      <c r="A37" s="55" t="s">
        <v>160</v>
      </c>
      <c r="B37" s="55">
        <f t="shared" si="4"/>
        <v>0.18632957819149348</v>
      </c>
      <c r="C37" s="115">
        <f>B37/B11</f>
        <v>3.5734410282414956E-3</v>
      </c>
      <c r="D37" s="55">
        <v>0.17</v>
      </c>
      <c r="E37" s="99">
        <f t="shared" si="5"/>
        <v>7.1214038276825598E-3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69"/>
  <sheetViews>
    <sheetView zoomScale="85" zoomScaleNormal="85" workbookViewId="0">
      <selection activeCell="K10" sqref="K10"/>
    </sheetView>
  </sheetViews>
  <sheetFormatPr defaultRowHeight="12.75" x14ac:dyDescent="0.2"/>
  <cols>
    <col min="1" max="1" width="9.140625" style="4"/>
    <col min="2" max="2" width="4.7109375" style="4" customWidth="1"/>
    <col min="3" max="3" width="9.140625" style="4"/>
    <col min="4" max="4" width="20.140625" style="4" bestFit="1" customWidth="1"/>
    <col min="5" max="5" width="10.85546875" style="4" bestFit="1" customWidth="1"/>
    <col min="6" max="6" width="12.85546875" style="4" bestFit="1" customWidth="1"/>
    <col min="7" max="7" width="12.7109375" style="4" customWidth="1"/>
    <col min="8" max="8" width="8.140625" style="4" customWidth="1"/>
    <col min="9" max="9" width="4.140625" style="4" customWidth="1"/>
    <col min="10" max="10" width="20.140625" style="4" bestFit="1" customWidth="1"/>
    <col min="11" max="11" width="10.85546875" style="4" bestFit="1" customWidth="1"/>
    <col min="12" max="12" width="12.85546875" style="4" bestFit="1" customWidth="1"/>
    <col min="13" max="13" width="7" style="4" bestFit="1" customWidth="1"/>
    <col min="14" max="16384" width="9.140625" style="4"/>
  </cols>
  <sheetData>
    <row r="1" spans="1:13" ht="15.75" x14ac:dyDescent="0.25">
      <c r="A1" s="49" t="s">
        <v>148</v>
      </c>
      <c r="B1" s="49"/>
    </row>
    <row r="2" spans="1:13" ht="15.75" x14ac:dyDescent="0.25">
      <c r="A2" s="49"/>
      <c r="B2" s="49"/>
      <c r="F2" s="113"/>
    </row>
    <row r="3" spans="1:13" x14ac:dyDescent="0.2">
      <c r="D3" s="47" t="s">
        <v>157</v>
      </c>
      <c r="E3" s="47"/>
      <c r="F3" s="46"/>
      <c r="G3" s="47"/>
      <c r="J3" s="47" t="s">
        <v>158</v>
      </c>
      <c r="K3" s="47"/>
      <c r="L3" s="46"/>
      <c r="M3" s="47"/>
    </row>
    <row r="4" spans="1:13" x14ac:dyDescent="0.2">
      <c r="A4" s="25" t="s">
        <v>23</v>
      </c>
      <c r="B4" s="25"/>
      <c r="D4" s="25" t="s">
        <v>143</v>
      </c>
      <c r="E4" s="25" t="s">
        <v>144</v>
      </c>
      <c r="F4" s="25" t="s">
        <v>145</v>
      </c>
      <c r="G4" s="25" t="s">
        <v>20</v>
      </c>
      <c r="J4" s="25" t="s">
        <v>143</v>
      </c>
      <c r="K4" s="25" t="s">
        <v>144</v>
      </c>
      <c r="L4" s="25" t="s">
        <v>145</v>
      </c>
      <c r="M4" s="25" t="s">
        <v>20</v>
      </c>
    </row>
    <row r="6" spans="1:13" ht="15" x14ac:dyDescent="0.25">
      <c r="A6" s="4">
        <v>0</v>
      </c>
      <c r="D6" s="40">
        <v>1000</v>
      </c>
      <c r="E6" s="40"/>
      <c r="F6" s="40"/>
      <c r="G6" s="39">
        <f t="shared" ref="G6:G37" si="0">SUM(D6:F6)</f>
        <v>1000</v>
      </c>
      <c r="H6" s="33"/>
      <c r="I6" s="33"/>
      <c r="J6" s="40">
        <v>1000</v>
      </c>
      <c r="K6" s="40"/>
      <c r="L6" s="40"/>
      <c r="M6" s="39">
        <f t="shared" ref="M6:M37" si="1">SUM(J6:L6)</f>
        <v>1000</v>
      </c>
    </row>
    <row r="7" spans="1:13" ht="15" x14ac:dyDescent="0.25">
      <c r="A7" s="4">
        <v>1</v>
      </c>
      <c r="D7" s="111"/>
      <c r="E7" s="112">
        <f t="shared" ref="E7:E38" si="2">D6*pCAUC+E6*(1-pUAUC)+F6*(pCAUC)</f>
        <v>25.496231708073914</v>
      </c>
      <c r="F7" s="39">
        <f t="shared" ref="F7:F38" si="3">D6*(1-pCAUC) + E6*pUAUC + F6*(1-pCAUC)</f>
        <v>974.50376829192612</v>
      </c>
      <c r="G7" s="39">
        <f t="shared" si="0"/>
        <v>1000</v>
      </c>
      <c r="H7" s="33"/>
      <c r="I7" s="33"/>
      <c r="J7" s="111"/>
      <c r="K7" s="112">
        <f t="shared" ref="K7:K38" si="4">J6*pCAPH+K6*(1-pUAPH)+L6*(pCAPH)</f>
        <v>37.417663718882444</v>
      </c>
      <c r="L7" s="39">
        <f t="shared" ref="L7:L38" si="5">J6*(1-pCAPH) + K6*pUAPH + L6*(1-pCAPH)</f>
        <v>962.58233628111759</v>
      </c>
      <c r="M7" s="39">
        <f t="shared" si="1"/>
        <v>1000</v>
      </c>
    </row>
    <row r="8" spans="1:13" ht="15" x14ac:dyDescent="0.25">
      <c r="A8" s="4">
        <v>2</v>
      </c>
      <c r="D8" s="111"/>
      <c r="E8" s="112">
        <f t="shared" si="2"/>
        <v>50.206579162337356</v>
      </c>
      <c r="F8" s="39">
        <f t="shared" si="3"/>
        <v>949.79342083766267</v>
      </c>
      <c r="G8" s="39">
        <f t="shared" si="0"/>
        <v>1000</v>
      </c>
      <c r="H8" s="33"/>
      <c r="I8" s="33"/>
      <c r="J8" s="111"/>
      <c r="K8" s="112">
        <f t="shared" si="4"/>
        <v>73.168779585954923</v>
      </c>
      <c r="L8" s="39">
        <f t="shared" si="5"/>
        <v>926.83122041404511</v>
      </c>
      <c r="M8" s="39">
        <f t="shared" si="1"/>
        <v>1000</v>
      </c>
    </row>
    <row r="9" spans="1:13" ht="15" x14ac:dyDescent="0.25">
      <c r="A9" s="4">
        <v>3</v>
      </c>
      <c r="D9" s="111"/>
      <c r="E9" s="112">
        <f t="shared" si="2"/>
        <v>74.155266101712172</v>
      </c>
      <c r="F9" s="39">
        <f t="shared" si="3"/>
        <v>925.84473389828793</v>
      </c>
      <c r="G9" s="39">
        <f t="shared" si="0"/>
        <v>1000.0000000000001</v>
      </c>
      <c r="H9" s="33"/>
      <c r="I9" s="33"/>
      <c r="J9" s="111"/>
      <c r="K9" s="112">
        <f t="shared" si="4"/>
        <v>107.32757408855879</v>
      </c>
      <c r="L9" s="39">
        <f t="shared" si="5"/>
        <v>892.67242591144122</v>
      </c>
      <c r="M9" s="39">
        <f t="shared" si="1"/>
        <v>1000</v>
      </c>
    </row>
    <row r="10" spans="1:13" ht="15" x14ac:dyDescent="0.25">
      <c r="A10" s="4">
        <v>4</v>
      </c>
      <c r="D10" s="111"/>
      <c r="E10" s="112">
        <f t="shared" si="2"/>
        <v>97.365769603605472</v>
      </c>
      <c r="F10" s="39">
        <f t="shared" si="3"/>
        <v>902.63423039639463</v>
      </c>
      <c r="G10" s="39">
        <f t="shared" si="0"/>
        <v>1000.0000000000001</v>
      </c>
      <c r="H10" s="33"/>
      <c r="I10" s="33"/>
      <c r="J10" s="111"/>
      <c r="K10" s="112">
        <f t="shared" si="4"/>
        <v>139.96496773550194</v>
      </c>
      <c r="L10" s="39">
        <f t="shared" si="5"/>
        <v>860.035032264498</v>
      </c>
      <c r="M10" s="39">
        <f t="shared" si="1"/>
        <v>1000</v>
      </c>
    </row>
    <row r="11" spans="1:13" ht="15" x14ac:dyDescent="0.25">
      <c r="A11" s="4">
        <v>5</v>
      </c>
      <c r="D11" s="111"/>
      <c r="E11" s="112">
        <f t="shared" si="2"/>
        <v>119.8608430986647</v>
      </c>
      <c r="F11" s="39">
        <f t="shared" si="3"/>
        <v>880.13915690133535</v>
      </c>
      <c r="G11" s="39">
        <f t="shared" si="0"/>
        <v>1000</v>
      </c>
      <c r="H11" s="33"/>
      <c r="I11" s="33"/>
      <c r="J11" s="111"/>
      <c r="K11" s="112">
        <f t="shared" si="4"/>
        <v>171.14872230226007</v>
      </c>
      <c r="L11" s="39">
        <f t="shared" si="5"/>
        <v>828.85127769773987</v>
      </c>
      <c r="M11" s="39">
        <f t="shared" si="1"/>
        <v>1000</v>
      </c>
    </row>
    <row r="12" spans="1:13" ht="15" x14ac:dyDescent="0.25">
      <c r="A12" s="4">
        <v>6</v>
      </c>
      <c r="D12" s="111"/>
      <c r="E12" s="112">
        <f t="shared" si="2"/>
        <v>141.66253867613628</v>
      </c>
      <c r="F12" s="39">
        <f t="shared" si="3"/>
        <v>858.33746132386375</v>
      </c>
      <c r="G12" s="39">
        <f t="shared" si="0"/>
        <v>1000</v>
      </c>
      <c r="H12" s="33"/>
      <c r="I12" s="33"/>
      <c r="J12" s="111"/>
      <c r="K12" s="112">
        <f t="shared" si="4"/>
        <v>200.94358151801384</v>
      </c>
      <c r="L12" s="39">
        <f t="shared" si="5"/>
        <v>799.05641848198604</v>
      </c>
      <c r="M12" s="39">
        <f t="shared" si="1"/>
        <v>999.99999999999989</v>
      </c>
    </row>
    <row r="13" spans="1:13" ht="15" x14ac:dyDescent="0.25">
      <c r="A13" s="4">
        <v>7</v>
      </c>
      <c r="D13" s="111"/>
      <c r="E13" s="112">
        <f t="shared" si="2"/>
        <v>162.79222870169411</v>
      </c>
      <c r="F13" s="39">
        <f t="shared" si="3"/>
        <v>837.20777129830583</v>
      </c>
      <c r="G13" s="39">
        <f t="shared" si="0"/>
        <v>1000</v>
      </c>
      <c r="H13" s="33"/>
      <c r="I13" s="33"/>
      <c r="J13" s="111"/>
      <c r="K13" s="112">
        <f t="shared" si="4"/>
        <v>229.41140548661676</v>
      </c>
      <c r="L13" s="39">
        <f t="shared" si="5"/>
        <v>770.5885945133831</v>
      </c>
      <c r="M13" s="39">
        <f t="shared" si="1"/>
        <v>999.99999999999989</v>
      </c>
    </row>
    <row r="14" spans="1:13" ht="15" x14ac:dyDescent="0.25">
      <c r="A14" s="4">
        <v>8</v>
      </c>
      <c r="D14" s="111"/>
      <c r="E14" s="112">
        <f t="shared" si="2"/>
        <v>183.27062676893001</v>
      </c>
      <c r="F14" s="39">
        <f t="shared" si="3"/>
        <v>816.72937323106999</v>
      </c>
      <c r="G14" s="39">
        <f t="shared" si="0"/>
        <v>1000</v>
      </c>
      <c r="H14" s="33"/>
      <c r="I14" s="33"/>
      <c r="J14" s="111"/>
      <c r="K14" s="112">
        <f t="shared" si="4"/>
        <v>256.61129912057834</v>
      </c>
      <c r="L14" s="39">
        <f t="shared" si="5"/>
        <v>743.38870087942144</v>
      </c>
      <c r="M14" s="39">
        <f t="shared" si="1"/>
        <v>999.99999999999977</v>
      </c>
    </row>
    <row r="15" spans="1:13" ht="15" x14ac:dyDescent="0.25">
      <c r="A15" s="4">
        <v>9</v>
      </c>
      <c r="D15" s="111"/>
      <c r="E15" s="112">
        <f t="shared" si="2"/>
        <v>203.11780800504465</v>
      </c>
      <c r="F15" s="39">
        <f t="shared" si="3"/>
        <v>796.88219199495541</v>
      </c>
      <c r="G15" s="39">
        <f t="shared" si="0"/>
        <v>1000</v>
      </c>
      <c r="H15" s="33"/>
      <c r="I15" s="33"/>
      <c r="J15" s="111"/>
      <c r="K15" s="112">
        <f t="shared" si="4"/>
        <v>282.59973485471755</v>
      </c>
      <c r="L15" s="39">
        <f t="shared" si="5"/>
        <v>717.40026514528233</v>
      </c>
      <c r="M15" s="39">
        <f t="shared" si="1"/>
        <v>999.99999999999989</v>
      </c>
    </row>
    <row r="16" spans="1:13" ht="15" x14ac:dyDescent="0.25">
      <c r="A16" s="4">
        <v>10</v>
      </c>
      <c r="D16" s="111"/>
      <c r="E16" s="112">
        <f t="shared" si="2"/>
        <v>222.35322875064548</v>
      </c>
      <c r="F16" s="39">
        <f t="shared" si="3"/>
        <v>777.64677124935463</v>
      </c>
      <c r="G16" s="39">
        <f t="shared" si="0"/>
        <v>1000.0000000000001</v>
      </c>
      <c r="H16" s="33"/>
      <c r="I16" s="33"/>
      <c r="J16" s="111"/>
      <c r="K16" s="112">
        <f t="shared" si="4"/>
        <v>307.43066989426438</v>
      </c>
      <c r="L16" s="39">
        <f t="shared" si="5"/>
        <v>692.5693301057355</v>
      </c>
      <c r="M16" s="39">
        <f t="shared" si="1"/>
        <v>999.99999999999989</v>
      </c>
    </row>
    <row r="17" spans="1:13" ht="15" x14ac:dyDescent="0.25">
      <c r="A17" s="4">
        <v>11</v>
      </c>
      <c r="D17" s="111"/>
      <c r="E17" s="112">
        <f t="shared" si="2"/>
        <v>240.99574563294325</v>
      </c>
      <c r="F17" s="39">
        <f t="shared" si="3"/>
        <v>759.00425436705689</v>
      </c>
      <c r="G17" s="39">
        <f t="shared" si="0"/>
        <v>1000.0000000000001</v>
      </c>
      <c r="H17" s="33"/>
      <c r="I17" s="33"/>
      <c r="J17" s="111"/>
      <c r="K17" s="112">
        <f t="shared" si="4"/>
        <v>331.15565824084047</v>
      </c>
      <c r="L17" s="39">
        <f t="shared" si="5"/>
        <v>668.84434175915942</v>
      </c>
      <c r="M17" s="39">
        <f t="shared" si="1"/>
        <v>999.99999999999989</v>
      </c>
    </row>
    <row r="18" spans="1:13" ht="15" x14ac:dyDescent="0.25">
      <c r="A18" s="4">
        <v>12</v>
      </c>
      <c r="D18" s="111"/>
      <c r="E18" s="112">
        <f t="shared" si="2"/>
        <v>259.06363405104514</v>
      </c>
      <c r="F18" s="39">
        <f t="shared" si="3"/>
        <v>740.93636594895497</v>
      </c>
      <c r="G18" s="39">
        <f t="shared" si="0"/>
        <v>1000.0000000000001</v>
      </c>
      <c r="H18" s="33"/>
      <c r="I18" s="33"/>
      <c r="J18" s="111"/>
      <c r="K18" s="112">
        <f t="shared" si="4"/>
        <v>353.82395772890692</v>
      </c>
      <c r="L18" s="39">
        <f t="shared" si="5"/>
        <v>646.17604227109302</v>
      </c>
      <c r="M18" s="39">
        <f t="shared" si="1"/>
        <v>1000</v>
      </c>
    </row>
    <row r="19" spans="1:13" ht="15" x14ac:dyDescent="0.25">
      <c r="A19" s="4">
        <v>13</v>
      </c>
      <c r="D19" s="111"/>
      <c r="E19" s="112">
        <f t="shared" si="2"/>
        <v>276.5746060914654</v>
      </c>
      <c r="F19" s="39">
        <f t="shared" si="3"/>
        <v>723.42539390853472</v>
      </c>
      <c r="G19" s="39">
        <f t="shared" si="0"/>
        <v>1000.0000000000001</v>
      </c>
      <c r="H19" s="33"/>
      <c r="I19" s="33"/>
      <c r="J19" s="111"/>
      <c r="K19" s="112">
        <f t="shared" si="4"/>
        <v>375.48263229490863</v>
      </c>
      <c r="L19" s="39">
        <f t="shared" si="5"/>
        <v>624.51736770509137</v>
      </c>
      <c r="M19" s="39">
        <f t="shared" si="1"/>
        <v>1000</v>
      </c>
    </row>
    <row r="20" spans="1:13" ht="15" x14ac:dyDescent="0.25">
      <c r="A20" s="4">
        <v>14</v>
      </c>
      <c r="D20" s="111"/>
      <c r="E20" s="112">
        <f t="shared" si="2"/>
        <v>293.54582789141682</v>
      </c>
      <c r="F20" s="39">
        <f t="shared" si="3"/>
        <v>706.45417210858318</v>
      </c>
      <c r="G20" s="39">
        <f t="shared" si="0"/>
        <v>1000</v>
      </c>
      <c r="H20" s="33"/>
      <c r="I20" s="33"/>
      <c r="J20" s="111"/>
      <c r="K20" s="112">
        <f t="shared" si="4"/>
        <v>396.17664969144613</v>
      </c>
      <c r="L20" s="39">
        <f t="shared" si="5"/>
        <v>603.82335030855393</v>
      </c>
      <c r="M20" s="39">
        <f t="shared" si="1"/>
        <v>1000</v>
      </c>
    </row>
    <row r="21" spans="1:13" ht="15" x14ac:dyDescent="0.25">
      <c r="A21" s="4">
        <v>15</v>
      </c>
      <c r="D21" s="111"/>
      <c r="E21" s="112">
        <f t="shared" si="2"/>
        <v>309.99393646690373</v>
      </c>
      <c r="F21" s="39">
        <f t="shared" si="3"/>
        <v>690.00606353309627</v>
      </c>
      <c r="G21" s="39">
        <f t="shared" si="0"/>
        <v>1000</v>
      </c>
      <c r="H21" s="33"/>
      <c r="I21" s="33"/>
      <c r="J21" s="111"/>
      <c r="K21" s="112">
        <f t="shared" si="4"/>
        <v>415.94897484934944</v>
      </c>
      <c r="L21" s="39">
        <f t="shared" si="5"/>
        <v>584.05102515065062</v>
      </c>
      <c r="M21" s="39">
        <f t="shared" si="1"/>
        <v>1000</v>
      </c>
    </row>
    <row r="22" spans="1:13" ht="15" x14ac:dyDescent="0.25">
      <c r="A22" s="4">
        <v>16</v>
      </c>
      <c r="D22" s="111"/>
      <c r="E22" s="112">
        <f t="shared" si="2"/>
        <v>325.93505602211326</v>
      </c>
      <c r="F22" s="39">
        <f t="shared" si="3"/>
        <v>674.06494397788674</v>
      </c>
      <c r="G22" s="39">
        <f t="shared" si="0"/>
        <v>1000</v>
      </c>
      <c r="H22" s="33"/>
      <c r="I22" s="33"/>
      <c r="J22" s="111"/>
      <c r="K22" s="112">
        <f t="shared" si="4"/>
        <v>434.84065908149228</v>
      </c>
      <c r="L22" s="39">
        <f t="shared" si="5"/>
        <v>565.15934091850784</v>
      </c>
      <c r="M22" s="39">
        <f t="shared" si="1"/>
        <v>1000.0000000000001</v>
      </c>
    </row>
    <row r="23" spans="1:13" ht="15" x14ac:dyDescent="0.25">
      <c r="A23" s="4">
        <v>17</v>
      </c>
      <c r="D23" s="111"/>
      <c r="E23" s="112">
        <f t="shared" si="2"/>
        <v>341.38481375609405</v>
      </c>
      <c r="F23" s="39">
        <f t="shared" si="3"/>
        <v>658.6151862439059</v>
      </c>
      <c r="G23" s="39">
        <f t="shared" si="0"/>
        <v>1000</v>
      </c>
      <c r="H23" s="33"/>
      <c r="I23" s="33"/>
      <c r="J23" s="111"/>
      <c r="K23" s="112">
        <f t="shared" si="4"/>
        <v>452.89092531355129</v>
      </c>
      <c r="L23" s="39">
        <f t="shared" si="5"/>
        <v>547.10907468644882</v>
      </c>
      <c r="M23" s="39">
        <f t="shared" si="1"/>
        <v>1000.0000000000001</v>
      </c>
    </row>
    <row r="24" spans="1:13" ht="15" x14ac:dyDescent="0.25">
      <c r="A24" s="4">
        <v>18</v>
      </c>
      <c r="D24" s="111"/>
      <c r="E24" s="112">
        <f t="shared" si="2"/>
        <v>356.35835518221637</v>
      </c>
      <c r="F24" s="39">
        <f t="shared" si="3"/>
        <v>643.64164481778357</v>
      </c>
      <c r="G24" s="39">
        <f t="shared" si="0"/>
        <v>1000</v>
      </c>
      <c r="H24" s="33"/>
      <c r="I24" s="33"/>
      <c r="J24" s="111"/>
      <c r="K24" s="112">
        <f t="shared" si="4"/>
        <v>470.13724951866715</v>
      </c>
      <c r="L24" s="39">
        <f t="shared" si="5"/>
        <v>529.86275048133302</v>
      </c>
      <c r="M24" s="39">
        <f t="shared" si="1"/>
        <v>1000.0000000000002</v>
      </c>
    </row>
    <row r="25" spans="1:13" ht="15" x14ac:dyDescent="0.25">
      <c r="A25" s="4">
        <v>19</v>
      </c>
      <c r="D25" s="111"/>
      <c r="E25" s="112">
        <f t="shared" si="2"/>
        <v>370.87035897543268</v>
      </c>
      <c r="F25" s="39">
        <f t="shared" si="3"/>
        <v>629.12964102456726</v>
      </c>
      <c r="G25" s="39">
        <f t="shared" si="0"/>
        <v>1000</v>
      </c>
      <c r="H25" s="33"/>
      <c r="I25" s="33"/>
      <c r="J25" s="111"/>
      <c r="K25" s="112">
        <f t="shared" si="4"/>
        <v>486.6154385250814</v>
      </c>
      <c r="L25" s="39">
        <f t="shared" si="5"/>
        <v>513.38456147491877</v>
      </c>
      <c r="M25" s="39">
        <f t="shared" si="1"/>
        <v>1000.0000000000002</v>
      </c>
    </row>
    <row r="26" spans="1:13" ht="15" x14ac:dyDescent="0.25">
      <c r="A26" s="4">
        <v>20</v>
      </c>
      <c r="D26" s="111"/>
      <c r="E26" s="112">
        <f t="shared" si="2"/>
        <v>384.93505136189253</v>
      </c>
      <c r="F26" s="39">
        <f t="shared" si="3"/>
        <v>615.06494863810735</v>
      </c>
      <c r="G26" s="39">
        <f t="shared" si="0"/>
        <v>999.99999999999989</v>
      </c>
      <c r="H26" s="33"/>
      <c r="I26" s="33"/>
      <c r="J26" s="111"/>
      <c r="K26" s="112">
        <f t="shared" si="4"/>
        <v>502.35970435829392</v>
      </c>
      <c r="L26" s="39">
        <f t="shared" si="5"/>
        <v>497.64029564170625</v>
      </c>
      <c r="M26" s="39">
        <f t="shared" si="1"/>
        <v>1000.0000000000002</v>
      </c>
    </row>
    <row r="27" spans="1:13" ht="15" x14ac:dyDescent="0.25">
      <c r="A27" s="4">
        <v>21</v>
      </c>
      <c r="D27" s="111"/>
      <c r="E27" s="112">
        <f t="shared" si="2"/>
        <v>398.56622006501902</v>
      </c>
      <c r="F27" s="39">
        <f t="shared" si="3"/>
        <v>601.43377993498098</v>
      </c>
      <c r="G27" s="39">
        <f t="shared" si="0"/>
        <v>1000</v>
      </c>
      <c r="H27" s="33"/>
      <c r="I27" s="33"/>
      <c r="J27" s="111"/>
      <c r="K27" s="112">
        <f t="shared" si="4"/>
        <v>517.4027352720899</v>
      </c>
      <c r="L27" s="39">
        <f t="shared" si="5"/>
        <v>482.59726472791033</v>
      </c>
      <c r="M27" s="39">
        <f t="shared" si="1"/>
        <v>1000.0000000000002</v>
      </c>
    </row>
    <row r="28" spans="1:13" ht="15" x14ac:dyDescent="0.25">
      <c r="A28" s="4">
        <v>22</v>
      </c>
      <c r="D28" s="111"/>
      <c r="E28" s="112">
        <f t="shared" si="2"/>
        <v>411.77722782171713</v>
      </c>
      <c r="F28" s="39">
        <f t="shared" si="3"/>
        <v>588.22277217828287</v>
      </c>
      <c r="G28" s="39">
        <f t="shared" si="0"/>
        <v>1000</v>
      </c>
      <c r="H28" s="33"/>
      <c r="I28" s="33"/>
      <c r="J28" s="111"/>
      <c r="K28" s="112">
        <f t="shared" si="4"/>
        <v>531.77576361591116</v>
      </c>
      <c r="L28" s="39">
        <f t="shared" si="5"/>
        <v>468.22423638408895</v>
      </c>
      <c r="M28" s="39">
        <f t="shared" si="1"/>
        <v>1000.0000000000001</v>
      </c>
    </row>
    <row r="29" spans="1:13" ht="15" x14ac:dyDescent="0.25">
      <c r="A29" s="4">
        <v>23</v>
      </c>
      <c r="D29" s="111"/>
      <c r="E29" s="112">
        <f t="shared" si="2"/>
        <v>424.58102548196518</v>
      </c>
      <c r="F29" s="39">
        <f t="shared" si="3"/>
        <v>575.41897451803482</v>
      </c>
      <c r="G29" s="39">
        <f t="shared" si="0"/>
        <v>1000</v>
      </c>
      <c r="H29" s="33"/>
      <c r="I29" s="33"/>
      <c r="J29" s="111"/>
      <c r="K29" s="112">
        <f t="shared" si="4"/>
        <v>545.5086306794783</v>
      </c>
      <c r="L29" s="39">
        <f t="shared" si="5"/>
        <v>454.49136932052176</v>
      </c>
      <c r="M29" s="39">
        <f t="shared" si="1"/>
        <v>1000</v>
      </c>
    </row>
    <row r="30" spans="1:13" ht="15" x14ac:dyDescent="0.25">
      <c r="A30" s="4">
        <v>24</v>
      </c>
      <c r="D30" s="111"/>
      <c r="E30" s="112">
        <f t="shared" si="2"/>
        <v>436.99016470463016</v>
      </c>
      <c r="F30" s="39">
        <f t="shared" si="3"/>
        <v>563.00983529536973</v>
      </c>
      <c r="G30" s="39">
        <f t="shared" si="0"/>
        <v>999.99999999999989</v>
      </c>
      <c r="H30" s="33"/>
      <c r="I30" s="33"/>
      <c r="J30" s="111"/>
      <c r="K30" s="112">
        <f t="shared" si="4"/>
        <v>558.62984864929331</v>
      </c>
      <c r="L30" s="39">
        <f t="shared" si="5"/>
        <v>441.37015135070681</v>
      </c>
      <c r="M30" s="39">
        <f t="shared" si="1"/>
        <v>1000.0000000000001</v>
      </c>
    </row>
    <row r="31" spans="1:13" ht="15" x14ac:dyDescent="0.25">
      <c r="A31" s="4">
        <v>25</v>
      </c>
      <c r="D31" s="111"/>
      <c r="E31" s="112">
        <f t="shared" si="2"/>
        <v>449.01681026195297</v>
      </c>
      <c r="F31" s="39">
        <f t="shared" si="3"/>
        <v>550.9831897380468</v>
      </c>
      <c r="G31" s="39">
        <f t="shared" si="0"/>
        <v>999.99999999999977</v>
      </c>
      <c r="H31" s="33"/>
      <c r="I31" s="33"/>
      <c r="J31" s="111"/>
      <c r="K31" s="112">
        <f t="shared" si="4"/>
        <v>571.16665980565756</v>
      </c>
      <c r="L31" s="39">
        <f t="shared" si="5"/>
        <v>428.83334019434261</v>
      </c>
      <c r="M31" s="39">
        <f t="shared" si="1"/>
        <v>1000.0000000000002</v>
      </c>
    </row>
    <row r="32" spans="1:13" ht="15" x14ac:dyDescent="0.25">
      <c r="A32" s="4">
        <v>26</v>
      </c>
      <c r="D32" s="111"/>
      <c r="E32" s="112">
        <f t="shared" si="2"/>
        <v>460.67275196476595</v>
      </c>
      <c r="F32" s="39">
        <f t="shared" si="3"/>
        <v>539.32724803523388</v>
      </c>
      <c r="G32" s="39">
        <f t="shared" si="0"/>
        <v>999.99999999999977</v>
      </c>
      <c r="H32" s="33"/>
      <c r="I32" s="33"/>
      <c r="J32" s="111"/>
      <c r="K32" s="112">
        <f t="shared" si="4"/>
        <v>583.14509308310994</v>
      </c>
      <c r="L32" s="39">
        <f t="shared" si="5"/>
        <v>416.85490691689029</v>
      </c>
      <c r="M32" s="39">
        <f t="shared" si="1"/>
        <v>1000.0000000000002</v>
      </c>
    </row>
    <row r="33" spans="1:13" ht="15" x14ac:dyDescent="0.25">
      <c r="A33" s="4">
        <v>27</v>
      </c>
      <c r="D33" s="111"/>
      <c r="E33" s="112">
        <f t="shared" si="2"/>
        <v>471.9694162201327</v>
      </c>
      <c r="F33" s="39">
        <f t="shared" si="3"/>
        <v>528.03058377986713</v>
      </c>
      <c r="G33" s="39">
        <f t="shared" si="0"/>
        <v>999.99999999999977</v>
      </c>
      <c r="H33" s="33"/>
      <c r="I33" s="33"/>
      <c r="J33" s="111"/>
      <c r="K33" s="112">
        <f t="shared" si="4"/>
        <v>594.59001811171584</v>
      </c>
      <c r="L33" s="39">
        <f t="shared" si="5"/>
        <v>405.40998188828439</v>
      </c>
      <c r="M33" s="39">
        <f t="shared" si="1"/>
        <v>1000.0000000000002</v>
      </c>
    </row>
    <row r="34" spans="1:13" ht="15" x14ac:dyDescent="0.25">
      <c r="A34" s="4">
        <v>28</v>
      </c>
      <c r="D34" s="111"/>
      <c r="E34" s="112">
        <f t="shared" si="2"/>
        <v>482.91787723274081</v>
      </c>
      <c r="F34" s="39">
        <f t="shared" si="3"/>
        <v>517.08212276725897</v>
      </c>
      <c r="G34" s="39">
        <f t="shared" si="0"/>
        <v>999.99999999999977</v>
      </c>
      <c r="H34" s="33"/>
      <c r="I34" s="33"/>
      <c r="J34" s="111"/>
      <c r="K34" s="112">
        <f t="shared" si="4"/>
        <v>605.52519685140726</v>
      </c>
      <c r="L34" s="39">
        <f t="shared" si="5"/>
        <v>394.47480314859297</v>
      </c>
      <c r="M34" s="39">
        <f t="shared" si="1"/>
        <v>1000.0000000000002</v>
      </c>
    </row>
    <row r="35" spans="1:13" ht="15" x14ac:dyDescent="0.25">
      <c r="A35" s="4">
        <v>29</v>
      </c>
      <c r="D35" s="111"/>
      <c r="E35" s="112">
        <f t="shared" si="2"/>
        <v>493.52886786102778</v>
      </c>
      <c r="F35" s="39">
        <f t="shared" si="3"/>
        <v>506.471132138972</v>
      </c>
      <c r="G35" s="39">
        <f t="shared" si="0"/>
        <v>999.99999999999977</v>
      </c>
      <c r="H35" s="33"/>
      <c r="I35" s="33"/>
      <c r="J35" s="111"/>
      <c r="K35" s="112">
        <f t="shared" si="4"/>
        <v>615.97333292657788</v>
      </c>
      <c r="L35" s="39">
        <f t="shared" si="5"/>
        <v>384.0266670734224</v>
      </c>
      <c r="M35" s="39">
        <f t="shared" si="1"/>
        <v>1000.0000000000002</v>
      </c>
    </row>
    <row r="36" spans="1:13" ht="15" x14ac:dyDescent="0.25">
      <c r="A36" s="4">
        <v>30</v>
      </c>
      <c r="D36" s="111"/>
      <c r="E36" s="112">
        <f t="shared" si="2"/>
        <v>503.81279013868232</v>
      </c>
      <c r="F36" s="39">
        <f t="shared" si="3"/>
        <v>496.18720986131746</v>
      </c>
      <c r="G36" s="39">
        <f t="shared" si="0"/>
        <v>999.99999999999977</v>
      </c>
      <c r="H36" s="33"/>
      <c r="I36" s="33"/>
      <c r="J36" s="111"/>
      <c r="K36" s="112">
        <f t="shared" si="4"/>
        <v>625.95611876336068</v>
      </c>
      <c r="L36" s="39">
        <f t="shared" si="5"/>
        <v>374.04388123663961</v>
      </c>
      <c r="M36" s="39">
        <f t="shared" si="1"/>
        <v>1000.0000000000002</v>
      </c>
    </row>
    <row r="37" spans="1:13" ht="15" x14ac:dyDescent="0.25">
      <c r="A37" s="4">
        <v>31</v>
      </c>
      <c r="D37" s="111"/>
      <c r="E37" s="112">
        <f t="shared" si="2"/>
        <v>513.7797254718364</v>
      </c>
      <c r="F37" s="39">
        <f t="shared" si="3"/>
        <v>486.22027452816343</v>
      </c>
      <c r="G37" s="39">
        <f t="shared" si="0"/>
        <v>999.99999999999977</v>
      </c>
      <c r="H37" s="33"/>
      <c r="I37" s="33"/>
      <c r="J37" s="111"/>
      <c r="K37" s="112">
        <f t="shared" si="4"/>
        <v>635.49428062745608</v>
      </c>
      <c r="L37" s="39">
        <f t="shared" si="5"/>
        <v>364.50571937254415</v>
      </c>
      <c r="M37" s="39">
        <f t="shared" si="1"/>
        <v>1000.0000000000002</v>
      </c>
    </row>
    <row r="38" spans="1:13" ht="15" x14ac:dyDescent="0.25">
      <c r="A38" s="4">
        <v>32</v>
      </c>
      <c r="D38" s="111"/>
      <c r="E38" s="112">
        <f t="shared" si="2"/>
        <v>523.43944452194285</v>
      </c>
      <c r="F38" s="39">
        <f t="shared" si="3"/>
        <v>476.56055547805693</v>
      </c>
      <c r="G38" s="39">
        <f t="shared" ref="G38:G66" si="6">SUM(D38:F38)</f>
        <v>999.99999999999977</v>
      </c>
      <c r="H38" s="33"/>
      <c r="I38" s="33"/>
      <c r="J38" s="111"/>
      <c r="K38" s="112">
        <f t="shared" si="4"/>
        <v>644.60762165601648</v>
      </c>
      <c r="L38" s="39">
        <f t="shared" si="5"/>
        <v>355.39237834398369</v>
      </c>
      <c r="M38" s="39">
        <f t="shared" ref="M38:M66" si="7">SUM(J38:L38)</f>
        <v>1000.0000000000002</v>
      </c>
    </row>
    <row r="39" spans="1:13" ht="15" x14ac:dyDescent="0.25">
      <c r="A39" s="4">
        <v>33</v>
      </c>
      <c r="D39" s="111"/>
      <c r="E39" s="112">
        <f t="shared" ref="E39:E66" si="8">D38*pCAUC+E38*(1-pUAUC)+F38*(pCAUC)</f>
        <v>532.80141678402856</v>
      </c>
      <c r="F39" s="39">
        <f t="shared" ref="F39:F66" si="9">D38*(1-pCAUC) + E38*pUAUC + F38*(1-pCAUC)</f>
        <v>467.19858321597115</v>
      </c>
      <c r="G39" s="39">
        <f t="shared" si="6"/>
        <v>999.99999999999977</v>
      </c>
      <c r="H39" s="33"/>
      <c r="I39" s="33"/>
      <c r="J39" s="111"/>
      <c r="K39" s="112">
        <f t="shared" ref="K39:K66" si="10">J38*pCAPH+K38*(1-pUAPH)+L38*(pCAPH)</f>
        <v>653.31506297293095</v>
      </c>
      <c r="L39" s="39">
        <f t="shared" ref="L39:L66" si="11">J38*(1-pCAPH) + K38*pUAPH + L38*(1-pCAPH)</f>
        <v>346.68493702706917</v>
      </c>
      <c r="M39" s="39">
        <f t="shared" si="7"/>
        <v>1000.0000000000001</v>
      </c>
    </row>
    <row r="40" spans="1:13" ht="15" x14ac:dyDescent="0.25">
      <c r="A40" s="4">
        <v>34</v>
      </c>
      <c r="D40" s="111"/>
      <c r="E40" s="112">
        <f t="shared" si="8"/>
        <v>541.87481986971113</v>
      </c>
      <c r="F40" s="39">
        <f t="shared" si="9"/>
        <v>458.12518013028858</v>
      </c>
      <c r="G40" s="39">
        <f t="shared" si="6"/>
        <v>999.99999999999977</v>
      </c>
      <c r="H40" s="33"/>
      <c r="I40" s="33"/>
      <c r="J40" s="111"/>
      <c r="K40" s="112">
        <f t="shared" si="10"/>
        <v>661.63468297287363</v>
      </c>
      <c r="L40" s="39">
        <f t="shared" si="11"/>
        <v>338.36531702712642</v>
      </c>
      <c r="M40" s="39">
        <f t="shared" si="7"/>
        <v>1000</v>
      </c>
    </row>
    <row r="41" spans="1:13" ht="15" x14ac:dyDescent="0.25">
      <c r="A41" s="4">
        <v>35</v>
      </c>
      <c r="D41" s="111"/>
      <c r="E41" s="112">
        <f t="shared" si="8"/>
        <v>550.66854850408038</v>
      </c>
      <c r="F41" s="39">
        <f t="shared" si="9"/>
        <v>449.33145149591934</v>
      </c>
      <c r="G41" s="39">
        <f t="shared" si="6"/>
        <v>999.99999999999977</v>
      </c>
      <c r="H41" s="33"/>
      <c r="I41" s="33"/>
      <c r="J41" s="111"/>
      <c r="K41" s="112">
        <f t="shared" si="10"/>
        <v>669.58375485567717</v>
      </c>
      <c r="L41" s="39">
        <f t="shared" si="11"/>
        <v>330.41624514432294</v>
      </c>
      <c r="M41" s="39">
        <f t="shared" si="7"/>
        <v>1000.0000000000001</v>
      </c>
    </row>
    <row r="42" spans="1:13" ht="15" x14ac:dyDescent="0.25">
      <c r="A42" s="4">
        <v>36</v>
      </c>
      <c r="D42" s="111"/>
      <c r="E42" s="112">
        <f t="shared" si="8"/>
        <v>559.19122324526415</v>
      </c>
      <c r="F42" s="39">
        <f t="shared" si="9"/>
        <v>440.80877675473562</v>
      </c>
      <c r="G42" s="39">
        <f t="shared" si="6"/>
        <v>999.99999999999977</v>
      </c>
      <c r="H42" s="33"/>
      <c r="I42" s="33"/>
      <c r="J42" s="111"/>
      <c r="K42" s="112">
        <f t="shared" si="10"/>
        <v>677.17878248896</v>
      </c>
      <c r="L42" s="39">
        <f t="shared" si="11"/>
        <v>322.82121751104012</v>
      </c>
      <c r="M42" s="39">
        <f t="shared" si="7"/>
        <v>1000.0000000000001</v>
      </c>
    </row>
    <row r="43" spans="1:13" ht="15" x14ac:dyDescent="0.25">
      <c r="A43" s="4">
        <v>37</v>
      </c>
      <c r="D43" s="111"/>
      <c r="E43" s="112">
        <f t="shared" si="8"/>
        <v>567.45119893522599</v>
      </c>
      <c r="F43" s="39">
        <f t="shared" si="9"/>
        <v>432.54880106477378</v>
      </c>
      <c r="G43" s="39">
        <f t="shared" si="6"/>
        <v>999.99999999999977</v>
      </c>
      <c r="H43" s="33"/>
      <c r="I43" s="33"/>
      <c r="J43" s="111"/>
      <c r="K43" s="112">
        <f t="shared" si="10"/>
        <v>684.43553467346601</v>
      </c>
      <c r="L43" s="39">
        <f t="shared" si="11"/>
        <v>315.5644653265341</v>
      </c>
      <c r="M43" s="39">
        <f t="shared" si="7"/>
        <v>1000.0000000000001</v>
      </c>
    </row>
    <row r="44" spans="1:13" ht="15" x14ac:dyDescent="0.25">
      <c r="A44" s="4">
        <v>38</v>
      </c>
      <c r="D44" s="111"/>
      <c r="E44" s="112">
        <f t="shared" si="8"/>
        <v>575.45657289007954</v>
      </c>
      <c r="F44" s="39">
        <f t="shared" si="9"/>
        <v>424.54342710992023</v>
      </c>
      <c r="G44" s="39">
        <f t="shared" si="6"/>
        <v>999.99999999999977</v>
      </c>
      <c r="H44" s="33"/>
      <c r="I44" s="33"/>
      <c r="J44" s="111"/>
      <c r="K44" s="112">
        <f t="shared" si="10"/>
        <v>691.36907788225767</v>
      </c>
      <c r="L44" s="39">
        <f t="shared" si="11"/>
        <v>308.6309221177425</v>
      </c>
      <c r="M44" s="39">
        <f t="shared" si="7"/>
        <v>1000.0000000000002</v>
      </c>
    </row>
    <row r="45" spans="1:13" ht="15" x14ac:dyDescent="0.25">
      <c r="A45" s="4">
        <v>39</v>
      </c>
      <c r="D45" s="111"/>
      <c r="E45" s="112">
        <f t="shared" si="8"/>
        <v>583.21519283794817</v>
      </c>
      <c r="F45" s="39">
        <f t="shared" si="9"/>
        <v>416.78480716205161</v>
      </c>
      <c r="G45" s="39">
        <f t="shared" si="6"/>
        <v>999.99999999999977</v>
      </c>
      <c r="H45" s="33"/>
      <c r="I45" s="33"/>
      <c r="J45" s="111"/>
      <c r="K45" s="112">
        <f t="shared" si="10"/>
        <v>697.99380754173592</v>
      </c>
      <c r="L45" s="39">
        <f t="shared" si="11"/>
        <v>302.00619245826431</v>
      </c>
      <c r="M45" s="39">
        <f t="shared" si="7"/>
        <v>1000.0000000000002</v>
      </c>
    </row>
    <row r="46" spans="1:13" ht="15" x14ac:dyDescent="0.25">
      <c r="A46" s="4">
        <v>40</v>
      </c>
      <c r="D46" s="111"/>
      <c r="E46" s="112">
        <f t="shared" si="8"/>
        <v>590.73466461215162</v>
      </c>
      <c r="F46" s="39">
        <f t="shared" si="9"/>
        <v>409.26533538784821</v>
      </c>
      <c r="G46" s="39">
        <f t="shared" si="6"/>
        <v>999.99999999999977</v>
      </c>
      <c r="H46" s="33"/>
      <c r="I46" s="33"/>
      <c r="J46" s="111"/>
      <c r="K46" s="112">
        <f t="shared" si="10"/>
        <v>704.32347791943289</v>
      </c>
      <c r="L46" s="39">
        <f t="shared" si="11"/>
        <v>295.67652208056734</v>
      </c>
      <c r="M46" s="39">
        <f t="shared" si="7"/>
        <v>1000.0000000000002</v>
      </c>
    </row>
    <row r="47" spans="1:13" ht="15" x14ac:dyDescent="0.25">
      <c r="A47" s="4">
        <v>41</v>
      </c>
      <c r="D47" s="111"/>
      <c r="E47" s="112">
        <f t="shared" si="8"/>
        <v>598.02235960726148</v>
      </c>
      <c r="F47" s="39">
        <f t="shared" si="9"/>
        <v>401.97764039273824</v>
      </c>
      <c r="G47" s="39">
        <f t="shared" si="6"/>
        <v>999.99999999999977</v>
      </c>
      <c r="H47" s="33"/>
      <c r="I47" s="33"/>
      <c r="J47" s="111"/>
      <c r="K47" s="112">
        <f t="shared" si="10"/>
        <v>710.37123068063011</v>
      </c>
      <c r="L47" s="39">
        <f t="shared" si="11"/>
        <v>289.62876931937006</v>
      </c>
      <c r="M47" s="39">
        <f t="shared" si="7"/>
        <v>1000.0000000000002</v>
      </c>
    </row>
    <row r="48" spans="1:13" ht="15" x14ac:dyDescent="0.25">
      <c r="A48" s="4">
        <v>42</v>
      </c>
      <c r="D48" s="111"/>
      <c r="E48" s="112">
        <f t="shared" si="8"/>
        <v>605.08542200533486</v>
      </c>
      <c r="F48" s="39">
        <f t="shared" si="9"/>
        <v>394.9145779946648</v>
      </c>
      <c r="G48" s="39">
        <f t="shared" si="6"/>
        <v>999.99999999999966</v>
      </c>
      <c r="H48" s="33"/>
      <c r="I48" s="33"/>
      <c r="J48" s="111"/>
      <c r="K48" s="112">
        <f t="shared" si="10"/>
        <v>716.14962217309142</v>
      </c>
      <c r="L48" s="39">
        <f t="shared" si="11"/>
        <v>283.8503778269087</v>
      </c>
      <c r="M48" s="39">
        <f t="shared" si="7"/>
        <v>1000.0000000000001</v>
      </c>
    </row>
    <row r="49" spans="1:13" ht="15" x14ac:dyDescent="0.25">
      <c r="A49" s="4">
        <v>43</v>
      </c>
      <c r="D49" s="111"/>
      <c r="E49" s="112">
        <f t="shared" si="8"/>
        <v>611.93077577940915</v>
      </c>
      <c r="F49" s="39">
        <f t="shared" si="9"/>
        <v>388.06922422059046</v>
      </c>
      <c r="G49" s="39">
        <f t="shared" si="6"/>
        <v>999.99999999999955</v>
      </c>
      <c r="H49" s="33"/>
      <c r="I49" s="33"/>
      <c r="J49" s="111"/>
      <c r="K49" s="112">
        <f t="shared" si="10"/>
        <v>721.67064949655958</v>
      </c>
      <c r="L49" s="39">
        <f t="shared" si="11"/>
        <v>278.32935050344059</v>
      </c>
      <c r="M49" s="39">
        <f t="shared" si="7"/>
        <v>1000.0000000000002</v>
      </c>
    </row>
    <row r="50" spans="1:13" ht="15" x14ac:dyDescent="0.25">
      <c r="A50" s="4">
        <v>44</v>
      </c>
      <c r="D50" s="111"/>
      <c r="E50" s="112">
        <f t="shared" si="8"/>
        <v>618.56513148112504</v>
      </c>
      <c r="F50" s="39">
        <f t="shared" si="9"/>
        <v>381.43486851887457</v>
      </c>
      <c r="G50" s="39">
        <f t="shared" si="6"/>
        <v>999.99999999999955</v>
      </c>
      <c r="H50" s="33"/>
      <c r="I50" s="33"/>
      <c r="J50" s="111"/>
      <c r="K50" s="112">
        <f t="shared" si="10"/>
        <v>726.94577541114131</v>
      </c>
      <c r="L50" s="39">
        <f t="shared" si="11"/>
        <v>273.05422458885886</v>
      </c>
      <c r="M50" s="39">
        <f t="shared" si="7"/>
        <v>1000.0000000000002</v>
      </c>
    </row>
    <row r="51" spans="1:13" ht="15" x14ac:dyDescent="0.25">
      <c r="A51" s="4">
        <v>45</v>
      </c>
      <c r="D51" s="111"/>
      <c r="E51" s="112">
        <f t="shared" si="8"/>
        <v>624.99499281913052</v>
      </c>
      <c r="F51" s="39">
        <f t="shared" si="9"/>
        <v>375.00500718086909</v>
      </c>
      <c r="G51" s="39">
        <f t="shared" si="6"/>
        <v>999.99999999999955</v>
      </c>
      <c r="H51" s="33"/>
      <c r="I51" s="33"/>
      <c r="J51" s="111"/>
      <c r="K51" s="112">
        <f t="shared" si="10"/>
        <v>731.98595213629687</v>
      </c>
      <c r="L51" s="39">
        <f t="shared" si="11"/>
        <v>268.0140478637033</v>
      </c>
      <c r="M51" s="39">
        <f t="shared" si="7"/>
        <v>1000.0000000000002</v>
      </c>
    </row>
    <row r="52" spans="1:13" ht="15" x14ac:dyDescent="0.25">
      <c r="A52" s="4">
        <v>46</v>
      </c>
      <c r="D52" s="111"/>
      <c r="E52" s="112">
        <f t="shared" si="8"/>
        <v>631.22666303471522</v>
      </c>
      <c r="F52" s="39">
        <f t="shared" si="9"/>
        <v>368.77333696528439</v>
      </c>
      <c r="G52" s="39">
        <f t="shared" si="6"/>
        <v>999.99999999999955</v>
      </c>
      <c r="H52" s="33"/>
      <c r="I52" s="33"/>
      <c r="J52" s="111"/>
      <c r="K52" s="112">
        <f t="shared" si="10"/>
        <v>736.8016440898441</v>
      </c>
      <c r="L52" s="39">
        <f t="shared" si="11"/>
        <v>263.19835591015607</v>
      </c>
      <c r="M52" s="39">
        <f t="shared" si="7"/>
        <v>1000.0000000000002</v>
      </c>
    </row>
    <row r="53" spans="1:13" ht="15" x14ac:dyDescent="0.25">
      <c r="A53" s="4">
        <v>47</v>
      </c>
      <c r="D53" s="111"/>
      <c r="E53" s="112">
        <f t="shared" si="8"/>
        <v>637.26625108092526</v>
      </c>
      <c r="F53" s="39">
        <f t="shared" si="9"/>
        <v>362.73374891907446</v>
      </c>
      <c r="G53" s="39">
        <f t="shared" si="6"/>
        <v>999.99999999999977</v>
      </c>
      <c r="H53" s="33"/>
      <c r="I53" s="33"/>
      <c r="J53" s="111"/>
      <c r="K53" s="112">
        <f t="shared" si="10"/>
        <v>741.40284961418877</v>
      </c>
      <c r="L53" s="39">
        <f t="shared" si="11"/>
        <v>258.59715038581135</v>
      </c>
      <c r="M53" s="39">
        <f t="shared" si="7"/>
        <v>1000.0000000000001</v>
      </c>
    </row>
    <row r="54" spans="1:13" ht="15" x14ac:dyDescent="0.25">
      <c r="A54" s="4">
        <v>48</v>
      </c>
      <c r="D54" s="111"/>
      <c r="E54" s="112">
        <f t="shared" si="8"/>
        <v>643.11967761121548</v>
      </c>
      <c r="F54" s="39">
        <f t="shared" si="9"/>
        <v>356.88032238878435</v>
      </c>
      <c r="G54" s="39">
        <f t="shared" si="6"/>
        <v>999.99999999999977</v>
      </c>
      <c r="H54" s="33"/>
      <c r="I54" s="33"/>
      <c r="J54" s="111"/>
      <c r="K54" s="112">
        <f t="shared" si="10"/>
        <v>745.79912173488913</v>
      </c>
      <c r="L54" s="39">
        <f t="shared" si="11"/>
        <v>254.20087826511102</v>
      </c>
      <c r="M54" s="39">
        <f t="shared" si="7"/>
        <v>1000.0000000000001</v>
      </c>
    </row>
    <row r="55" spans="1:13" ht="15" x14ac:dyDescent="0.25">
      <c r="A55" s="4">
        <v>49</v>
      </c>
      <c r="D55" s="111"/>
      <c r="E55" s="112">
        <f t="shared" si="8"/>
        <v>648.79268078351049</v>
      </c>
      <c r="F55" s="39">
        <f t="shared" si="9"/>
        <v>351.20731921648928</v>
      </c>
      <c r="G55" s="39">
        <f t="shared" si="6"/>
        <v>999.99999999999977</v>
      </c>
      <c r="H55" s="33"/>
      <c r="I55" s="33"/>
      <c r="J55" s="111"/>
      <c r="K55" s="112">
        <f t="shared" si="10"/>
        <v>749.99958799465253</v>
      </c>
      <c r="L55" s="39">
        <f t="shared" si="11"/>
        <v>250.00041200534764</v>
      </c>
      <c r="M55" s="39">
        <f t="shared" si="7"/>
        <v>1000.0000000000002</v>
      </c>
    </row>
    <row r="56" spans="1:13" ht="15" x14ac:dyDescent="0.25">
      <c r="A56" s="4">
        <v>50</v>
      </c>
      <c r="D56" s="111"/>
      <c r="E56" s="112">
        <f t="shared" si="8"/>
        <v>654.29082188536427</v>
      </c>
      <c r="F56" s="39">
        <f t="shared" si="9"/>
        <v>345.70917811463545</v>
      </c>
      <c r="G56" s="39">
        <f t="shared" si="6"/>
        <v>999.99999999999977</v>
      </c>
      <c r="H56" s="33"/>
      <c r="I56" s="33"/>
      <c r="J56" s="111"/>
      <c r="K56" s="112">
        <f t="shared" si="10"/>
        <v>754.01296940394525</v>
      </c>
      <c r="L56" s="39">
        <f t="shared" si="11"/>
        <v>245.98703059605495</v>
      </c>
      <c r="M56" s="39">
        <f t="shared" si="7"/>
        <v>1000.0000000000002</v>
      </c>
    </row>
    <row r="57" spans="1:13" ht="15" x14ac:dyDescent="0.25">
      <c r="A57" s="4">
        <v>51</v>
      </c>
      <c r="D57" s="111"/>
      <c r="E57" s="112">
        <f t="shared" si="8"/>
        <v>659.61949078573161</v>
      </c>
      <c r="F57" s="39">
        <f t="shared" si="9"/>
        <v>340.3805092142681</v>
      </c>
      <c r="G57" s="39">
        <f t="shared" si="6"/>
        <v>999.99999999999977</v>
      </c>
      <c r="H57" s="33"/>
      <c r="I57" s="33"/>
      <c r="J57" s="111"/>
      <c r="K57" s="112">
        <f t="shared" si="10"/>
        <v>757.8475985475593</v>
      </c>
      <c r="L57" s="39">
        <f t="shared" si="11"/>
        <v>242.15240145244087</v>
      </c>
      <c r="M57" s="39">
        <f t="shared" si="7"/>
        <v>1000.0000000000002</v>
      </c>
    </row>
    <row r="58" spans="1:13" ht="15" x14ac:dyDescent="0.25">
      <c r="A58" s="4">
        <v>52</v>
      </c>
      <c r="D58" s="111"/>
      <c r="E58" s="112">
        <f t="shared" si="8"/>
        <v>664.78391121869743</v>
      </c>
      <c r="F58" s="39">
        <f t="shared" si="9"/>
        <v>335.21608878130235</v>
      </c>
      <c r="G58" s="39">
        <f t="shared" si="6"/>
        <v>999.99999999999977</v>
      </c>
      <c r="H58" s="33"/>
      <c r="I58" s="33"/>
      <c r="J58" s="111"/>
      <c r="K58" s="112">
        <f t="shared" si="10"/>
        <v>761.51143688472985</v>
      </c>
      <c r="L58" s="39">
        <f t="shared" si="11"/>
        <v>238.48856311527024</v>
      </c>
      <c r="M58" s="39">
        <f t="shared" si="7"/>
        <v>1000.0000000000001</v>
      </c>
    </row>
    <row r="59" spans="1:13" ht="15" x14ac:dyDescent="0.25">
      <c r="A59" s="4">
        <v>53</v>
      </c>
      <c r="D59" s="111"/>
      <c r="E59" s="112">
        <f t="shared" si="8"/>
        <v>669.78914590434192</v>
      </c>
      <c r="F59" s="39">
        <f t="shared" si="9"/>
        <v>330.21085409565785</v>
      </c>
      <c r="G59" s="39">
        <f t="shared" si="6"/>
        <v>999.99999999999977</v>
      </c>
      <c r="H59" s="33"/>
      <c r="I59" s="33"/>
      <c r="J59" s="111"/>
      <c r="K59" s="112">
        <f t="shared" si="10"/>
        <v>765.01209127872164</v>
      </c>
      <c r="L59" s="39">
        <f t="shared" si="11"/>
        <v>234.98790872127856</v>
      </c>
      <c r="M59" s="39">
        <f t="shared" si="7"/>
        <v>1000.0000000000002</v>
      </c>
    </row>
    <row r="60" spans="1:13" ht="15" x14ac:dyDescent="0.25">
      <c r="A60" s="4">
        <v>54</v>
      </c>
      <c r="D60" s="111"/>
      <c r="E60" s="112">
        <f t="shared" si="8"/>
        <v>674.64010151176376</v>
      </c>
      <c r="F60" s="39">
        <f t="shared" si="9"/>
        <v>325.35989848823601</v>
      </c>
      <c r="G60" s="39">
        <f t="shared" si="6"/>
        <v>999.99999999999977</v>
      </c>
      <c r="H60" s="33"/>
      <c r="I60" s="33"/>
      <c r="J60" s="111"/>
      <c r="K60" s="112">
        <f t="shared" si="10"/>
        <v>768.35682979020214</v>
      </c>
      <c r="L60" s="39">
        <f t="shared" si="11"/>
        <v>231.64317020979803</v>
      </c>
      <c r="M60" s="39">
        <f t="shared" si="7"/>
        <v>1000.0000000000002</v>
      </c>
    </row>
    <row r="61" spans="1:13" ht="15" x14ac:dyDescent="0.25">
      <c r="A61" s="4">
        <v>55</v>
      </c>
      <c r="D61" s="111"/>
      <c r="E61" s="112">
        <f t="shared" si="8"/>
        <v>679.34153346912399</v>
      </c>
      <c r="F61" s="39">
        <f t="shared" si="9"/>
        <v>320.65846653087573</v>
      </c>
      <c r="G61" s="39">
        <f t="shared" si="6"/>
        <v>999.99999999999977</v>
      </c>
      <c r="H61" s="33"/>
      <c r="I61" s="33"/>
      <c r="J61" s="111"/>
      <c r="K61" s="112">
        <f t="shared" si="10"/>
        <v>771.55259676719413</v>
      </c>
      <c r="L61" s="39">
        <f t="shared" si="11"/>
        <v>228.44740323280593</v>
      </c>
      <c r="M61" s="39">
        <f t="shared" si="7"/>
        <v>1000</v>
      </c>
    </row>
    <row r="62" spans="1:13" ht="15" x14ac:dyDescent="0.25">
      <c r="A62" s="4">
        <v>56</v>
      </c>
      <c r="D62" s="111"/>
      <c r="E62" s="112">
        <f t="shared" si="8"/>
        <v>683.89805062542837</v>
      </c>
      <c r="F62" s="39">
        <f t="shared" si="9"/>
        <v>316.1019493745714</v>
      </c>
      <c r="G62" s="39">
        <f t="shared" si="6"/>
        <v>999.99999999999977</v>
      </c>
      <c r="H62" s="33"/>
      <c r="I62" s="33"/>
      <c r="J62" s="111"/>
      <c r="K62" s="112">
        <f t="shared" si="10"/>
        <v>774.60602726293484</v>
      </c>
      <c r="L62" s="39">
        <f t="shared" si="11"/>
        <v>225.39397273706516</v>
      </c>
      <c r="M62" s="39">
        <f t="shared" si="7"/>
        <v>1000</v>
      </c>
    </row>
    <row r="63" spans="1:13" ht="15" x14ac:dyDescent="0.25">
      <c r="A63" s="4">
        <v>57</v>
      </c>
      <c r="D63" s="111"/>
      <c r="E63" s="112">
        <f t="shared" si="8"/>
        <v>688.31411976861625</v>
      </c>
      <c r="F63" s="39">
        <f t="shared" si="9"/>
        <v>311.68588023138358</v>
      </c>
      <c r="G63" s="39">
        <f t="shared" si="6"/>
        <v>999.99999999999977</v>
      </c>
      <c r="H63" s="33"/>
      <c r="I63" s="33"/>
      <c r="J63" s="111"/>
      <c r="K63" s="112">
        <f t="shared" si="10"/>
        <v>777.52346081157702</v>
      </c>
      <c r="L63" s="39">
        <f t="shared" si="11"/>
        <v>222.47653918842295</v>
      </c>
      <c r="M63" s="39">
        <f t="shared" si="7"/>
        <v>1000</v>
      </c>
    </row>
    <row r="64" spans="1:13" ht="15" x14ac:dyDescent="0.25">
      <c r="A64" s="4">
        <v>58</v>
      </c>
      <c r="D64" s="111"/>
      <c r="E64" s="112">
        <f t="shared" si="8"/>
        <v>692.59407000438648</v>
      </c>
      <c r="F64" s="39">
        <f t="shared" si="9"/>
        <v>307.40592999561335</v>
      </c>
      <c r="G64" s="39">
        <f t="shared" si="6"/>
        <v>999.99999999999977</v>
      </c>
      <c r="H64" s="33"/>
      <c r="I64" s="33"/>
      <c r="J64" s="111"/>
      <c r="K64" s="112">
        <f t="shared" si="10"/>
        <v>780.31095459033361</v>
      </c>
      <c r="L64" s="39">
        <f t="shared" si="11"/>
        <v>219.68904540966631</v>
      </c>
      <c r="M64" s="39">
        <f t="shared" si="7"/>
        <v>999.99999999999989</v>
      </c>
    </row>
    <row r="65" spans="1:13" ht="15" x14ac:dyDescent="0.25">
      <c r="A65" s="4">
        <v>59</v>
      </c>
      <c r="D65" s="111"/>
      <c r="E65" s="112">
        <f t="shared" si="8"/>
        <v>696.74209700005213</v>
      </c>
      <c r="F65" s="39">
        <f t="shared" si="9"/>
        <v>303.25790299994759</v>
      </c>
      <c r="G65" s="39">
        <f t="shared" si="6"/>
        <v>999.99999999999977</v>
      </c>
      <c r="H65" s="33"/>
      <c r="I65" s="33"/>
      <c r="J65" s="111"/>
      <c r="K65" s="112">
        <f t="shared" si="10"/>
        <v>782.97429599539259</v>
      </c>
      <c r="L65" s="39">
        <f t="shared" si="11"/>
        <v>217.02570400460735</v>
      </c>
      <c r="M65" s="39">
        <f t="shared" si="7"/>
        <v>1000</v>
      </c>
    </row>
    <row r="66" spans="1:13" ht="15" x14ac:dyDescent="0.25">
      <c r="A66" s="4">
        <v>60</v>
      </c>
      <c r="D66" s="111"/>
      <c r="E66" s="112">
        <f t="shared" si="8"/>
        <v>700.76226709758487</v>
      </c>
      <c r="F66" s="39">
        <f t="shared" si="9"/>
        <v>299.23773290241485</v>
      </c>
      <c r="G66" s="39">
        <f t="shared" si="6"/>
        <v>999.99999999999977</v>
      </c>
      <c r="H66" s="33"/>
      <c r="I66" s="33"/>
      <c r="J66" s="111"/>
      <c r="K66" s="112">
        <f t="shared" si="10"/>
        <v>785.51901465771209</v>
      </c>
      <c r="L66" s="39">
        <f t="shared" si="11"/>
        <v>214.48098534228788</v>
      </c>
      <c r="M66" s="39">
        <f t="shared" si="7"/>
        <v>1000</v>
      </c>
    </row>
    <row r="68" spans="1:13" x14ac:dyDescent="0.2">
      <c r="F68" s="33"/>
    </row>
    <row r="69" spans="1:13" x14ac:dyDescent="0.2">
      <c r="F69" s="33"/>
    </row>
  </sheetData>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69"/>
  <sheetViews>
    <sheetView workbookViewId="0">
      <selection activeCell="N23" sqref="N23"/>
    </sheetView>
  </sheetViews>
  <sheetFormatPr defaultRowHeight="15" x14ac:dyDescent="0.25"/>
  <cols>
    <col min="1" max="1" width="9.140625" style="4"/>
    <col min="2" max="2" width="4.7109375" style="4" customWidth="1"/>
    <col min="3" max="3" width="8.85546875" style="32" customWidth="1"/>
    <col min="4" max="4" width="4.7109375" style="32" customWidth="1"/>
    <col min="5" max="5" width="10" style="32" bestFit="1" customWidth="1"/>
    <col min="6" max="6" width="9.140625" style="4"/>
    <col min="7" max="7" width="12.7109375" style="4" customWidth="1"/>
    <col min="8" max="8" width="8.85546875" style="4" bestFit="1" customWidth="1"/>
    <col min="9" max="9" width="8.5703125" style="4" bestFit="1" customWidth="1"/>
    <col min="10" max="10" width="8.28515625" style="4" bestFit="1" customWidth="1"/>
    <col min="11" max="11" width="9.5703125" style="4" bestFit="1" customWidth="1"/>
    <col min="12" max="12" width="13.7109375" style="4" bestFit="1" customWidth="1"/>
    <col min="13" max="16" width="12.7109375" style="4" customWidth="1"/>
    <col min="17" max="18" width="4.7109375" style="4" customWidth="1"/>
    <col min="19" max="16384" width="9.140625" style="4"/>
  </cols>
  <sheetData>
    <row r="1" spans="1:18" ht="15.75" x14ac:dyDescent="0.25">
      <c r="A1" s="49" t="s">
        <v>24</v>
      </c>
      <c r="B1" s="49"/>
    </row>
    <row r="2" spans="1:18" ht="15.75" x14ac:dyDescent="0.25">
      <c r="A2" s="49"/>
      <c r="B2" s="49"/>
      <c r="I2" s="113"/>
    </row>
    <row r="3" spans="1:18" x14ac:dyDescent="0.25">
      <c r="D3" s="48"/>
      <c r="G3" s="47" t="s">
        <v>147</v>
      </c>
      <c r="H3" s="47"/>
      <c r="I3" s="46"/>
      <c r="J3" s="46"/>
      <c r="K3" s="46"/>
      <c r="L3" s="47"/>
      <c r="M3" s="47"/>
      <c r="N3" s="46"/>
      <c r="O3" s="46"/>
      <c r="P3" s="46"/>
    </row>
    <row r="4" spans="1:18" ht="12.75" x14ac:dyDescent="0.2">
      <c r="A4" s="25" t="s">
        <v>23</v>
      </c>
      <c r="B4" s="25"/>
      <c r="C4" s="45" t="s">
        <v>22</v>
      </c>
      <c r="D4" s="44"/>
      <c r="E4" s="44" t="s">
        <v>21</v>
      </c>
      <c r="G4" s="25" t="s">
        <v>53</v>
      </c>
      <c r="H4" s="25" t="s">
        <v>54</v>
      </c>
      <c r="I4" s="25" t="s">
        <v>55</v>
      </c>
      <c r="J4" s="25" t="s">
        <v>56</v>
      </c>
      <c r="K4" s="25" t="s">
        <v>57</v>
      </c>
      <c r="L4" s="25" t="s">
        <v>58</v>
      </c>
      <c r="M4" s="25" t="s">
        <v>20</v>
      </c>
      <c r="N4" s="25" t="s">
        <v>11</v>
      </c>
      <c r="O4" s="25" t="s">
        <v>19</v>
      </c>
      <c r="P4" s="25" t="s">
        <v>10</v>
      </c>
    </row>
    <row r="5" spans="1:18" ht="12.75" x14ac:dyDescent="0.2">
      <c r="C5" s="4"/>
      <c r="D5" s="4"/>
      <c r="E5" s="43"/>
    </row>
    <row r="6" spans="1:18" x14ac:dyDescent="0.25">
      <c r="A6" s="4">
        <v>0</v>
      </c>
      <c r="G6" s="40">
        <f>Control!F7</f>
        <v>974.50376829192612</v>
      </c>
      <c r="H6" s="40"/>
      <c r="I6" s="40"/>
      <c r="J6" s="40"/>
      <c r="K6" s="40"/>
      <c r="L6" s="40"/>
      <c r="M6" s="39">
        <f t="shared" ref="M6:M66" si="0">SUM(G6:L6)</f>
        <v>974.50376829192612</v>
      </c>
      <c r="N6" s="116">
        <f>(cNES)*G6</f>
        <v>2348554.0815835418</v>
      </c>
      <c r="O6" s="33"/>
      <c r="P6" s="42"/>
      <c r="Q6" s="33"/>
      <c r="R6" s="33"/>
    </row>
    <row r="7" spans="1:18" x14ac:dyDescent="0.25">
      <c r="A7" s="4">
        <v>1</v>
      </c>
      <c r="C7" s="41" t="e">
        <f t="shared" ref="C7:C38" si="1">1-EXP(lambda*(A6^gamma-A7^gamma))</f>
        <v>#REF!</v>
      </c>
      <c r="E7" s="41">
        <f t="shared" ref="E7:E38" si="2">IF(male=0,VLOOKUP(A$5:A$65536+age,Lifetable,2,1),IF(male=1,VLOOKUP(A$5:A$65536+age,Lifetable,5,1),"error"))</f>
        <v>1.2009000000000001E-2</v>
      </c>
      <c r="G7" s="111">
        <f t="shared" ref="G7:G38" si="3">H6*(1-mr)+I6*(1-mr)+J6*(1-(mr+amr+amrHOEX))+G6*(1-(mr+rrOSEX+rrEREX+rrHOEX+amr))</f>
        <v>860.2802802390305</v>
      </c>
      <c r="H7" s="112">
        <f t="shared" ref="H7:H38" si="4">G6*(rrOSEX)</f>
        <v>97.890943048942745</v>
      </c>
      <c r="I7" s="39">
        <f t="shared" ref="I7:I38" si="5">G6*(rrEREX)</f>
        <v>2.2401139676920478</v>
      </c>
      <c r="J7" s="39">
        <f t="shared" ref="J7:J38" si="6">G6*(rrHOEX)</f>
        <v>2.2401139676920478</v>
      </c>
      <c r="K7" s="112">
        <f t="shared" ref="K7:K38" si="7">(G6*mr)+(H6*mr)+(I6*mr)+(J6*mr)+K6</f>
        <v>11.702815753417742</v>
      </c>
      <c r="L7" s="112">
        <f t="shared" ref="L7:L38" si="8">(G6*amr)+(J6*(amr+amrHOEX))+L6</f>
        <v>0.14950131515093792</v>
      </c>
      <c r="M7" s="39">
        <f t="shared" si="0"/>
        <v>974.50376829192612</v>
      </c>
      <c r="N7" s="116">
        <f t="shared" ref="N7:N38" si="9">(cNES*G7+cOSEX*H7+cEREX*I7+cHOEX*J7)/(1+cDR)^A$5:A$65536</f>
        <v>1987459.1431596184</v>
      </c>
      <c r="O7" s="37">
        <f>(I7+H7+G7+J7)</f>
        <v>962.65145122335741</v>
      </c>
      <c r="P7" s="36">
        <f>(uNES*G7+ uOCEX*H7+uEREX*'A -UC UC'!I7+uHOEX*'A -UC UC'!J7)/(1+oDR)^A$5:A$65536</f>
        <v>623.89873421563357</v>
      </c>
      <c r="Q7" s="33"/>
      <c r="R7" s="33"/>
    </row>
    <row r="8" spans="1:18" x14ac:dyDescent="0.25">
      <c r="A8" s="4">
        <v>2</v>
      </c>
      <c r="C8" s="41" t="e">
        <f t="shared" si="1"/>
        <v>#REF!</v>
      </c>
      <c r="E8" s="41">
        <f t="shared" si="2"/>
        <v>1.2867E-2</v>
      </c>
      <c r="G8" s="111">
        <f t="shared" si="3"/>
        <v>859.73454782080194</v>
      </c>
      <c r="H8" s="112">
        <f t="shared" si="4"/>
        <v>86.416954617439799</v>
      </c>
      <c r="I8" s="39">
        <f t="shared" si="5"/>
        <v>1.9775458388132001</v>
      </c>
      <c r="J8" s="39">
        <f t="shared" si="6"/>
        <v>1.9775458388132001</v>
      </c>
      <c r="K8" s="112">
        <f t="shared" si="7"/>
        <v>24.089251976308681</v>
      </c>
      <c r="L8" s="112">
        <f t="shared" si="8"/>
        <v>0.30792219974922619</v>
      </c>
      <c r="M8" s="39">
        <f t="shared" si="0"/>
        <v>974.50376829192601</v>
      </c>
      <c r="N8" s="116">
        <f t="shared" si="9"/>
        <v>1870303.4340707874</v>
      </c>
      <c r="O8" s="37">
        <f t="shared" ref="O8:O66" si="10">(I8+H8+G8+J8)</f>
        <v>950.10659411586812</v>
      </c>
      <c r="P8" s="36">
        <f>(uNES*G8+ uOCEX*H8+uEREX*'A -UC UC'!I8+uHOEX*'A -UC UC'!J8)/(1+oDR)^A$5:A$65536</f>
        <v>607.75608100984982</v>
      </c>
      <c r="Q8" s="33"/>
      <c r="R8" s="33"/>
    </row>
    <row r="9" spans="1:18" x14ac:dyDescent="0.25">
      <c r="A9" s="4">
        <v>3</v>
      </c>
      <c r="C9" s="41" t="e">
        <f t="shared" si="1"/>
        <v>#REF!</v>
      </c>
      <c r="E9" s="41">
        <f t="shared" si="2"/>
        <v>1.3772E-2</v>
      </c>
      <c r="G9" s="111">
        <f t="shared" si="3"/>
        <v>846.55177100806645</v>
      </c>
      <c r="H9" s="112">
        <f t="shared" si="4"/>
        <v>86.36213465387371</v>
      </c>
      <c r="I9" s="39">
        <f t="shared" si="5"/>
        <v>1.9762913512960929</v>
      </c>
      <c r="J9" s="39">
        <f t="shared" si="6"/>
        <v>1.9762913512960929</v>
      </c>
      <c r="K9" s="112">
        <f t="shared" si="7"/>
        <v>37.17411999047242</v>
      </c>
      <c r="L9" s="112">
        <f t="shared" si="8"/>
        <v>0.46315993692123902</v>
      </c>
      <c r="M9" s="39">
        <f t="shared" si="0"/>
        <v>974.50376829192601</v>
      </c>
      <c r="N9" s="116">
        <f t="shared" si="9"/>
        <v>1737746.3649257866</v>
      </c>
      <c r="O9" s="37">
        <f t="shared" si="10"/>
        <v>936.86648836453242</v>
      </c>
      <c r="P9" s="36">
        <f>(uNES*G9+ uOCEX*H9+uEREX*'A -UC UC'!I9+uHOEX*'A -UC UC'!J9)/(1+oDR)^A$5:A$65536</f>
        <v>590.30952191553831</v>
      </c>
      <c r="Q9" s="33"/>
      <c r="R9" s="33"/>
    </row>
    <row r="10" spans="1:18" x14ac:dyDescent="0.25">
      <c r="A10" s="4">
        <v>4</v>
      </c>
      <c r="C10" s="41" t="e">
        <f t="shared" si="1"/>
        <v>#REF!</v>
      </c>
      <c r="E10" s="41">
        <f t="shared" si="2"/>
        <v>1.4749E-2</v>
      </c>
      <c r="G10" s="111">
        <f t="shared" si="3"/>
        <v>833.96557126693915</v>
      </c>
      <c r="H10" s="112">
        <f t="shared" si="4"/>
        <v>85.037897133002645</v>
      </c>
      <c r="I10" s="39">
        <f t="shared" si="5"/>
        <v>1.9459878025238433</v>
      </c>
      <c r="J10" s="39">
        <f t="shared" si="6"/>
        <v>1.9459878025238433</v>
      </c>
      <c r="K10" s="112">
        <f t="shared" si="7"/>
        <v>50.991963827360905</v>
      </c>
      <c r="L10" s="112">
        <f t="shared" si="8"/>
        <v>0.61636045957564867</v>
      </c>
      <c r="M10" s="39">
        <f t="shared" si="0"/>
        <v>974.50376829192601</v>
      </c>
      <c r="N10" s="116">
        <f t="shared" si="9"/>
        <v>1614998.769037111</v>
      </c>
      <c r="O10" s="37">
        <f t="shared" si="10"/>
        <v>922.89544400498949</v>
      </c>
      <c r="P10" s="36">
        <f>(uNES*G10+ uOCEX*H10+uEREX*'A -UC UC'!I10+uHOEX*'A -UC UC'!J10)/(1+oDR)^A$5:A$65536</f>
        <v>572.91658878481678</v>
      </c>
      <c r="Q10" s="33"/>
      <c r="R10" s="33"/>
    </row>
    <row r="11" spans="1:18" x14ac:dyDescent="0.25">
      <c r="A11" s="4">
        <v>5</v>
      </c>
      <c r="C11" s="41" t="e">
        <f t="shared" si="1"/>
        <v>#REF!</v>
      </c>
      <c r="E11" s="41">
        <f t="shared" si="2"/>
        <v>1.5852000000000002E-2</v>
      </c>
      <c r="G11" s="111">
        <f t="shared" si="3"/>
        <v>820.50709523331329</v>
      </c>
      <c r="H11" s="112">
        <f t="shared" si="4"/>
        <v>83.773587027541637</v>
      </c>
      <c r="I11" s="39">
        <f t="shared" si="5"/>
        <v>1.9170556190293868</v>
      </c>
      <c r="J11" s="39">
        <f t="shared" si="6"/>
        <v>1.9170556190293868</v>
      </c>
      <c r="K11" s="112">
        <f t="shared" si="7"/>
        <v>65.621702405728001</v>
      </c>
      <c r="L11" s="112">
        <f t="shared" si="8"/>
        <v>0.76727238728434233</v>
      </c>
      <c r="M11" s="39">
        <f t="shared" si="0"/>
        <v>974.50376829192612</v>
      </c>
      <c r="N11" s="116">
        <f t="shared" si="9"/>
        <v>1499023.8282139632</v>
      </c>
      <c r="O11" s="37">
        <f t="shared" si="10"/>
        <v>908.11479349891374</v>
      </c>
      <c r="P11" s="36">
        <f>(uNES*G11+ uOCEX*H11+uEREX*'A -UC UC'!I11+uHOEX*'A -UC UC'!J11)/(1+oDR)^A$5:A$65536</f>
        <v>555.3999265172481</v>
      </c>
      <c r="Q11" s="33"/>
      <c r="R11" s="33"/>
    </row>
    <row r="12" spans="1:18" x14ac:dyDescent="0.25">
      <c r="A12" s="4">
        <v>6</v>
      </c>
      <c r="C12" s="41" t="e">
        <f t="shared" si="1"/>
        <v>#REF!</v>
      </c>
      <c r="E12" s="41">
        <f t="shared" si="2"/>
        <v>1.7097000000000001E-2</v>
      </c>
      <c r="G12" s="111">
        <f t="shared" si="3"/>
        <v>806.24635760074375</v>
      </c>
      <c r="H12" s="112">
        <f t="shared" si="4"/>
        <v>82.421654942925457</v>
      </c>
      <c r="I12" s="39">
        <f t="shared" si="5"/>
        <v>1.8861183141900046</v>
      </c>
      <c r="J12" s="39">
        <f t="shared" si="6"/>
        <v>1.8861183141900046</v>
      </c>
      <c r="K12" s="112">
        <f t="shared" si="7"/>
        <v>81.147741030178935</v>
      </c>
      <c r="L12" s="112">
        <f t="shared" si="8"/>
        <v>0.91577808969775409</v>
      </c>
      <c r="M12" s="39">
        <f t="shared" si="0"/>
        <v>974.50376829192578</v>
      </c>
      <c r="N12" s="116">
        <f t="shared" si="9"/>
        <v>1389619.588950987</v>
      </c>
      <c r="O12" s="37">
        <f t="shared" si="10"/>
        <v>892.44024917204922</v>
      </c>
      <c r="P12" s="36">
        <f>(uNES*G12+ uOCEX*H12+uEREX*'A -UC UC'!I12+uHOEX*'A -UC UC'!J12)/(1+oDR)^A$5:A$65536</f>
        <v>537.73776925164088</v>
      </c>
      <c r="Q12" s="33"/>
      <c r="R12" s="33"/>
    </row>
    <row r="13" spans="1:18" x14ac:dyDescent="0.25">
      <c r="A13" s="4">
        <v>7</v>
      </c>
      <c r="C13" s="41" t="e">
        <f t="shared" si="1"/>
        <v>#REF!</v>
      </c>
      <c r="E13" s="41">
        <f t="shared" si="2"/>
        <v>1.8463E-2</v>
      </c>
      <c r="G13" s="111">
        <f t="shared" si="3"/>
        <v>791.12136445422811</v>
      </c>
      <c r="H13" s="112">
        <f t="shared" si="4"/>
        <v>80.989134001654364</v>
      </c>
      <c r="I13" s="39">
        <f t="shared" si="5"/>
        <v>1.8533368323735679</v>
      </c>
      <c r="J13" s="39">
        <f t="shared" si="6"/>
        <v>1.8533368323735679</v>
      </c>
      <c r="K13" s="112">
        <f t="shared" si="7"/>
        <v>97.62486535064248</v>
      </c>
      <c r="L13" s="112">
        <f t="shared" si="8"/>
        <v>1.0617308206538458</v>
      </c>
      <c r="M13" s="39">
        <f t="shared" si="0"/>
        <v>974.50376829192589</v>
      </c>
      <c r="N13" s="116">
        <f t="shared" si="9"/>
        <v>1286394.3601732065</v>
      </c>
      <c r="O13" s="37">
        <f t="shared" si="10"/>
        <v>875.81717212062961</v>
      </c>
      <c r="P13" s="36">
        <f>(uNES*G13+ uOCEX*H13+uEREX*'A -UC UC'!I13+uHOEX*'A -UC UC'!J13)/(1+oDR)^A$5:A$65536</f>
        <v>519.91256328349789</v>
      </c>
      <c r="Q13" s="33"/>
      <c r="R13" s="33"/>
    </row>
    <row r="14" spans="1:18" x14ac:dyDescent="0.25">
      <c r="A14" s="4">
        <v>8</v>
      </c>
      <c r="C14" s="41" t="e">
        <f t="shared" si="1"/>
        <v>#REF!</v>
      </c>
      <c r="E14" s="41">
        <f t="shared" si="2"/>
        <v>1.9959000000000001E-2</v>
      </c>
      <c r="G14" s="111">
        <f t="shared" si="3"/>
        <v>775.08655766102754</v>
      </c>
      <c r="H14" s="112">
        <f t="shared" si="4"/>
        <v>79.46979678522024</v>
      </c>
      <c r="I14" s="39">
        <f t="shared" si="5"/>
        <v>1.8185686667582182</v>
      </c>
      <c r="J14" s="39">
        <f t="shared" si="6"/>
        <v>1.8185686667582182</v>
      </c>
      <c r="K14" s="112">
        <f t="shared" si="7"/>
        <v>115.10530028899812</v>
      </c>
      <c r="L14" s="112">
        <f t="shared" si="8"/>
        <v>1.2049762231636079</v>
      </c>
      <c r="M14" s="39">
        <f t="shared" si="0"/>
        <v>974.50376829192589</v>
      </c>
      <c r="N14" s="116">
        <f t="shared" si="9"/>
        <v>1189008.384522066</v>
      </c>
      <c r="O14" s="37">
        <f t="shared" si="10"/>
        <v>858.19349177976426</v>
      </c>
      <c r="P14" s="36">
        <f>(uNES*G14+ uOCEX*H14+uEREX*'A -UC UC'!I14+uHOEX*'A -UC UC'!J14)/(1+oDR)^A$5:A$65536</f>
        <v>501.91100081889084</v>
      </c>
      <c r="Q14" s="33"/>
      <c r="R14" s="33"/>
    </row>
    <row r="15" spans="1:18" x14ac:dyDescent="0.25">
      <c r="A15" s="4">
        <v>9</v>
      </c>
      <c r="C15" s="41" t="e">
        <f t="shared" si="1"/>
        <v>#REF!</v>
      </c>
      <c r="E15" s="41">
        <f t="shared" si="2"/>
        <v>2.1616E-2</v>
      </c>
      <c r="G15" s="111">
        <f t="shared" si="3"/>
        <v>758.079921148268</v>
      </c>
      <c r="H15" s="112">
        <f t="shared" si="4"/>
        <v>77.859066883841578</v>
      </c>
      <c r="I15" s="39">
        <f t="shared" si="5"/>
        <v>1.7817090918284559</v>
      </c>
      <c r="J15" s="39">
        <f t="shared" si="6"/>
        <v>1.7817090918284559</v>
      </c>
      <c r="K15" s="112">
        <f t="shared" si="7"/>
        <v>133.65601080730951</v>
      </c>
      <c r="L15" s="112">
        <f t="shared" si="8"/>
        <v>1.3453512688500195</v>
      </c>
      <c r="M15" s="39">
        <f t="shared" si="0"/>
        <v>974.50376829192601</v>
      </c>
      <c r="N15" s="116">
        <f t="shared" si="9"/>
        <v>1097120.879857807</v>
      </c>
      <c r="O15" s="37">
        <f t="shared" si="10"/>
        <v>839.50240621576654</v>
      </c>
      <c r="P15" s="36">
        <f>(uNES*G15+ uOCEX*H15+uEREX*'A -UC UC'!I15+uHOEX*'A -UC UC'!J15)/(1+oDR)^A$5:A$65536</f>
        <v>483.71219789750154</v>
      </c>
      <c r="Q15" s="33"/>
      <c r="R15" s="33"/>
    </row>
    <row r="16" spans="1:18" x14ac:dyDescent="0.25">
      <c r="A16" s="4">
        <v>10</v>
      </c>
      <c r="C16" s="41" t="e">
        <f t="shared" si="1"/>
        <v>#REF!</v>
      </c>
      <c r="E16" s="41">
        <f t="shared" si="2"/>
        <v>2.3528E-2</v>
      </c>
      <c r="G16" s="111">
        <f t="shared" si="3"/>
        <v>739.97731693924038</v>
      </c>
      <c r="H16" s="112">
        <f t="shared" si="4"/>
        <v>76.150714653205668</v>
      </c>
      <c r="I16" s="39">
        <f t="shared" si="5"/>
        <v>1.742615549827619</v>
      </c>
      <c r="J16" s="39">
        <f t="shared" si="6"/>
        <v>1.742615549827619</v>
      </c>
      <c r="K16" s="112">
        <f t="shared" si="7"/>
        <v>153.40782342075408</v>
      </c>
      <c r="L16" s="112">
        <f t="shared" si="8"/>
        <v>1.4826821790707321</v>
      </c>
      <c r="M16" s="39">
        <f t="shared" si="0"/>
        <v>974.50376829192612</v>
      </c>
      <c r="N16" s="116">
        <f t="shared" si="9"/>
        <v>1010332.6718386788</v>
      </c>
      <c r="O16" s="37">
        <f t="shared" si="10"/>
        <v>819.61326269210133</v>
      </c>
      <c r="P16" s="36">
        <f>(uNES*G16+ uOCEX*H16+uEREX*'A -UC UC'!I16+uHOEX*'A -UC UC'!J16)/(1+oDR)^A$5:A$65536</f>
        <v>465.26029004916842</v>
      </c>
      <c r="Q16" s="33"/>
      <c r="R16" s="33"/>
    </row>
    <row r="17" spans="1:18" x14ac:dyDescent="0.25">
      <c r="A17" s="4">
        <v>11</v>
      </c>
      <c r="C17" s="41" t="e">
        <f t="shared" si="1"/>
        <v>#REF!</v>
      </c>
      <c r="E17" s="41">
        <f t="shared" si="2"/>
        <v>2.5693000000000001E-2</v>
      </c>
      <c r="G17" s="111">
        <f t="shared" si="3"/>
        <v>720.68657132710234</v>
      </c>
      <c r="H17" s="112">
        <f t="shared" si="4"/>
        <v>74.332270173745613</v>
      </c>
      <c r="I17" s="39">
        <f t="shared" si="5"/>
        <v>1.7010026819663469</v>
      </c>
      <c r="J17" s="39">
        <f t="shared" si="6"/>
        <v>1.7010026819663469</v>
      </c>
      <c r="K17" s="112">
        <f t="shared" si="7"/>
        <v>174.46614697910223</v>
      </c>
      <c r="L17" s="112">
        <f t="shared" si="8"/>
        <v>1.6167744480431978</v>
      </c>
      <c r="M17" s="39">
        <f t="shared" si="0"/>
        <v>974.50376829192612</v>
      </c>
      <c r="N17" s="116">
        <f t="shared" si="9"/>
        <v>928326.16215326427</v>
      </c>
      <c r="O17" s="37">
        <f t="shared" si="10"/>
        <v>798.42084686478063</v>
      </c>
      <c r="P17" s="36">
        <f>(uNES*G17+ uOCEX*H17+uEREX*'A -UC UC'!I17+uHOEX*'A -UC UC'!J17)/(1+oDR)^A$5:A$65536</f>
        <v>446.5182107099231</v>
      </c>
      <c r="Q17" s="33"/>
      <c r="R17" s="33"/>
    </row>
    <row r="18" spans="1:18" x14ac:dyDescent="0.25">
      <c r="A18" s="4">
        <v>12</v>
      </c>
      <c r="C18" s="41" t="e">
        <f t="shared" si="1"/>
        <v>#REF!</v>
      </c>
      <c r="E18" s="41">
        <f t="shared" si="2"/>
        <v>2.8041E-2</v>
      </c>
      <c r="G18" s="111">
        <f t="shared" si="3"/>
        <v>700.19389466838049</v>
      </c>
      <c r="H18" s="112">
        <f t="shared" si="4"/>
        <v>72.394474403700158</v>
      </c>
      <c r="I18" s="39">
        <f t="shared" si="5"/>
        <v>1.6566586064491353</v>
      </c>
      <c r="J18" s="39">
        <f t="shared" si="6"/>
        <v>1.6566586064491353</v>
      </c>
      <c r="K18" s="112">
        <f t="shared" si="7"/>
        <v>196.85466594603756</v>
      </c>
      <c r="L18" s="112">
        <f t="shared" si="8"/>
        <v>1.7474160609096534</v>
      </c>
      <c r="M18" s="39">
        <f t="shared" si="0"/>
        <v>974.50376829192624</v>
      </c>
      <c r="N18" s="116">
        <f t="shared" si="9"/>
        <v>850906.51054953178</v>
      </c>
      <c r="O18" s="37">
        <f t="shared" si="10"/>
        <v>775.90168628497895</v>
      </c>
      <c r="P18" s="36">
        <f>(uNES*G18+ uOCEX*H18+uEREX*'A -UC UC'!I18+uHOEX*'A -UC UC'!J18)/(1+oDR)^A$5:A$65536</f>
        <v>427.49707014511159</v>
      </c>
      <c r="Q18" s="33"/>
      <c r="R18" s="33"/>
    </row>
    <row r="19" spans="1:18" x14ac:dyDescent="0.25">
      <c r="A19" s="4">
        <v>13</v>
      </c>
      <c r="C19" s="41" t="e">
        <f t="shared" si="1"/>
        <v>#REF!</v>
      </c>
      <c r="E19" s="41">
        <f t="shared" si="2"/>
        <v>3.0567E-2</v>
      </c>
      <c r="G19" s="111">
        <f t="shared" si="3"/>
        <v>678.5026797210802</v>
      </c>
      <c r="H19" s="112">
        <f t="shared" si="4"/>
        <v>70.335942144522278</v>
      </c>
      <c r="I19" s="39">
        <f t="shared" si="5"/>
        <v>1.6095516247090218</v>
      </c>
      <c r="J19" s="39">
        <f t="shared" si="6"/>
        <v>1.6095516247090218</v>
      </c>
      <c r="K19" s="112">
        <f t="shared" si="7"/>
        <v>220.57165279071052</v>
      </c>
      <c r="L19" s="112">
        <f t="shared" si="8"/>
        <v>1.8743903861950963</v>
      </c>
      <c r="M19" s="39">
        <f t="shared" si="0"/>
        <v>974.50376829192624</v>
      </c>
      <c r="N19" s="116">
        <f t="shared" si="9"/>
        <v>777903.44003365596</v>
      </c>
      <c r="O19" s="37">
        <f t="shared" si="10"/>
        <v>752.05772511502062</v>
      </c>
      <c r="P19" s="36">
        <f>(uNES*G19+ uOCEX*H19+uEREX*'A -UC UC'!I19+uHOEX*'A -UC UC'!J19)/(1+oDR)^A$5:A$65536</f>
        <v>408.22121580726787</v>
      </c>
      <c r="Q19" s="33"/>
      <c r="R19" s="33"/>
    </row>
    <row r="20" spans="1:18" x14ac:dyDescent="0.25">
      <c r="A20" s="4">
        <v>14</v>
      </c>
      <c r="C20" s="41" t="e">
        <f t="shared" si="1"/>
        <v>#REF!</v>
      </c>
      <c r="E20" s="41">
        <f t="shared" si="2"/>
        <v>3.3347000000000002E-2</v>
      </c>
      <c r="G20" s="111">
        <f t="shared" si="3"/>
        <v>655.57937232570032</v>
      </c>
      <c r="H20" s="112">
        <f t="shared" si="4"/>
        <v>68.157014205854253</v>
      </c>
      <c r="I20" s="39">
        <f t="shared" si="5"/>
        <v>1.5596895357559681</v>
      </c>
      <c r="J20" s="39">
        <f t="shared" si="6"/>
        <v>1.5596895357559681</v>
      </c>
      <c r="K20" s="112">
        <f t="shared" si="7"/>
        <v>245.6505217501211</v>
      </c>
      <c r="L20" s="112">
        <f t="shared" si="8"/>
        <v>1.9974809387384571</v>
      </c>
      <c r="M20" s="39">
        <f t="shared" si="0"/>
        <v>974.50376829192612</v>
      </c>
      <c r="N20" s="116">
        <f t="shared" si="9"/>
        <v>709107.04527507862</v>
      </c>
      <c r="O20" s="37">
        <f t="shared" si="10"/>
        <v>726.85576560306652</v>
      </c>
      <c r="P20" s="36">
        <f>(uNES*G20+ uOCEX*H20+uEREX*'A -UC UC'!I20+uHOEX*'A -UC UC'!J20)/(1+oDR)^A$5:A$65536</f>
        <v>388.69490084053859</v>
      </c>
      <c r="Q20" s="33"/>
      <c r="R20" s="33"/>
    </row>
    <row r="21" spans="1:18" x14ac:dyDescent="0.25">
      <c r="A21" s="4">
        <v>15</v>
      </c>
      <c r="C21" s="41" t="e">
        <f t="shared" si="1"/>
        <v>#REF!</v>
      </c>
      <c r="E21" s="41">
        <f t="shared" si="2"/>
        <v>3.6572E-2</v>
      </c>
      <c r="G21" s="111">
        <f t="shared" si="3"/>
        <v>631.28590088645501</v>
      </c>
      <c r="H21" s="112">
        <f t="shared" si="4"/>
        <v>65.854320002149208</v>
      </c>
      <c r="I21" s="39">
        <f t="shared" si="5"/>
        <v>1.5069952078806694</v>
      </c>
      <c r="J21" s="39">
        <f t="shared" si="6"/>
        <v>1.5069952078806694</v>
      </c>
      <c r="K21" s="112">
        <f t="shared" si="7"/>
        <v>272.23309080975645</v>
      </c>
      <c r="L21" s="112">
        <f t="shared" si="8"/>
        <v>2.1164661778039835</v>
      </c>
      <c r="M21" s="39">
        <f t="shared" si="0"/>
        <v>974.50376829192589</v>
      </c>
      <c r="N21" s="116">
        <f t="shared" si="9"/>
        <v>644211.04298412357</v>
      </c>
      <c r="O21" s="37">
        <f t="shared" si="10"/>
        <v>700.1542113043655</v>
      </c>
      <c r="P21" s="36">
        <f>(uNES*G21+ uOCEX*H21+uEREX*'A -UC UC'!I21+uHOEX*'A -UC UC'!J21)/(1+oDR)^A$5:A$65536</f>
        <v>368.86500700182989</v>
      </c>
      <c r="Q21" s="33"/>
      <c r="R21" s="33"/>
    </row>
    <row r="22" spans="1:18" x14ac:dyDescent="0.25">
      <c r="A22" s="4">
        <v>16</v>
      </c>
      <c r="C22" s="41" t="e">
        <f t="shared" si="1"/>
        <v>#REF!</v>
      </c>
      <c r="E22" s="41">
        <f t="shared" si="2"/>
        <v>4.0275999999999999E-2</v>
      </c>
      <c r="G22" s="111">
        <f t="shared" si="3"/>
        <v>605.52387153927134</v>
      </c>
      <c r="H22" s="112">
        <f t="shared" si="4"/>
        <v>63.413989952642531</v>
      </c>
      <c r="I22" s="39">
        <f t="shared" si="5"/>
        <v>1.45115125276681</v>
      </c>
      <c r="J22" s="39">
        <f t="shared" si="6"/>
        <v>1.45115125276681</v>
      </c>
      <c r="K22" s="112">
        <f t="shared" si="7"/>
        <v>300.43250182425106</v>
      </c>
      <c r="L22" s="112">
        <f t="shared" si="8"/>
        <v>2.2311024702274644</v>
      </c>
      <c r="M22" s="39">
        <f t="shared" si="0"/>
        <v>974.50376829192612</v>
      </c>
      <c r="N22" s="116">
        <f t="shared" si="9"/>
        <v>582978.08223115746</v>
      </c>
      <c r="O22" s="37">
        <f t="shared" si="10"/>
        <v>671.84016399744758</v>
      </c>
      <c r="P22" s="36">
        <f>(uNES*G22+ uOCEX*H22+uEREX*'A -UC UC'!I22+uHOEX*'A -UC UC'!J22)/(1+oDR)^A$5:A$65536</f>
        <v>348.69815133163701</v>
      </c>
      <c r="Q22" s="33"/>
      <c r="R22" s="33"/>
    </row>
    <row r="23" spans="1:18" x14ac:dyDescent="0.25">
      <c r="A23" s="4">
        <v>17</v>
      </c>
      <c r="C23" s="41" t="e">
        <f t="shared" si="1"/>
        <v>#REF!</v>
      </c>
      <c r="E23" s="41">
        <f t="shared" si="2"/>
        <v>4.4347999999999999E-2</v>
      </c>
      <c r="G23" s="111">
        <f t="shared" si="3"/>
        <v>578.32536836511815</v>
      </c>
      <c r="H23" s="112">
        <f t="shared" si="4"/>
        <v>60.826140187761077</v>
      </c>
      <c r="I23" s="39">
        <f t="shared" si="5"/>
        <v>1.391931490202043</v>
      </c>
      <c r="J23" s="39">
        <f t="shared" si="6"/>
        <v>1.391931490202043</v>
      </c>
      <c r="K23" s="112">
        <f t="shared" si="7"/>
        <v>330.22726941720987</v>
      </c>
      <c r="L23" s="112">
        <f t="shared" si="8"/>
        <v>2.3411273414327813</v>
      </c>
      <c r="M23" s="39">
        <f t="shared" si="0"/>
        <v>974.50376829192601</v>
      </c>
      <c r="N23" s="116">
        <f t="shared" si="9"/>
        <v>525308.77424357494</v>
      </c>
      <c r="O23" s="37">
        <f t="shared" si="10"/>
        <v>641.93537153328339</v>
      </c>
      <c r="P23" s="36">
        <f>(uNES*G23+ uOCEX*H23+uEREX*'A -UC UC'!I23+uHOEX*'A -UC UC'!J23)/(1+oDR)^A$5:A$65536</f>
        <v>328.23315004922091</v>
      </c>
      <c r="Q23" s="33"/>
      <c r="R23" s="33"/>
    </row>
    <row r="24" spans="1:18" x14ac:dyDescent="0.25">
      <c r="A24" s="4">
        <v>18</v>
      </c>
      <c r="C24" s="41" t="e">
        <f t="shared" si="1"/>
        <v>#REF!</v>
      </c>
      <c r="E24" s="41">
        <f t="shared" si="2"/>
        <v>4.8797E-2</v>
      </c>
      <c r="G24" s="111">
        <f t="shared" si="3"/>
        <v>549.75288501517559</v>
      </c>
      <c r="H24" s="112">
        <f t="shared" si="4"/>
        <v>58.09399362058646</v>
      </c>
      <c r="I24" s="39">
        <f t="shared" si="5"/>
        <v>1.3294096725927289</v>
      </c>
      <c r="J24" s="39">
        <f t="shared" si="6"/>
        <v>1.3294096725927289</v>
      </c>
      <c r="K24" s="112">
        <f t="shared" si="7"/>
        <v>361.55178974191949</v>
      </c>
      <c r="L24" s="112">
        <f t="shared" si="8"/>
        <v>2.4462805690589962</v>
      </c>
      <c r="M24" s="39">
        <f t="shared" si="0"/>
        <v>974.50376829192612</v>
      </c>
      <c r="N24" s="116">
        <f t="shared" si="9"/>
        <v>471122.85741497949</v>
      </c>
      <c r="O24" s="37">
        <f t="shared" si="10"/>
        <v>610.5056979809475</v>
      </c>
      <c r="P24" s="36">
        <f>(uNES*G24+ uOCEX*H24+uEREX*'A -UC UC'!I24+uHOEX*'A -UC UC'!J24)/(1+oDR)^A$5:A$65536</f>
        <v>307.52867760934726</v>
      </c>
      <c r="Q24" s="33"/>
      <c r="R24" s="33"/>
    </row>
    <row r="25" spans="1:18" x14ac:dyDescent="0.25">
      <c r="A25" s="4">
        <v>19</v>
      </c>
      <c r="C25" s="41" t="e">
        <f t="shared" si="1"/>
        <v>#REF!</v>
      </c>
      <c r="E25" s="41">
        <f t="shared" si="2"/>
        <v>5.3739000000000002E-2</v>
      </c>
      <c r="G25" s="111">
        <f t="shared" si="3"/>
        <v>519.84641367734321</v>
      </c>
      <c r="H25" s="112">
        <f t="shared" si="4"/>
        <v>55.223827869171714</v>
      </c>
      <c r="I25" s="39">
        <f t="shared" si="5"/>
        <v>1.26372945551564</v>
      </c>
      <c r="J25" s="39">
        <f t="shared" si="6"/>
        <v>1.26372945551564</v>
      </c>
      <c r="K25" s="112">
        <f t="shared" si="7"/>
        <v>394.35975544571761</v>
      </c>
      <c r="L25" s="112">
        <f t="shared" si="8"/>
        <v>2.5463123886621601</v>
      </c>
      <c r="M25" s="39">
        <f t="shared" si="0"/>
        <v>974.50376829192601</v>
      </c>
      <c r="N25" s="116">
        <f t="shared" si="9"/>
        <v>420309.96387944045</v>
      </c>
      <c r="O25" s="37">
        <f t="shared" si="10"/>
        <v>577.59770045754624</v>
      </c>
      <c r="P25" s="36">
        <f>(uNES*G25+ uOCEX*H25+uEREX*'A -UC UC'!I25+uHOEX*'A -UC UC'!J25)/(1+oDR)^A$5:A$65536</f>
        <v>286.63058666387849</v>
      </c>
      <c r="Q25" s="33"/>
      <c r="R25" s="33"/>
    </row>
    <row r="26" spans="1:18" x14ac:dyDescent="0.25">
      <c r="A26" s="4">
        <v>20</v>
      </c>
      <c r="C26" s="41" t="e">
        <f t="shared" si="1"/>
        <v>#REF!</v>
      </c>
      <c r="E26" s="41">
        <f t="shared" si="2"/>
        <v>5.9402999999999997E-2</v>
      </c>
      <c r="G26" s="111">
        <f t="shared" si="3"/>
        <v>488.5823700067341</v>
      </c>
      <c r="H26" s="112">
        <f t="shared" si="4"/>
        <v>52.219660232490405</v>
      </c>
      <c r="I26" s="39">
        <f t="shared" si="5"/>
        <v>1.1949827699223308</v>
      </c>
      <c r="J26" s="39">
        <f t="shared" si="6"/>
        <v>1.1949827699223308</v>
      </c>
      <c r="K26" s="112">
        <f t="shared" si="7"/>
        <v>428.67079164599721</v>
      </c>
      <c r="L26" s="112">
        <f t="shared" si="8"/>
        <v>2.6409808668595751</v>
      </c>
      <c r="M26" s="39">
        <f t="shared" si="0"/>
        <v>974.50376829192601</v>
      </c>
      <c r="N26" s="116">
        <f t="shared" si="9"/>
        <v>372705.58556487644</v>
      </c>
      <c r="O26" s="37">
        <f t="shared" si="10"/>
        <v>543.1919957790692</v>
      </c>
      <c r="P26" s="36">
        <f>(uNES*G26+ uOCEX*H26+uEREX*'A -UC UC'!I26+uHOEX*'A -UC UC'!J26)/(1+oDR)^A$5:A$65536</f>
        <v>265.550011764305</v>
      </c>
      <c r="Q26" s="33"/>
      <c r="R26" s="33"/>
    </row>
    <row r="27" spans="1:18" x14ac:dyDescent="0.25">
      <c r="A27" s="4">
        <v>21</v>
      </c>
      <c r="C27" s="41" t="e">
        <f t="shared" si="1"/>
        <v>#REF!</v>
      </c>
      <c r="E27" s="41">
        <f t="shared" si="2"/>
        <v>6.5873000000000001E-2</v>
      </c>
      <c r="G27" s="111">
        <f t="shared" si="3"/>
        <v>455.99589635304193</v>
      </c>
      <c r="H27" s="112">
        <f t="shared" si="4"/>
        <v>49.079121613739318</v>
      </c>
      <c r="I27" s="39">
        <f t="shared" si="5"/>
        <v>1.123115401943015</v>
      </c>
      <c r="J27" s="39">
        <f t="shared" si="6"/>
        <v>1.123115401943015</v>
      </c>
      <c r="K27" s="112">
        <f t="shared" si="7"/>
        <v>464.45247798395184</v>
      </c>
      <c r="L27" s="112">
        <f t="shared" si="8"/>
        <v>2.7300415373068234</v>
      </c>
      <c r="M27" s="39">
        <f t="shared" si="0"/>
        <v>974.50376829192612</v>
      </c>
      <c r="N27" s="116">
        <f t="shared" si="9"/>
        <v>328192.52498062403</v>
      </c>
      <c r="O27" s="37">
        <f t="shared" si="10"/>
        <v>507.3212487706673</v>
      </c>
      <c r="P27" s="36">
        <f>(uNES*G27+ uOCEX*H27+uEREX*'A -UC UC'!I27+uHOEX*'A -UC UC'!J27)/(1+oDR)^A$5:A$65536</f>
        <v>244.32391880380803</v>
      </c>
      <c r="Q27" s="33"/>
      <c r="R27" s="33"/>
    </row>
    <row r="28" spans="1:18" x14ac:dyDescent="0.25">
      <c r="A28" s="4">
        <v>22</v>
      </c>
      <c r="C28" s="41" t="e">
        <f t="shared" si="1"/>
        <v>#REF!</v>
      </c>
      <c r="E28" s="41">
        <f t="shared" si="2"/>
        <v>7.3081999999999994E-2</v>
      </c>
      <c r="G28" s="111">
        <f t="shared" si="3"/>
        <v>422.25982571664105</v>
      </c>
      <c r="H28" s="112">
        <f t="shared" si="4"/>
        <v>45.805742135494071</v>
      </c>
      <c r="I28" s="39">
        <f t="shared" si="5"/>
        <v>1.0482081340959015</v>
      </c>
      <c r="J28" s="39">
        <f t="shared" si="6"/>
        <v>1.0482081340959015</v>
      </c>
      <c r="K28" s="112">
        <f t="shared" si="7"/>
        <v>501.52852948660973</v>
      </c>
      <c r="L28" s="112">
        <f t="shared" si="8"/>
        <v>2.8132546849892734</v>
      </c>
      <c r="M28" s="39">
        <f t="shared" si="0"/>
        <v>974.50376829192589</v>
      </c>
      <c r="N28" s="116">
        <f t="shared" si="9"/>
        <v>286743.10942844185</v>
      </c>
      <c r="O28" s="37">
        <f t="shared" si="10"/>
        <v>470.16198412032691</v>
      </c>
      <c r="P28" s="36">
        <f>(uNES*G28+ uOCEX*H28+uEREX*'A -UC UC'!I28+uHOEX*'A -UC UC'!J28)/(1+oDR)^A$5:A$65536</f>
        <v>223.05647618590359</v>
      </c>
      <c r="Q28" s="33"/>
      <c r="R28" s="33"/>
    </row>
    <row r="29" spans="1:18" x14ac:dyDescent="0.25">
      <c r="A29" s="4">
        <v>23</v>
      </c>
      <c r="C29" s="41" t="e">
        <f t="shared" si="1"/>
        <v>#REF!</v>
      </c>
      <c r="E29" s="41">
        <f t="shared" si="2"/>
        <v>8.1070000000000003E-2</v>
      </c>
      <c r="G29" s="111">
        <f t="shared" si="3"/>
        <v>387.61059893200382</v>
      </c>
      <c r="H29" s="112">
        <f t="shared" si="4"/>
        <v>42.416883234361805</v>
      </c>
      <c r="I29" s="39">
        <f t="shared" si="5"/>
        <v>0.97065826152834023</v>
      </c>
      <c r="J29" s="39">
        <f t="shared" si="6"/>
        <v>0.97065826152834023</v>
      </c>
      <c r="K29" s="112">
        <f t="shared" si="7"/>
        <v>539.64456153924459</v>
      </c>
      <c r="L29" s="112">
        <f t="shared" si="8"/>
        <v>2.890408063258993</v>
      </c>
      <c r="M29" s="39">
        <f t="shared" si="0"/>
        <v>974.50376829192589</v>
      </c>
      <c r="N29" s="116">
        <f t="shared" si="9"/>
        <v>248348.09226612534</v>
      </c>
      <c r="O29" s="37">
        <f t="shared" si="10"/>
        <v>431.96879868942233</v>
      </c>
      <c r="P29" s="36">
        <f>(uNES*G29+ uOCEX*H29+uEREX*'A -UC UC'!I29+uHOEX*'A -UC UC'!J29)/(1+oDR)^A$5:A$65536</f>
        <v>201.88215004595824</v>
      </c>
      <c r="Q29" s="33"/>
      <c r="R29" s="33"/>
    </row>
    <row r="30" spans="1:18" x14ac:dyDescent="0.25">
      <c r="A30" s="4">
        <v>24</v>
      </c>
      <c r="C30" s="41" t="e">
        <f t="shared" si="1"/>
        <v>#REF!</v>
      </c>
      <c r="E30" s="41">
        <f t="shared" si="2"/>
        <v>8.9946999999999999E-2</v>
      </c>
      <c r="G30" s="111">
        <f t="shared" si="3"/>
        <v>352.32526434934221</v>
      </c>
      <c r="H30" s="112">
        <f t="shared" si="4"/>
        <v>38.936295887008676</v>
      </c>
      <c r="I30" s="39">
        <f t="shared" si="5"/>
        <v>0.89100929616205782</v>
      </c>
      <c r="J30" s="39">
        <f t="shared" si="6"/>
        <v>0.89100929616205782</v>
      </c>
      <c r="K30" s="112">
        <f t="shared" si="7"/>
        <v>578.49885907496207</v>
      </c>
      <c r="L30" s="112">
        <f t="shared" si="8"/>
        <v>2.9613303882888538</v>
      </c>
      <c r="M30" s="39">
        <f t="shared" si="0"/>
        <v>974.50376829192589</v>
      </c>
      <c r="N30" s="116">
        <f t="shared" si="9"/>
        <v>212994.59956341659</v>
      </c>
      <c r="O30" s="37">
        <f t="shared" si="10"/>
        <v>393.04357882867498</v>
      </c>
      <c r="P30" s="36">
        <f>(uNES*G30+ uOCEX*H30+uEREX*'A -UC UC'!I30+uHOEX*'A -UC UC'!J30)/(1+oDR)^A$5:A$65536</f>
        <v>180.94941342056504</v>
      </c>
      <c r="Q30" s="33"/>
      <c r="R30" s="33"/>
    </row>
    <row r="31" spans="1:18" x14ac:dyDescent="0.25">
      <c r="A31" s="4">
        <v>25</v>
      </c>
      <c r="C31" s="41" t="e">
        <f t="shared" si="1"/>
        <v>#REF!</v>
      </c>
      <c r="E31" s="41">
        <f t="shared" si="2"/>
        <v>9.9842E-2</v>
      </c>
      <c r="G31" s="111">
        <f t="shared" si="3"/>
        <v>316.72514655406474</v>
      </c>
      <c r="H31" s="112">
        <f t="shared" si="4"/>
        <v>35.39181018004372</v>
      </c>
      <c r="I31" s="39">
        <f t="shared" si="5"/>
        <v>0.80989809533843093</v>
      </c>
      <c r="J31" s="39">
        <f t="shared" si="6"/>
        <v>0.80989809533843093</v>
      </c>
      <c r="K31" s="112">
        <f t="shared" si="7"/>
        <v>617.74111607237467</v>
      </c>
      <c r="L31" s="112">
        <f t="shared" si="8"/>
        <v>3.0258992947659946</v>
      </c>
      <c r="M31" s="39">
        <f t="shared" si="0"/>
        <v>974.50376829192589</v>
      </c>
      <c r="N31" s="116">
        <f t="shared" si="9"/>
        <v>180665.84121763112</v>
      </c>
      <c r="O31" s="37">
        <f t="shared" si="10"/>
        <v>353.73675292478532</v>
      </c>
      <c r="P31" s="36">
        <f>(uNES*G31+ uOCEX*H31+uEREX*'A -UC UC'!I31+uHOEX*'A -UC UC'!J31)/(1+oDR)^A$5:A$65536</f>
        <v>160.42017628888826</v>
      </c>
      <c r="Q31" s="33"/>
      <c r="R31" s="33"/>
    </row>
    <row r="32" spans="1:18" x14ac:dyDescent="0.25">
      <c r="A32" s="4">
        <v>26</v>
      </c>
      <c r="C32" s="41" t="e">
        <f t="shared" si="1"/>
        <v>#REF!</v>
      </c>
      <c r="E32" s="41">
        <f t="shared" si="2"/>
        <v>0.110863</v>
      </c>
      <c r="G32" s="111">
        <f t="shared" si="3"/>
        <v>281.19045491880377</v>
      </c>
      <c r="H32" s="112">
        <f t="shared" si="4"/>
        <v>31.815703840566538</v>
      </c>
      <c r="I32" s="39">
        <f t="shared" si="5"/>
        <v>0.72806329518731083</v>
      </c>
      <c r="J32" s="39">
        <f t="shared" si="6"/>
        <v>0.72806329518731083</v>
      </c>
      <c r="K32" s="112">
        <f t="shared" si="7"/>
        <v>656.95743371187518</v>
      </c>
      <c r="L32" s="112">
        <f t="shared" si="8"/>
        <v>3.084049230305919</v>
      </c>
      <c r="M32" s="39">
        <f t="shared" si="0"/>
        <v>974.50376829192601</v>
      </c>
      <c r="N32" s="116">
        <f t="shared" si="9"/>
        <v>151346.79562554124</v>
      </c>
      <c r="O32" s="37">
        <f t="shared" si="10"/>
        <v>314.46228534974495</v>
      </c>
      <c r="P32" s="36">
        <f>(uNES*G32+ uOCEX*H32+uEREX*'A -UC UC'!I32+uHOEX*'A -UC UC'!J32)/(1+oDR)^A$5:A$65536</f>
        <v>140.47525405122698</v>
      </c>
      <c r="Q32" s="33"/>
      <c r="R32" s="33"/>
    </row>
    <row r="33" spans="1:18" x14ac:dyDescent="0.25">
      <c r="A33" s="4">
        <v>27</v>
      </c>
      <c r="C33" s="41" t="e">
        <f t="shared" si="1"/>
        <v>#REF!</v>
      </c>
      <c r="E33" s="41">
        <f t="shared" si="2"/>
        <v>0.123088</v>
      </c>
      <c r="G33" s="111">
        <f t="shared" si="3"/>
        <v>246.16509163129896</v>
      </c>
      <c r="H33" s="112">
        <f t="shared" si="4"/>
        <v>28.246169695792421</v>
      </c>
      <c r="I33" s="39">
        <f t="shared" si="5"/>
        <v>0.64637889163769613</v>
      </c>
      <c r="J33" s="39">
        <f t="shared" si="6"/>
        <v>0.64637889163769613</v>
      </c>
      <c r="K33" s="112">
        <f t="shared" si="7"/>
        <v>695.66396749100454</v>
      </c>
      <c r="L33" s="112">
        <f t="shared" si="8"/>
        <v>3.1357816905546811</v>
      </c>
      <c r="M33" s="39">
        <f t="shared" si="0"/>
        <v>974.50376829192601</v>
      </c>
      <c r="N33" s="116">
        <f t="shared" si="9"/>
        <v>125023.04195496794</v>
      </c>
      <c r="O33" s="37">
        <f t="shared" si="10"/>
        <v>275.7040191103668</v>
      </c>
      <c r="P33" s="36">
        <f>(uNES*G33+ uOCEX*H33+uEREX*'A -UC UC'!I33+uHOEX*'A -UC UC'!J33)/(1+oDR)^A$5:A$65536</f>
        <v>121.31534485058737</v>
      </c>
      <c r="Q33" s="33"/>
      <c r="R33" s="33"/>
    </row>
    <row r="34" spans="1:18" x14ac:dyDescent="0.25">
      <c r="A34" s="4">
        <v>28</v>
      </c>
      <c r="C34" s="41" t="e">
        <f t="shared" si="1"/>
        <v>#REF!</v>
      </c>
      <c r="E34" s="41">
        <f t="shared" si="2"/>
        <v>0.13656299999999999</v>
      </c>
      <c r="G34" s="111">
        <f t="shared" si="3"/>
        <v>212.1481270158518</v>
      </c>
      <c r="H34" s="112">
        <f t="shared" si="4"/>
        <v>24.727798649515915</v>
      </c>
      <c r="I34" s="39">
        <f t="shared" si="5"/>
        <v>0.56586529274074071</v>
      </c>
      <c r="J34" s="39">
        <f t="shared" si="6"/>
        <v>0.56586529274074071</v>
      </c>
      <c r="K34" s="112">
        <f t="shared" si="7"/>
        <v>733.31493545277351</v>
      </c>
      <c r="L34" s="112">
        <f t="shared" si="8"/>
        <v>3.1811765883032286</v>
      </c>
      <c r="M34" s="39">
        <f t="shared" si="0"/>
        <v>974.50376829192589</v>
      </c>
      <c r="N34" s="116">
        <f t="shared" si="9"/>
        <v>101673.26926942714</v>
      </c>
      <c r="O34" s="37">
        <f t="shared" si="10"/>
        <v>238.00765625084921</v>
      </c>
      <c r="P34" s="36">
        <f>(uNES*G34+ uOCEX*H34+uEREX*'A -UC UC'!I34+uHOEX*'A -UC UC'!J34)/(1+oDR)^A$5:A$65536</f>
        <v>103.15558621279455</v>
      </c>
      <c r="Q34" s="33"/>
      <c r="R34" s="33"/>
    </row>
    <row r="35" spans="1:18" x14ac:dyDescent="0.25">
      <c r="A35" s="4">
        <v>29</v>
      </c>
      <c r="C35" s="41" t="e">
        <f t="shared" si="1"/>
        <v>#REF!</v>
      </c>
      <c r="E35" s="41">
        <f t="shared" si="2"/>
        <v>0.15129899999999999</v>
      </c>
      <c r="G35" s="111">
        <f t="shared" si="3"/>
        <v>179.67204720487888</v>
      </c>
      <c r="H35" s="112">
        <f t="shared" si="4"/>
        <v>21.310723360309741</v>
      </c>
      <c r="I35" s="39">
        <f t="shared" si="5"/>
        <v>0.48766972279737025</v>
      </c>
      <c r="J35" s="39">
        <f t="shared" si="6"/>
        <v>0.48766972279737025</v>
      </c>
      <c r="K35" s="112">
        <f t="shared" si="7"/>
        <v>769.32525583587073</v>
      </c>
      <c r="L35" s="112">
        <f t="shared" si="8"/>
        <v>3.2204024452718674</v>
      </c>
      <c r="M35" s="39">
        <f t="shared" si="0"/>
        <v>974.50376829192589</v>
      </c>
      <c r="N35" s="116">
        <f t="shared" si="9"/>
        <v>81258.036835454652</v>
      </c>
      <c r="O35" s="37">
        <f t="shared" si="10"/>
        <v>201.95811001078334</v>
      </c>
      <c r="P35" s="36">
        <f>(uNES*G35+ uOCEX*H35+uEREX*'A -UC UC'!I35+uHOEX*'A -UC UC'!J35)/(1+oDR)^A$5:A$65536</f>
        <v>86.214258085660362</v>
      </c>
      <c r="Q35" s="33"/>
      <c r="R35" s="33"/>
    </row>
    <row r="36" spans="1:18" x14ac:dyDescent="0.25">
      <c r="A36" s="4">
        <v>30</v>
      </c>
      <c r="C36" s="41" t="e">
        <f t="shared" si="1"/>
        <v>#REF!</v>
      </c>
      <c r="E36" s="41">
        <f t="shared" si="2"/>
        <v>0.167291</v>
      </c>
      <c r="G36" s="111">
        <f t="shared" si="3"/>
        <v>149.26454964456642</v>
      </c>
      <c r="H36" s="112">
        <f t="shared" si="4"/>
        <v>18.048433174607226</v>
      </c>
      <c r="I36" s="39">
        <f t="shared" si="5"/>
        <v>0.41301621978633946</v>
      </c>
      <c r="J36" s="39">
        <f t="shared" si="6"/>
        <v>0.41301621978633946</v>
      </c>
      <c r="K36" s="112">
        <f t="shared" si="7"/>
        <v>803.1110300176847</v>
      </c>
      <c r="L36" s="112">
        <f t="shared" si="8"/>
        <v>3.253723015494959</v>
      </c>
      <c r="M36" s="39">
        <f t="shared" si="0"/>
        <v>974.50376829192601</v>
      </c>
      <c r="N36" s="116">
        <f t="shared" si="9"/>
        <v>63705.394962120117</v>
      </c>
      <c r="O36" s="37">
        <f t="shared" si="10"/>
        <v>168.1390152587463</v>
      </c>
      <c r="P36" s="36">
        <f>(uNES*G36+ uOCEX*H36+uEREX*'A -UC UC'!I36+uHOEX*'A -UC UC'!J36)/(1+oDR)^A$5:A$65536</f>
        <v>70.694884120358282</v>
      </c>
      <c r="Q36" s="33"/>
      <c r="R36" s="33"/>
    </row>
    <row r="37" spans="1:18" x14ac:dyDescent="0.25">
      <c r="A37" s="4">
        <v>31</v>
      </c>
      <c r="C37" s="41" t="e">
        <f t="shared" si="1"/>
        <v>#REF!</v>
      </c>
      <c r="E37" s="41">
        <f t="shared" si="2"/>
        <v>0.18451999999999999</v>
      </c>
      <c r="G37" s="111">
        <f t="shared" si="3"/>
        <v>121.406057688356</v>
      </c>
      <c r="H37" s="112">
        <f t="shared" si="4"/>
        <v>14.993936405287679</v>
      </c>
      <c r="I37" s="39">
        <f t="shared" si="5"/>
        <v>0.34311781382449336</v>
      </c>
      <c r="J37" s="39">
        <f t="shared" si="6"/>
        <v>0.34311781382449336</v>
      </c>
      <c r="K37" s="112">
        <f t="shared" si="7"/>
        <v>834.13604111322854</v>
      </c>
      <c r="L37" s="112">
        <f t="shared" si="8"/>
        <v>3.2814974574047366</v>
      </c>
      <c r="M37" s="39">
        <f t="shared" si="0"/>
        <v>974.50376829192589</v>
      </c>
      <c r="N37" s="116">
        <f t="shared" si="9"/>
        <v>48900.18567015788</v>
      </c>
      <c r="O37" s="37">
        <f t="shared" si="10"/>
        <v>137.08622972129268</v>
      </c>
      <c r="P37" s="36">
        <f>(uNES*G37+ uOCEX*H37+uEREX*'A -UC UC'!I37+uHOEX*'A -UC UC'!J37)/(1+oDR)^A$5:A$65536</f>
        <v>56.767475897082001</v>
      </c>
      <c r="Q37" s="33"/>
      <c r="R37" s="33"/>
    </row>
    <row r="38" spans="1:18" x14ac:dyDescent="0.25">
      <c r="A38" s="4">
        <v>32</v>
      </c>
      <c r="C38" s="41" t="e">
        <f t="shared" si="1"/>
        <v>#REF!</v>
      </c>
      <c r="E38" s="41">
        <f t="shared" si="2"/>
        <v>0.202954</v>
      </c>
      <c r="G38" s="111">
        <f t="shared" si="3"/>
        <v>96.487705246731025</v>
      </c>
      <c r="H38" s="112">
        <f t="shared" si="4"/>
        <v>12.195492583674989</v>
      </c>
      <c r="I38" s="39">
        <f t="shared" si="5"/>
        <v>0.27907886499690004</v>
      </c>
      <c r="J38" s="39">
        <f t="shared" si="6"/>
        <v>0.27907886499690004</v>
      </c>
      <c r="K38" s="112">
        <f t="shared" si="7"/>
        <v>861.95823978008377</v>
      </c>
      <c r="L38" s="112">
        <f t="shared" si="8"/>
        <v>3.3041729514423674</v>
      </c>
      <c r="M38" s="39">
        <f t="shared" si="0"/>
        <v>974.50376829192601</v>
      </c>
      <c r="N38" s="116">
        <f t="shared" si="9"/>
        <v>36678.464167078462</v>
      </c>
      <c r="O38" s="37">
        <f t="shared" si="10"/>
        <v>109.24135556039982</v>
      </c>
      <c r="P38" s="36">
        <f>(uNES*G38+ uOCEX*H38+uEREX*'A -UC UC'!I38+uHOEX*'A -UC UC'!J38)/(1+oDR)^A$5:A$65536</f>
        <v>44.551511636726715</v>
      </c>
      <c r="Q38" s="33"/>
      <c r="R38" s="33"/>
    </row>
    <row r="39" spans="1:18" x14ac:dyDescent="0.25">
      <c r="A39" s="4">
        <v>33</v>
      </c>
      <c r="C39" s="41" t="e">
        <f t="shared" ref="C39:C66" si="11">1-EXP(lambda*(A38^gamma-A39^gamma))</f>
        <v>#REF!</v>
      </c>
      <c r="E39" s="41">
        <f t="shared" ref="E39:E66" si="12">IF(male=0,VLOOKUP(A$5:A$65536+age,Lifetable,2,1),IF(male=1,VLOOKUP(A$5:A$65536+age,Lifetable,5,1),"error"))</f>
        <v>0.222555</v>
      </c>
      <c r="G39" s="111">
        <f t="shared" ref="G39:G66" si="13">H38*(1-mr)+I38*(1-mr)+J38*(1-(mr+amr+amrHOEX))+G38*(1-(mr+rrOSEX+rrEREX+rrHOEX+amr))</f>
        <v>74.775060012842388</v>
      </c>
      <c r="H39" s="112">
        <f t="shared" ref="H39:H66" si="14">G38*(rrOSEX)</f>
        <v>9.6923919296753898</v>
      </c>
      <c r="I39" s="39">
        <f t="shared" ref="I39:I66" si="15">G38*(rrEREX)</f>
        <v>0.22179848171608785</v>
      </c>
      <c r="J39" s="39">
        <f t="shared" ref="J39:J66" si="16">G38*(rrHOEX)</f>
        <v>0.22179848171608785</v>
      </c>
      <c r="K39" s="112">
        <f t="shared" ref="K39:K66" si="17">(G38*mr)+(H38*mr)+(I38*mr)+(J38*mr)+K38</f>
        <v>886.27044966682854</v>
      </c>
      <c r="L39" s="112">
        <f t="shared" ref="L39:L66" si="18">(G38*amr)+(J38*(amr+amrHOEX))+L38</f>
        <v>3.322269719147442</v>
      </c>
      <c r="M39" s="39">
        <f t="shared" si="0"/>
        <v>974.50376829192601</v>
      </c>
      <c r="N39" s="116">
        <f t="shared" ref="N39:N66" si="19">(cNES*G39+cOSEX*H39+cEREX*I39+cHOEX*J39)/(1+cDR)^A$5:A$65536</f>
        <v>26827.802003888941</v>
      </c>
      <c r="O39" s="37">
        <f t="shared" si="10"/>
        <v>84.911048905949954</v>
      </c>
      <c r="P39" s="36">
        <f>(uNES*G39+ uOCEX*H39+uEREX*'A -UC UC'!I39+uHOEX*'A -UC UC'!J39)/(1+oDR)^A$5:A$65536</f>
        <v>34.102885903159915</v>
      </c>
      <c r="Q39" s="33"/>
      <c r="R39" s="33"/>
    </row>
    <row r="40" spans="1:18" x14ac:dyDescent="0.25">
      <c r="A40" s="4">
        <v>34</v>
      </c>
      <c r="C40" s="41" t="e">
        <f t="shared" si="11"/>
        <v>#REF!</v>
      </c>
      <c r="E40" s="41">
        <f t="shared" si="12"/>
        <v>0.24327199999999999</v>
      </c>
      <c r="G40" s="111">
        <f t="shared" si="13"/>
        <v>56.385393063977112</v>
      </c>
      <c r="H40" s="112">
        <f t="shared" si="14"/>
        <v>7.511311273868448</v>
      </c>
      <c r="I40" s="39">
        <f t="shared" si="15"/>
        <v>0.17188713047603221</v>
      </c>
      <c r="J40" s="39">
        <f t="shared" si="16"/>
        <v>0.17188713047603221</v>
      </c>
      <c r="K40" s="112">
        <f t="shared" si="17"/>
        <v>906.92693035627678</v>
      </c>
      <c r="L40" s="112">
        <f t="shared" si="18"/>
        <v>3.3363593368515212</v>
      </c>
      <c r="M40" s="39">
        <f t="shared" si="0"/>
        <v>974.50376829192589</v>
      </c>
      <c r="N40" s="116">
        <f t="shared" si="19"/>
        <v>19094.406210771856</v>
      </c>
      <c r="O40" s="37">
        <f t="shared" si="10"/>
        <v>64.240478598797623</v>
      </c>
      <c r="P40" s="36">
        <f>(uNES*G40+ uOCEX*H40+uEREX*'A -UC UC'!I40+uHOEX*'A -UC UC'!J40)/(1+oDR)^A$5:A$65536</f>
        <v>25.407837670652249</v>
      </c>
      <c r="Q40" s="33"/>
      <c r="R40" s="33"/>
    </row>
    <row r="41" spans="1:18" x14ac:dyDescent="0.25">
      <c r="A41" s="4">
        <v>35</v>
      </c>
      <c r="C41" s="41" t="e">
        <f t="shared" si="11"/>
        <v>#REF!</v>
      </c>
      <c r="E41" s="41">
        <f t="shared" si="12"/>
        <v>0.26382100000000003</v>
      </c>
      <c r="G41" s="111">
        <f t="shared" si="13"/>
        <v>41.358552542019261</v>
      </c>
      <c r="H41" s="112">
        <f t="shared" si="14"/>
        <v>5.6640307414024864</v>
      </c>
      <c r="I41" s="39">
        <f t="shared" si="15"/>
        <v>0.12961438496827199</v>
      </c>
      <c r="J41" s="39">
        <f t="shared" si="16"/>
        <v>0.12961438496827199</v>
      </c>
      <c r="K41" s="112">
        <f t="shared" si="17"/>
        <v>923.87491766069013</v>
      </c>
      <c r="L41" s="112">
        <f t="shared" si="18"/>
        <v>3.3470385778774632</v>
      </c>
      <c r="M41" s="39">
        <f t="shared" si="0"/>
        <v>974.50376829192589</v>
      </c>
      <c r="N41" s="116">
        <f t="shared" si="19"/>
        <v>13219.791202898816</v>
      </c>
      <c r="O41" s="37">
        <f t="shared" si="10"/>
        <v>47.281812053358287</v>
      </c>
      <c r="P41" s="36">
        <f>(uNES*G41+ uOCEX*H41+uEREX*'A -UC UC'!I41+uHOEX*'A -UC UC'!J41)/(1+oDR)^A$5:A$65536</f>
        <v>18.415281436775281</v>
      </c>
      <c r="Q41" s="33"/>
      <c r="R41" s="33"/>
    </row>
    <row r="42" spans="1:18" x14ac:dyDescent="0.25">
      <c r="A42" s="4">
        <v>36</v>
      </c>
      <c r="C42" s="41" t="e">
        <f t="shared" si="11"/>
        <v>#REF!</v>
      </c>
      <c r="E42" s="41">
        <f t="shared" si="12"/>
        <v>0.283833</v>
      </c>
      <c r="G42" s="111">
        <f t="shared" si="13"/>
        <v>29.509101708240244</v>
      </c>
      <c r="H42" s="112">
        <f t="shared" si="14"/>
        <v>4.1545531615273257</v>
      </c>
      <c r="I42" s="39">
        <f t="shared" si="15"/>
        <v>9.5071845022510829E-2</v>
      </c>
      <c r="J42" s="39">
        <f t="shared" si="16"/>
        <v>9.5071845022510829E-2</v>
      </c>
      <c r="K42" s="112">
        <f t="shared" si="17"/>
        <v>937.29505622123099</v>
      </c>
      <c r="L42" s="112">
        <f t="shared" si="18"/>
        <v>3.3549135108823154</v>
      </c>
      <c r="M42" s="39">
        <f t="shared" si="0"/>
        <v>974.50376829192589</v>
      </c>
      <c r="N42" s="116">
        <f t="shared" si="19"/>
        <v>8903.0972599578272</v>
      </c>
      <c r="O42" s="37">
        <f t="shared" si="10"/>
        <v>33.853798559812589</v>
      </c>
      <c r="P42" s="36">
        <f>(uNES*G42+ uOCEX*H42+uEREX*'A -UC UC'!I42+uHOEX*'A -UC UC'!J42)/(1+oDR)^A$5:A$65536</f>
        <v>12.984120744054957</v>
      </c>
      <c r="Q42" s="33"/>
      <c r="R42" s="33"/>
    </row>
    <row r="43" spans="1:18" x14ac:dyDescent="0.25">
      <c r="A43" s="4">
        <v>37</v>
      </c>
      <c r="C43" s="41" t="e">
        <f t="shared" si="11"/>
        <v>#REF!</v>
      </c>
      <c r="E43" s="41">
        <f t="shared" si="12"/>
        <v>0.30291600000000002</v>
      </c>
      <c r="G43" s="111">
        <f t="shared" si="13"/>
        <v>20.493374476997861</v>
      </c>
      <c r="H43" s="112">
        <f t="shared" si="14"/>
        <v>2.964251025739967</v>
      </c>
      <c r="I43" s="39">
        <f t="shared" si="15"/>
        <v>6.7833242991495499E-2</v>
      </c>
      <c r="J43" s="39">
        <f t="shared" si="16"/>
        <v>6.7833242991495499E-2</v>
      </c>
      <c r="K43" s="112">
        <f t="shared" si="17"/>
        <v>947.54991346577515</v>
      </c>
      <c r="L43" s="112">
        <f t="shared" si="18"/>
        <v>3.360562837429899</v>
      </c>
      <c r="M43" s="39">
        <f t="shared" si="0"/>
        <v>974.50376829192589</v>
      </c>
      <c r="N43" s="116">
        <f t="shared" si="19"/>
        <v>5836.1347801841657</v>
      </c>
      <c r="O43" s="37">
        <f t="shared" si="10"/>
        <v>23.593291988720818</v>
      </c>
      <c r="P43" s="36">
        <f>(uNES*G43+ uOCEX*H43+uEREX*'A -UC UC'!I43+uHOEX*'A -UC UC'!J43)/(1+oDR)^A$5:A$65536</f>
        <v>8.9107667220160334</v>
      </c>
      <c r="Q43" s="33"/>
      <c r="R43" s="33"/>
    </row>
    <row r="44" spans="1:18" x14ac:dyDescent="0.25">
      <c r="A44" s="4">
        <v>38</v>
      </c>
      <c r="C44" s="41" t="e">
        <f t="shared" si="11"/>
        <v>#REF!</v>
      </c>
      <c r="E44" s="41">
        <f t="shared" si="12"/>
        <v>0.32067200000000001</v>
      </c>
      <c r="G44" s="111">
        <f t="shared" si="13"/>
        <v>13.870819664855745</v>
      </c>
      <c r="H44" s="112">
        <f t="shared" si="14"/>
        <v>2.0586023564841618</v>
      </c>
      <c r="I44" s="39">
        <f t="shared" si="15"/>
        <v>4.7108585830849654E-2</v>
      </c>
      <c r="J44" s="39">
        <f t="shared" si="16"/>
        <v>4.7108585830849654E-2</v>
      </c>
      <c r="K44" s="112">
        <f t="shared" si="17"/>
        <v>955.11562159438222</v>
      </c>
      <c r="L44" s="112">
        <f t="shared" si="18"/>
        <v>3.364507504542027</v>
      </c>
      <c r="M44" s="39">
        <f t="shared" si="0"/>
        <v>974.50376829192589</v>
      </c>
      <c r="N44" s="116">
        <f t="shared" si="19"/>
        <v>3728.5097124274403</v>
      </c>
      <c r="O44" s="37">
        <f t="shared" si="10"/>
        <v>16.023639193001607</v>
      </c>
      <c r="P44" s="36">
        <f>(uNES*G44+ uOCEX*H44+uEREX*'A -UC UC'!I44+uHOEX*'A -UC UC'!J44)/(1+oDR)^A$5:A$65536</f>
        <v>5.9595742301167496</v>
      </c>
      <c r="Q44" s="33"/>
      <c r="R44" s="33"/>
    </row>
    <row r="45" spans="1:18" x14ac:dyDescent="0.25">
      <c r="A45" s="4">
        <v>39</v>
      </c>
      <c r="C45" s="41" t="e">
        <f t="shared" si="11"/>
        <v>#REF!</v>
      </c>
      <c r="E45" s="41">
        <f t="shared" si="12"/>
        <v>0.33670600000000001</v>
      </c>
      <c r="G45" s="111">
        <f t="shared" si="13"/>
        <v>9.1685764892503574</v>
      </c>
      <c r="H45" s="112">
        <f t="shared" si="14"/>
        <v>1.3933528653608991</v>
      </c>
      <c r="I45" s="39">
        <f t="shared" si="15"/>
        <v>3.1885168519197322E-2</v>
      </c>
      <c r="J45" s="39">
        <f t="shared" si="16"/>
        <v>3.1885168519197322E-2</v>
      </c>
      <c r="K45" s="112">
        <f t="shared" si="17"/>
        <v>960.51087705250097</v>
      </c>
      <c r="L45" s="112">
        <f t="shared" si="18"/>
        <v>3.367191547775183</v>
      </c>
      <c r="M45" s="39">
        <f t="shared" si="0"/>
        <v>974.50376829192578</v>
      </c>
      <c r="N45" s="116">
        <f t="shared" si="19"/>
        <v>2326.1815526452451</v>
      </c>
      <c r="O45" s="37">
        <f t="shared" si="10"/>
        <v>10.625699691649652</v>
      </c>
      <c r="P45" s="36">
        <f>(uNES*G45+ uOCEX*H45+uEREX*'A -UC UC'!I45+uHOEX*'A -UC UC'!J45)/(1+oDR)^A$5:A$65536</f>
        <v>3.8918121116620807</v>
      </c>
      <c r="Q45" s="33"/>
      <c r="R45" s="33"/>
    </row>
    <row r="46" spans="1:18" x14ac:dyDescent="0.25">
      <c r="A46" s="4">
        <v>40</v>
      </c>
      <c r="C46" s="41" t="e">
        <f t="shared" si="11"/>
        <v>#REF!</v>
      </c>
      <c r="E46" s="41">
        <f t="shared" si="12"/>
        <v>0.35354099999999999</v>
      </c>
      <c r="G46" s="111">
        <f t="shared" si="13"/>
        <v>5.9041415116072393</v>
      </c>
      <c r="H46" s="112">
        <f t="shared" si="14"/>
        <v>0.92100269711857852</v>
      </c>
      <c r="I46" s="39">
        <f t="shared" si="15"/>
        <v>2.1076015225084288E-2</v>
      </c>
      <c r="J46" s="39">
        <f t="shared" si="16"/>
        <v>2.1076015225084288E-2</v>
      </c>
      <c r="K46" s="112">
        <f t="shared" si="17"/>
        <v>964.26749754718651</v>
      </c>
      <c r="L46" s="112">
        <f t="shared" si="18"/>
        <v>3.3689745055633384</v>
      </c>
      <c r="M46" s="39">
        <f t="shared" si="0"/>
        <v>974.50376829192578</v>
      </c>
      <c r="N46" s="116">
        <f t="shared" si="19"/>
        <v>1413.9525585775777</v>
      </c>
      <c r="O46" s="37">
        <f t="shared" si="10"/>
        <v>6.8672962391759862</v>
      </c>
      <c r="P46" s="36">
        <f>(uNES*G46+ uOCEX*H46+uEREX*'A -UC UC'!I46+uHOEX*'A -UC UC'!J46)/(1+oDR)^A$5:A$65536</f>
        <v>2.4768316045443655</v>
      </c>
      <c r="Q46" s="33"/>
      <c r="R46" s="33"/>
    </row>
    <row r="47" spans="1:18" x14ac:dyDescent="0.25">
      <c r="A47" s="4">
        <v>41</v>
      </c>
      <c r="C47" s="41" t="e">
        <f t="shared" si="11"/>
        <v>#REF!</v>
      </c>
      <c r="E47" s="41">
        <f t="shared" si="12"/>
        <v>0.37121799999999999</v>
      </c>
      <c r="G47" s="111">
        <f t="shared" si="13"/>
        <v>3.6966503660488912</v>
      </c>
      <c r="H47" s="112">
        <f t="shared" si="14"/>
        <v>0.59308337152833512</v>
      </c>
      <c r="I47" s="39">
        <f t="shared" si="15"/>
        <v>1.3571984324456509E-2</v>
      </c>
      <c r="J47" s="39">
        <f t="shared" si="16"/>
        <v>1.3571984324456509E-2</v>
      </c>
      <c r="K47" s="112">
        <f t="shared" si="17"/>
        <v>966.81676152250088</v>
      </c>
      <c r="L47" s="112">
        <f t="shared" si="18"/>
        <v>3.3701290631987537</v>
      </c>
      <c r="M47" s="39">
        <f t="shared" si="0"/>
        <v>974.50376829192578</v>
      </c>
      <c r="N47" s="116">
        <f t="shared" si="19"/>
        <v>835.6957117826704</v>
      </c>
      <c r="O47" s="37">
        <f t="shared" si="10"/>
        <v>4.3168777062261396</v>
      </c>
      <c r="P47" s="36">
        <f>(uNES*G47+ uOCEX*H47+uEREX*'A -UC UC'!I47+uHOEX*'A -UC UC'!J47)/(1+oDR)^A$5:A$65536</f>
        <v>1.5331181262584794</v>
      </c>
      <c r="Q47" s="33"/>
      <c r="R47" s="33"/>
    </row>
    <row r="48" spans="1:18" x14ac:dyDescent="0.25">
      <c r="A48" s="4">
        <v>42</v>
      </c>
      <c r="C48" s="41" t="e">
        <f t="shared" si="11"/>
        <v>#REF!</v>
      </c>
      <c r="E48" s="41">
        <f t="shared" si="12"/>
        <v>0.38977899999999999</v>
      </c>
      <c r="G48" s="111">
        <f t="shared" si="13"/>
        <v>2.2451906956444039</v>
      </c>
      <c r="H48" s="112">
        <f t="shared" si="14"/>
        <v>0.37133626593257318</v>
      </c>
      <c r="I48" s="39">
        <f t="shared" si="15"/>
        <v>8.4975742404511459E-3</v>
      </c>
      <c r="J48" s="39">
        <f t="shared" si="16"/>
        <v>8.4975742404511459E-3</v>
      </c>
      <c r="K48" s="112">
        <f t="shared" si="17"/>
        <v>968.49938979795604</v>
      </c>
      <c r="L48" s="112">
        <f t="shared" si="18"/>
        <v>3.3708563839118955</v>
      </c>
      <c r="M48" s="39">
        <f t="shared" si="0"/>
        <v>974.50376829192589</v>
      </c>
      <c r="N48" s="116">
        <f t="shared" si="19"/>
        <v>479.16507664174537</v>
      </c>
      <c r="O48" s="37">
        <f t="shared" si="10"/>
        <v>2.6335221100578794</v>
      </c>
      <c r="P48" s="36">
        <f>(uNES*G48+ uOCEX*H48+uEREX*'A -UC UC'!I48+uHOEX*'A -UC UC'!J48)/(1+oDR)^A$5:A$65536</f>
        <v>0.92090065883775674</v>
      </c>
      <c r="Q48" s="33"/>
      <c r="R48" s="33"/>
    </row>
    <row r="49" spans="1:18" x14ac:dyDescent="0.25">
      <c r="A49" s="4">
        <v>43</v>
      </c>
      <c r="C49" s="41" t="e">
        <f t="shared" si="11"/>
        <v>#REF!</v>
      </c>
      <c r="E49" s="41">
        <f t="shared" si="12"/>
        <v>0.40926800000000002</v>
      </c>
      <c r="G49" s="111">
        <f t="shared" si="13"/>
        <v>1.3194047884538858</v>
      </c>
      <c r="H49" s="112">
        <f t="shared" si="14"/>
        <v>0.22553410430271748</v>
      </c>
      <c r="I49" s="39">
        <f t="shared" si="15"/>
        <v>5.1610708968942674E-3</v>
      </c>
      <c r="J49" s="39">
        <f t="shared" si="16"/>
        <v>5.1610708968942674E-3</v>
      </c>
      <c r="K49" s="112">
        <f t="shared" si="17"/>
        <v>969.57720612489516</v>
      </c>
      <c r="L49" s="112">
        <f t="shared" si="18"/>
        <v>3.3713011324802147</v>
      </c>
      <c r="M49" s="39">
        <f t="shared" si="0"/>
        <v>974.50376829192578</v>
      </c>
      <c r="N49" s="116">
        <f t="shared" si="19"/>
        <v>265.85044360497812</v>
      </c>
      <c r="O49" s="37">
        <f t="shared" si="10"/>
        <v>1.5552610345503919</v>
      </c>
      <c r="P49" s="36">
        <f>(uNES*G49+ uOCEX*H49+uEREX*'A -UC UC'!I49+uHOEX*'A -UC UC'!J49)/(1+oDR)^A$5:A$65536</f>
        <v>0.53545149745948473</v>
      </c>
      <c r="Q49" s="33"/>
      <c r="R49" s="33"/>
    </row>
    <row r="50" spans="1:18" x14ac:dyDescent="0.25">
      <c r="A50" s="4">
        <v>44</v>
      </c>
      <c r="C50" s="41" t="e">
        <f t="shared" si="11"/>
        <v>#REF!</v>
      </c>
      <c r="E50" s="41">
        <f t="shared" si="12"/>
        <v>0.429732</v>
      </c>
      <c r="G50" s="111">
        <f t="shared" si="13"/>
        <v>0.74804939951223215</v>
      </c>
      <c r="H50" s="112">
        <f t="shared" si="14"/>
        <v>0.13253697236227688</v>
      </c>
      <c r="I50" s="39">
        <f t="shared" si="15"/>
        <v>3.0329457841254083E-3</v>
      </c>
      <c r="J50" s="39">
        <f t="shared" si="16"/>
        <v>3.0329457841254083E-3</v>
      </c>
      <c r="K50" s="112">
        <f t="shared" si="17"/>
        <v>970.24555155979454</v>
      </c>
      <c r="L50" s="112">
        <f t="shared" si="18"/>
        <v>3.3715644686884376</v>
      </c>
      <c r="M50" s="39">
        <f t="shared" si="0"/>
        <v>974.50376829192578</v>
      </c>
      <c r="N50" s="116">
        <f t="shared" si="19"/>
        <v>142.31758336929096</v>
      </c>
      <c r="O50" s="37">
        <f t="shared" si="10"/>
        <v>0.88665226344275982</v>
      </c>
      <c r="P50" s="36">
        <f>(uNES*G50+ uOCEX*H50+uEREX*'A -UC UC'!I50+uHOEX*'A -UC UC'!J50)/(1+oDR)^A$5:A$65536</f>
        <v>0.30052293483797793</v>
      </c>
      <c r="Q50" s="33"/>
      <c r="R50" s="33"/>
    </row>
    <row r="51" spans="1:18" x14ac:dyDescent="0.25">
      <c r="A51" s="4">
        <v>45</v>
      </c>
      <c r="C51" s="41" t="e">
        <f t="shared" si="11"/>
        <v>#REF!</v>
      </c>
      <c r="E51" s="41">
        <f t="shared" si="12"/>
        <v>0.45121800000000001</v>
      </c>
      <c r="G51" s="111">
        <f t="shared" si="13"/>
        <v>0.40784599631506901</v>
      </c>
      <c r="H51" s="112">
        <f t="shared" si="14"/>
        <v>7.5143127762140674E-2</v>
      </c>
      <c r="I51" s="39">
        <f t="shared" si="15"/>
        <v>1.7195581616971402E-3</v>
      </c>
      <c r="J51" s="39">
        <f t="shared" si="16"/>
        <v>1.7195581616971402E-3</v>
      </c>
      <c r="K51" s="112">
        <f t="shared" si="17"/>
        <v>970.64562502080059</v>
      </c>
      <c r="L51" s="112">
        <f t="shared" si="18"/>
        <v>3.3717150307244781</v>
      </c>
      <c r="M51" s="39">
        <f t="shared" si="0"/>
        <v>974.50376829192567</v>
      </c>
      <c r="N51" s="116">
        <f t="shared" si="19"/>
        <v>73.272783524349322</v>
      </c>
      <c r="O51" s="37">
        <f t="shared" si="10"/>
        <v>0.48642824040060401</v>
      </c>
      <c r="P51" s="36">
        <f>(uNES*G51+ uOCEX*H51+uEREX*'A -UC UC'!I51+uHOEX*'A -UC UC'!J51)/(1+oDR)^A$5:A$65536</f>
        <v>0.16229730119040284</v>
      </c>
      <c r="Q51" s="33"/>
      <c r="R51" s="33"/>
    </row>
    <row r="52" spans="1:18" x14ac:dyDescent="0.25">
      <c r="A52" s="4">
        <v>46</v>
      </c>
      <c r="C52" s="41" t="e">
        <f t="shared" si="11"/>
        <v>#REF!</v>
      </c>
      <c r="E52" s="41">
        <f t="shared" si="12"/>
        <v>0.47377900000000001</v>
      </c>
      <c r="G52" s="111">
        <f t="shared" si="13"/>
        <v>0.2130418545490623</v>
      </c>
      <c r="H52" s="112">
        <f t="shared" si="14"/>
        <v>4.096898390449099E-2</v>
      </c>
      <c r="I52" s="39">
        <f t="shared" si="15"/>
        <v>9.3752486418192862E-4</v>
      </c>
      <c r="J52" s="39">
        <f t="shared" si="16"/>
        <v>9.3752486418192862E-4</v>
      </c>
      <c r="K52" s="112">
        <f t="shared" si="17"/>
        <v>970.87608450610935</v>
      </c>
      <c r="L52" s="112">
        <f t="shared" si="18"/>
        <v>3.3717978976344072</v>
      </c>
      <c r="M52" s="39">
        <f t="shared" si="0"/>
        <v>974.50376829192567</v>
      </c>
      <c r="N52" s="116">
        <f t="shared" si="19"/>
        <v>36.148373318253405</v>
      </c>
      <c r="O52" s="37">
        <f t="shared" si="10"/>
        <v>0.25588588818191715</v>
      </c>
      <c r="P52" s="36">
        <f>(uNES*G52+ uOCEX*H52+uEREX*'A -UC UC'!I52+uHOEX*'A -UC UC'!J52)/(1+oDR)^A$5:A$65536</f>
        <v>8.4035109013143608E-2</v>
      </c>
      <c r="Q52" s="33"/>
      <c r="R52" s="33"/>
    </row>
    <row r="53" spans="1:18" x14ac:dyDescent="0.25">
      <c r="A53" s="4">
        <v>47</v>
      </c>
      <c r="C53" s="41" t="e">
        <f t="shared" si="11"/>
        <v>#REF!</v>
      </c>
      <c r="E53" s="41">
        <f t="shared" si="12"/>
        <v>0.49746800000000002</v>
      </c>
      <c r="G53" s="111">
        <f t="shared" si="13"/>
        <v>0.10616714855301318</v>
      </c>
      <c r="H53" s="112">
        <f t="shared" si="14"/>
        <v>2.1400500161489408E-2</v>
      </c>
      <c r="I53" s="39">
        <f t="shared" si="15"/>
        <v>4.8972415459701832E-4</v>
      </c>
      <c r="J53" s="39">
        <f t="shared" si="16"/>
        <v>4.8972415459701832E-4</v>
      </c>
      <c r="K53" s="112">
        <f t="shared" si="17"/>
        <v>971.00337954713143</v>
      </c>
      <c r="L53" s="112">
        <f t="shared" si="18"/>
        <v>3.371841647770546</v>
      </c>
      <c r="M53" s="39">
        <f t="shared" si="0"/>
        <v>974.50376829192567</v>
      </c>
      <c r="N53" s="116">
        <f t="shared" si="19"/>
        <v>17.016218470328752</v>
      </c>
      <c r="O53" s="37">
        <f t="shared" si="10"/>
        <v>0.12854709702369663</v>
      </c>
      <c r="P53" s="36">
        <f>(uNES*G53+ uOCEX*H53+uEREX*'A -UC UC'!I53+uHOEX*'A -UC UC'!J53)/(1+oDR)^A$5:A$65536</f>
        <v>4.1547366472440832E-2</v>
      </c>
      <c r="Q53" s="33"/>
      <c r="R53" s="33"/>
    </row>
    <row r="54" spans="1:18" x14ac:dyDescent="0.25">
      <c r="A54" s="4">
        <v>48</v>
      </c>
      <c r="C54" s="41" t="e">
        <f t="shared" si="11"/>
        <v>#REF!</v>
      </c>
      <c r="E54" s="41">
        <f t="shared" si="12"/>
        <v>0.52234100000000006</v>
      </c>
      <c r="G54" s="111">
        <f t="shared" si="13"/>
        <v>5.0226799641543314E-2</v>
      </c>
      <c r="H54" s="112">
        <f t="shared" si="14"/>
        <v>1.0664712267750153E-2</v>
      </c>
      <c r="I54" s="39">
        <f t="shared" si="15"/>
        <v>2.4404883810813258E-4</v>
      </c>
      <c r="J54" s="39">
        <f t="shared" si="16"/>
        <v>2.4404883810813258E-4</v>
      </c>
      <c r="K54" s="112">
        <f t="shared" si="17"/>
        <v>971.07052496633787</v>
      </c>
      <c r="L54" s="112">
        <f t="shared" si="18"/>
        <v>3.3718637160022782</v>
      </c>
      <c r="M54" s="39">
        <f t="shared" si="0"/>
        <v>974.50376829192567</v>
      </c>
      <c r="N54" s="116">
        <f t="shared" si="19"/>
        <v>7.6058143811522072</v>
      </c>
      <c r="O54" s="37">
        <f t="shared" si="10"/>
        <v>6.137960958550974E-2</v>
      </c>
      <c r="P54" s="36">
        <f>(uNES*G54+ uOCEX*H54+uEREX*'A -UC UC'!I54+uHOEX*'A -UC UC'!J54)/(1+oDR)^A$5:A$65536</f>
        <v>1.9521167626542719E-2</v>
      </c>
      <c r="Q54" s="33"/>
      <c r="R54" s="33"/>
    </row>
    <row r="55" spans="1:18" x14ac:dyDescent="0.25">
      <c r="A55" s="4">
        <v>49</v>
      </c>
      <c r="C55" s="41" t="e">
        <f t="shared" si="11"/>
        <v>#REF!</v>
      </c>
      <c r="E55" s="41">
        <f t="shared" si="12"/>
        <v>0.548458</v>
      </c>
      <c r="G55" s="111">
        <f t="shared" si="13"/>
        <v>2.2428583305581871E-2</v>
      </c>
      <c r="H55" s="112">
        <f t="shared" si="14"/>
        <v>5.0453871428931141E-3</v>
      </c>
      <c r="I55" s="39">
        <f t="shared" si="15"/>
        <v>1.1545748625138828E-4</v>
      </c>
      <c r="J55" s="39">
        <f t="shared" si="16"/>
        <v>1.1545748625138828E-4</v>
      </c>
      <c r="K55" s="112">
        <f t="shared" si="17"/>
        <v>971.10418910425187</v>
      </c>
      <c r="L55" s="112">
        <f t="shared" si="18"/>
        <v>3.3718743022527606</v>
      </c>
      <c r="M55" s="39">
        <f t="shared" si="0"/>
        <v>974.50376829192567</v>
      </c>
      <c r="N55" s="116">
        <f t="shared" si="19"/>
        <v>3.209664666718488</v>
      </c>
      <c r="O55" s="37">
        <f t="shared" si="10"/>
        <v>2.7704885420977762E-2</v>
      </c>
      <c r="P55" s="36">
        <f>(uNES*G55+ uOCEX*H55+uEREX*'A -UC UC'!I55+uHOEX*'A -UC UC'!J55)/(1+oDR)^A$5:A$65536</f>
        <v>8.6687715860215443E-3</v>
      </c>
      <c r="Q55" s="33"/>
      <c r="R55" s="33"/>
    </row>
    <row r="56" spans="1:18" x14ac:dyDescent="0.25">
      <c r="A56" s="4">
        <v>50</v>
      </c>
      <c r="C56" s="41" t="e">
        <f t="shared" si="11"/>
        <v>#REF!</v>
      </c>
      <c r="E56" s="41">
        <f t="shared" si="12"/>
        <v>0.57588099999999998</v>
      </c>
      <c r="G56" s="111">
        <f t="shared" si="13"/>
        <v>9.3892522553759884E-3</v>
      </c>
      <c r="H56" s="112">
        <f t="shared" si="14"/>
        <v>2.2529981334843581E-3</v>
      </c>
      <c r="I56" s="39">
        <f t="shared" si="15"/>
        <v>5.155709436243839E-5</v>
      </c>
      <c r="J56" s="39">
        <f t="shared" si="16"/>
        <v>5.155709436243839E-5</v>
      </c>
      <c r="K56" s="112">
        <f t="shared" si="17"/>
        <v>971.12014382137295</v>
      </c>
      <c r="L56" s="112">
        <f t="shared" si="18"/>
        <v>3.3718791059750353</v>
      </c>
      <c r="M56" s="39">
        <f t="shared" si="0"/>
        <v>974.50376829192555</v>
      </c>
      <c r="N56" s="116">
        <f t="shared" si="19"/>
        <v>1.2702135951526101</v>
      </c>
      <c r="O56" s="37">
        <f t="shared" si="10"/>
        <v>1.1745364577585224E-2</v>
      </c>
      <c r="P56" s="36">
        <f>(uNES*G56+ uOCEX*H56+uEREX*'A -UC UC'!I56+uHOEX*'A -UC UC'!J56)/(1+oDR)^A$5:A$65536</f>
        <v>3.614824290465616E-3</v>
      </c>
      <c r="Q56" s="33"/>
      <c r="R56" s="33"/>
    </row>
    <row r="57" spans="1:18" x14ac:dyDescent="0.25">
      <c r="A57" s="4">
        <v>51</v>
      </c>
      <c r="C57" s="41" t="e">
        <f t="shared" si="11"/>
        <v>#REF!</v>
      </c>
      <c r="E57" s="41">
        <f t="shared" si="12"/>
        <v>0.60467499999999996</v>
      </c>
      <c r="G57" s="111">
        <f t="shared" si="13"/>
        <v>3.654850611714733E-3</v>
      </c>
      <c r="H57" s="112">
        <f t="shared" si="14"/>
        <v>9.4317003967483092E-4</v>
      </c>
      <c r="I57" s="39">
        <f t="shared" si="15"/>
        <v>2.1583287625780723E-5</v>
      </c>
      <c r="J57" s="39">
        <f t="shared" si="16"/>
        <v>2.1583287625780723E-5</v>
      </c>
      <c r="K57" s="112">
        <f t="shared" si="17"/>
        <v>971.12724594969893</v>
      </c>
      <c r="L57" s="112">
        <f t="shared" si="18"/>
        <v>3.3718811550000281</v>
      </c>
      <c r="M57" s="39">
        <f t="shared" si="0"/>
        <v>974.50376829192555</v>
      </c>
      <c r="N57" s="116">
        <f t="shared" si="19"/>
        <v>0.46761211838568223</v>
      </c>
      <c r="O57" s="37">
        <f t="shared" si="10"/>
        <v>4.6411872266411249E-3</v>
      </c>
      <c r="P57" s="36">
        <f>(uNES*G57+ uOCEX*H57+uEREX*'A -UC UC'!I57+uHOEX*'A -UC UC'!J57)/(1+oDR)^A$5:A$65536</f>
        <v>1.4045702891808968E-3</v>
      </c>
      <c r="Q57" s="33"/>
      <c r="R57" s="33"/>
    </row>
    <row r="58" spans="1:18" x14ac:dyDescent="0.25">
      <c r="A58" s="4">
        <v>52</v>
      </c>
      <c r="C58" s="41" t="e">
        <f t="shared" si="11"/>
        <v>#REF!</v>
      </c>
      <c r="E58" s="41">
        <f t="shared" si="12"/>
        <v>0.63490899999999995</v>
      </c>
      <c r="G58" s="111">
        <f t="shared" si="13"/>
        <v>1.309699840559076E-3</v>
      </c>
      <c r="H58" s="112">
        <f t="shared" si="14"/>
        <v>3.6713739312764103E-4</v>
      </c>
      <c r="I58" s="39">
        <f t="shared" si="15"/>
        <v>8.4014881948382417E-6</v>
      </c>
      <c r="J58" s="39">
        <f t="shared" si="16"/>
        <v>8.4014881948382417E-6</v>
      </c>
      <c r="K58" s="112">
        <f t="shared" si="17"/>
        <v>971.13019268123981</v>
      </c>
      <c r="L58" s="112">
        <f t="shared" si="18"/>
        <v>3.3718819704757133</v>
      </c>
      <c r="M58" s="39">
        <f t="shared" si="0"/>
        <v>974.50376829192555</v>
      </c>
      <c r="N58" s="116">
        <f t="shared" si="19"/>
        <v>0.158562965112929</v>
      </c>
      <c r="O58" s="37">
        <f t="shared" si="10"/>
        <v>1.6936402100763935E-3</v>
      </c>
      <c r="P58" s="36">
        <f>(uNES*G58+ uOCEX*H58+uEREX*'A -UC UC'!I58+uHOEX*'A -UC UC'!J58)/(1+oDR)^A$5:A$65536</f>
        <v>5.038113101818913E-4</v>
      </c>
      <c r="Q58" s="33"/>
      <c r="R58" s="33"/>
    </row>
    <row r="59" spans="1:18" x14ac:dyDescent="0.25">
      <c r="A59" s="4">
        <v>53</v>
      </c>
      <c r="C59" s="41" t="e">
        <f t="shared" si="11"/>
        <v>#REF!</v>
      </c>
      <c r="E59" s="41">
        <f t="shared" si="12"/>
        <v>0.666655</v>
      </c>
      <c r="G59" s="111">
        <f t="shared" si="13"/>
        <v>4.2668303408717489E-4</v>
      </c>
      <c r="H59" s="112">
        <f t="shared" si="14"/>
        <v>1.3156209003490637E-4</v>
      </c>
      <c r="I59" s="39">
        <f t="shared" si="15"/>
        <v>3.010636799755864E-6</v>
      </c>
      <c r="J59" s="39">
        <f t="shared" si="16"/>
        <v>3.010636799755864E-6</v>
      </c>
      <c r="K59" s="112">
        <f t="shared" si="17"/>
        <v>971.131321754954</v>
      </c>
      <c r="L59" s="112">
        <f t="shared" si="18"/>
        <v>3.3718822705738196</v>
      </c>
      <c r="M59" s="39">
        <f t="shared" si="0"/>
        <v>974.50376829192555</v>
      </c>
      <c r="N59" s="116">
        <f t="shared" si="19"/>
        <v>4.8919790248170274E-2</v>
      </c>
      <c r="O59" s="37">
        <f t="shared" si="10"/>
        <v>5.6426639772159297E-4</v>
      </c>
      <c r="P59" s="36">
        <f>(uNES*G59+ uOCEX*H59+uEREX*'A -UC UC'!I59+uHOEX*'A -UC UC'!J59)/(1+oDR)^A$5:A$65536</f>
        <v>1.6491171131594102E-4</v>
      </c>
      <c r="Q59" s="33"/>
      <c r="R59" s="33"/>
    </row>
    <row r="60" spans="1:18" x14ac:dyDescent="0.25">
      <c r="A60" s="4">
        <v>54</v>
      </c>
      <c r="C60" s="41" t="e">
        <f t="shared" si="11"/>
        <v>#REF!</v>
      </c>
      <c r="E60" s="41">
        <f t="shared" si="12"/>
        <v>0.69998700000000003</v>
      </c>
      <c r="G60" s="111">
        <f t="shared" si="13"/>
        <v>1.2436340203198445E-4</v>
      </c>
      <c r="H60" s="112">
        <f t="shared" si="14"/>
        <v>4.2861203772447018E-5</v>
      </c>
      <c r="I60" s="39">
        <f t="shared" si="15"/>
        <v>9.8082599117212847E-7</v>
      </c>
      <c r="J60" s="39">
        <f t="shared" si="16"/>
        <v>9.8082599117212847E-7</v>
      </c>
      <c r="K60" s="112">
        <f t="shared" si="17"/>
        <v>971.13171673409693</v>
      </c>
      <c r="L60" s="112">
        <f t="shared" si="18"/>
        <v>3.3718823715708126</v>
      </c>
      <c r="M60" s="39">
        <f t="shared" si="0"/>
        <v>974.50376829192555</v>
      </c>
      <c r="N60" s="116">
        <f t="shared" si="19"/>
        <v>1.3517663451510861E-2</v>
      </c>
      <c r="O60" s="37">
        <f t="shared" si="10"/>
        <v>1.6918625778677575E-4</v>
      </c>
      <c r="P60" s="36">
        <f>(uNES*G60+ uOCEX*H60+uEREX*'A -UC UC'!I60+uHOEX*'A -UC UC'!J60)/(1+oDR)^A$5:A$65536</f>
        <v>4.8547496501733595E-5</v>
      </c>
      <c r="Q60" s="33"/>
      <c r="R60" s="33"/>
    </row>
    <row r="61" spans="1:18" x14ac:dyDescent="0.25">
      <c r="A61" s="4">
        <v>55</v>
      </c>
      <c r="C61" s="41" t="e">
        <f t="shared" si="11"/>
        <v>#REF!</v>
      </c>
      <c r="E61" s="41">
        <f t="shared" si="12"/>
        <v>0.73498699999999995</v>
      </c>
      <c r="G61" s="111">
        <f t="shared" si="13"/>
        <v>3.1741582895160491E-5</v>
      </c>
      <c r="H61" s="112">
        <f t="shared" si="14"/>
        <v>1.2492564012373172E-5</v>
      </c>
      <c r="I61" s="39">
        <f t="shared" si="15"/>
        <v>2.8587697967535723E-7</v>
      </c>
      <c r="J61" s="39">
        <f t="shared" si="16"/>
        <v>2.8587697967535723E-7</v>
      </c>
      <c r="K61" s="112">
        <f t="shared" si="17"/>
        <v>971.13184108379699</v>
      </c>
      <c r="L61" s="112">
        <f t="shared" si="18"/>
        <v>3.3718824022276808</v>
      </c>
      <c r="M61" s="39">
        <f t="shared" si="0"/>
        <v>974.50376829192555</v>
      </c>
      <c r="N61" s="116">
        <f t="shared" si="19"/>
        <v>3.2763715196845976E-3</v>
      </c>
      <c r="O61" s="37">
        <f t="shared" si="10"/>
        <v>4.4805900866884375E-5</v>
      </c>
      <c r="P61" s="36">
        <f>(uNES*G61+ uOCEX*H61+uEREX*'A -UC UC'!I61+uHOEX*'A -UC UC'!J61)/(1+oDR)^A$5:A$65536</f>
        <v>1.26116078848205E-5</v>
      </c>
      <c r="Q61" s="33"/>
      <c r="R61" s="33"/>
    </row>
    <row r="62" spans="1:18" x14ac:dyDescent="0.25">
      <c r="A62" s="4">
        <v>56</v>
      </c>
      <c r="C62" s="41" t="e">
        <f t="shared" si="11"/>
        <v>#REF!</v>
      </c>
      <c r="E62" s="41">
        <f t="shared" si="12"/>
        <v>0.77173599999999998</v>
      </c>
      <c r="G62" s="111">
        <f t="shared" si="13"/>
        <v>6.8848913926869268E-6</v>
      </c>
      <c r="H62" s="112">
        <f t="shared" si="14"/>
        <v>3.1885084332918063E-6</v>
      </c>
      <c r="I62" s="39">
        <f t="shared" si="15"/>
        <v>7.2965098251732557E-8</v>
      </c>
      <c r="J62" s="39">
        <f t="shared" si="16"/>
        <v>7.2965098251732557E-8</v>
      </c>
      <c r="K62" s="112">
        <f t="shared" si="17"/>
        <v>971.13187566212366</v>
      </c>
      <c r="L62" s="112">
        <f t="shared" si="18"/>
        <v>3.3718824104718137</v>
      </c>
      <c r="M62" s="39">
        <f t="shared" si="0"/>
        <v>974.50376829192555</v>
      </c>
      <c r="N62" s="116">
        <f t="shared" si="19"/>
        <v>6.7669182678708171E-4</v>
      </c>
      <c r="O62" s="37">
        <f t="shared" si="10"/>
        <v>1.0219330022482198E-5</v>
      </c>
      <c r="P62" s="36">
        <f>(uNES*G62+ uOCEX*H62+uEREX*'A -UC UC'!I62+uHOEX*'A -UC UC'!J62)/(1+oDR)^A$5:A$65536</f>
        <v>2.8177545475579536E-6</v>
      </c>
      <c r="Q62" s="33"/>
      <c r="R62" s="33"/>
    </row>
    <row r="63" spans="1:18" x14ac:dyDescent="0.25">
      <c r="A63" s="4">
        <v>57</v>
      </c>
      <c r="C63" s="41" t="e">
        <f t="shared" si="11"/>
        <v>#REF!</v>
      </c>
      <c r="E63" s="41">
        <f t="shared" si="12"/>
        <v>0.81032300000000002</v>
      </c>
      <c r="G63" s="111">
        <f t="shared" si="13"/>
        <v>1.2131996683135349E-6</v>
      </c>
      <c r="H63" s="112">
        <f t="shared" si="14"/>
        <v>6.9160174967920233E-7</v>
      </c>
      <c r="I63" s="39">
        <f t="shared" si="15"/>
        <v>1.5826456373620286E-8</v>
      </c>
      <c r="J63" s="39">
        <f t="shared" si="16"/>
        <v>1.5826456373620286E-8</v>
      </c>
      <c r="K63" s="112">
        <f t="shared" si="17"/>
        <v>971.13188394308179</v>
      </c>
      <c r="L63" s="112">
        <f t="shared" si="18"/>
        <v>3.3718824123893438</v>
      </c>
      <c r="M63" s="39">
        <f t="shared" si="0"/>
        <v>974.50376829192544</v>
      </c>
      <c r="N63" s="116">
        <f t="shared" si="19"/>
        <v>1.140914880998346E-4</v>
      </c>
      <c r="O63" s="37">
        <f t="shared" si="10"/>
        <v>1.9364543307399779E-6</v>
      </c>
      <c r="P63" s="36">
        <f>(uNES*G63+ uOCEX*H63+uEREX*'A -UC UC'!I63+uHOEX*'A -UC UC'!J63)/(1+oDR)^A$5:A$65536</f>
        <v>5.2193286952353301E-7</v>
      </c>
      <c r="Q63" s="33"/>
      <c r="R63" s="33"/>
    </row>
    <row r="64" spans="1:18" x14ac:dyDescent="0.25">
      <c r="A64" s="4">
        <v>58</v>
      </c>
      <c r="C64" s="41" t="e">
        <f t="shared" si="11"/>
        <v>#REF!</v>
      </c>
      <c r="E64" s="41">
        <f t="shared" si="12"/>
        <v>0.85083900000000001</v>
      </c>
      <c r="G64" s="111">
        <f t="shared" si="13"/>
        <v>1.6102445926060914E-7</v>
      </c>
      <c r="H64" s="112">
        <f t="shared" si="14"/>
        <v>1.218684457691085E-7</v>
      </c>
      <c r="I64" s="39">
        <f t="shared" si="15"/>
        <v>2.7888096598661718E-9</v>
      </c>
      <c r="J64" s="39">
        <f t="shared" si="16"/>
        <v>2.7888096598661718E-9</v>
      </c>
      <c r="K64" s="112">
        <f t="shared" si="17"/>
        <v>971.1318855906926</v>
      </c>
      <c r="L64" s="112">
        <f t="shared" si="18"/>
        <v>3.3718824127622837</v>
      </c>
      <c r="M64" s="39">
        <f t="shared" si="0"/>
        <v>974.50376829192544</v>
      </c>
      <c r="N64" s="116">
        <f t="shared" si="19"/>
        <v>1.4635713070027754E-5</v>
      </c>
      <c r="O64" s="37">
        <f t="shared" si="10"/>
        <v>2.8847052434944999E-7</v>
      </c>
      <c r="P64" s="36">
        <f>(uNES*G64+ uOCEX*H64+uEREX*'A -UC UC'!I64+uHOEX*'A -UC UC'!J64)/(1+oDR)^A$5:A$65536</f>
        <v>7.5729459862110385E-8</v>
      </c>
      <c r="Q64" s="33"/>
      <c r="R64" s="33"/>
    </row>
    <row r="65" spans="1:18" x14ac:dyDescent="0.25">
      <c r="A65" s="4">
        <v>59</v>
      </c>
      <c r="C65" s="41" t="e">
        <f t="shared" si="11"/>
        <v>#REF!</v>
      </c>
      <c r="E65" s="41">
        <f t="shared" si="12"/>
        <v>0.89338099999999998</v>
      </c>
      <c r="G65" s="111">
        <f t="shared" si="13"/>
        <v>1.3783270656856711E-8</v>
      </c>
      <c r="H65" s="112">
        <f t="shared" si="14"/>
        <v>1.617524393835398E-8</v>
      </c>
      <c r="I65" s="39">
        <f t="shared" si="15"/>
        <v>3.7015058542256251E-10</v>
      </c>
      <c r="J65" s="39">
        <f t="shared" si="16"/>
        <v>3.7015058542256251E-10</v>
      </c>
      <c r="K65" s="112">
        <f t="shared" si="17"/>
        <v>971.13188584840668</v>
      </c>
      <c r="L65" s="112">
        <f t="shared" si="18"/>
        <v>3.371882412819907</v>
      </c>
      <c r="M65" s="39">
        <f t="shared" si="0"/>
        <v>974.50376829192544</v>
      </c>
      <c r="N65" s="116">
        <f t="shared" si="19"/>
        <v>1.2448969392387754E-6</v>
      </c>
      <c r="O65" s="37">
        <f t="shared" si="10"/>
        <v>3.0698815766055816E-8</v>
      </c>
      <c r="P65" s="36">
        <f>(uNES*G65+ uOCEX*H65+uEREX*'A -UC UC'!I65+uHOEX*'A -UC UC'!J65)/(1+oDR)^A$5:A$65536</f>
        <v>7.7936157074084083E-9</v>
      </c>
      <c r="Q65" s="33"/>
      <c r="R65" s="33"/>
    </row>
    <row r="66" spans="1:18" x14ac:dyDescent="0.25">
      <c r="A66" s="4">
        <v>60</v>
      </c>
      <c r="C66" s="41" t="e">
        <f t="shared" si="11"/>
        <v>#REF!</v>
      </c>
      <c r="E66" s="41">
        <f t="shared" si="12"/>
        <v>0.89338099999999998</v>
      </c>
      <c r="G66" s="111">
        <f t="shared" si="13"/>
        <v>1.8186669315263077E-9</v>
      </c>
      <c r="H66" s="112">
        <f t="shared" si="14"/>
        <v>1.3845583842774176E-9</v>
      </c>
      <c r="I66" s="39">
        <f t="shared" si="15"/>
        <v>3.1683917624067415E-11</v>
      </c>
      <c r="J66" s="39">
        <f t="shared" si="16"/>
        <v>3.1683917624067415E-11</v>
      </c>
      <c r="K66" s="112">
        <f t="shared" si="17"/>
        <v>971.13188587583238</v>
      </c>
      <c r="L66" s="112">
        <f t="shared" si="18"/>
        <v>3.3718824128263907</v>
      </c>
      <c r="M66" s="39">
        <f t="shared" si="0"/>
        <v>974.50376829192533</v>
      </c>
      <c r="N66" s="116">
        <f t="shared" si="19"/>
        <v>1.4720141083176521E-7</v>
      </c>
      <c r="O66" s="37">
        <f t="shared" si="10"/>
        <v>3.26659315105186E-9</v>
      </c>
      <c r="P66" s="36">
        <f>(uNES*G66+ uOCEX*H66+uEREX*'A -UC UC'!I66+uHOEX*'A -UC UC'!J66)/(1+oDR)^A$5:A$65536</f>
        <v>8.3218490181975477E-10</v>
      </c>
      <c r="Q66" s="33"/>
      <c r="R66" s="33"/>
    </row>
    <row r="67" spans="1:18" x14ac:dyDescent="0.25">
      <c r="N67" s="117" t="s">
        <v>114</v>
      </c>
      <c r="O67" s="114" t="s">
        <v>115</v>
      </c>
      <c r="P67" s="114" t="s">
        <v>116</v>
      </c>
    </row>
    <row r="68" spans="1:18" x14ac:dyDescent="0.25">
      <c r="I68" s="33"/>
      <c r="N68" s="118">
        <f>SUM(N6:N66)/1000</f>
        <v>25262.182446464642</v>
      </c>
      <c r="O68" s="34">
        <f>SUM(O7:O66)/1000</f>
        <v>19.663261747698673</v>
      </c>
      <c r="P68" s="12">
        <f>SUM(P7:P66)/1000</f>
        <v>10.784819031323419</v>
      </c>
    </row>
    <row r="69" spans="1:18" x14ac:dyDescent="0.25">
      <c r="I69" s="33"/>
    </row>
  </sheetData>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69"/>
  <sheetViews>
    <sheetView workbookViewId="0">
      <selection activeCell="A2" sqref="A2"/>
    </sheetView>
  </sheetViews>
  <sheetFormatPr defaultRowHeight="15" x14ac:dyDescent="0.25"/>
  <cols>
    <col min="1" max="1" width="9.140625" style="4"/>
    <col min="2" max="2" width="4.7109375" style="4" customWidth="1"/>
    <col min="3" max="3" width="8.85546875" style="32" customWidth="1"/>
    <col min="4" max="4" width="4.7109375" style="32" customWidth="1"/>
    <col min="5" max="5" width="10" style="32" bestFit="1" customWidth="1"/>
    <col min="6" max="6" width="9.140625" style="4"/>
    <col min="7" max="7" width="12.7109375" style="4" customWidth="1"/>
    <col min="8" max="8" width="8.85546875" style="4" bestFit="1" customWidth="1"/>
    <col min="9" max="9" width="8.5703125" style="4" bestFit="1" customWidth="1"/>
    <col min="10" max="10" width="8.28515625" style="4" bestFit="1" customWidth="1"/>
    <col min="11" max="11" width="9.5703125" style="4" bestFit="1" customWidth="1"/>
    <col min="12" max="12" width="13.7109375" style="4" bestFit="1" customWidth="1"/>
    <col min="13" max="16" width="12.7109375" style="4" customWidth="1"/>
    <col min="17" max="18" width="4.7109375" style="4" customWidth="1"/>
    <col min="19" max="16384" width="9.140625" style="4"/>
  </cols>
  <sheetData>
    <row r="1" spans="1:18" ht="15.75" x14ac:dyDescent="0.25">
      <c r="A1" s="49" t="s">
        <v>161</v>
      </c>
      <c r="B1" s="49"/>
    </row>
    <row r="2" spans="1:18" ht="15.75" x14ac:dyDescent="0.25">
      <c r="A2" s="49"/>
      <c r="B2" s="49"/>
      <c r="I2" s="113"/>
    </row>
    <row r="3" spans="1:18" x14ac:dyDescent="0.25">
      <c r="D3" s="48"/>
      <c r="G3" s="47" t="s">
        <v>146</v>
      </c>
      <c r="H3" s="47"/>
      <c r="I3" s="46"/>
      <c r="J3" s="46"/>
      <c r="K3" s="46"/>
      <c r="L3" s="47"/>
      <c r="M3" s="47"/>
      <c r="N3" s="46"/>
      <c r="O3" s="46"/>
      <c r="P3" s="46"/>
    </row>
    <row r="4" spans="1:18" ht="12.75" x14ac:dyDescent="0.2">
      <c r="A4" s="25" t="s">
        <v>23</v>
      </c>
      <c r="B4" s="25"/>
      <c r="C4" s="45" t="s">
        <v>22</v>
      </c>
      <c r="D4" s="44"/>
      <c r="E4" s="44" t="s">
        <v>21</v>
      </c>
      <c r="G4" s="25" t="s">
        <v>53</v>
      </c>
      <c r="H4" s="25" t="s">
        <v>54</v>
      </c>
      <c r="I4" s="25" t="s">
        <v>55</v>
      </c>
      <c r="J4" s="25" t="s">
        <v>56</v>
      </c>
      <c r="K4" s="25" t="s">
        <v>57</v>
      </c>
      <c r="L4" s="25" t="s">
        <v>58</v>
      </c>
      <c r="M4" s="25" t="s">
        <v>20</v>
      </c>
      <c r="N4" s="25" t="s">
        <v>11</v>
      </c>
      <c r="O4" s="25" t="s">
        <v>19</v>
      </c>
      <c r="P4" s="25" t="s">
        <v>10</v>
      </c>
    </row>
    <row r="5" spans="1:18" ht="12.75" x14ac:dyDescent="0.2">
      <c r="C5" s="4"/>
      <c r="D5" s="4"/>
      <c r="E5" s="43"/>
    </row>
    <row r="6" spans="1:18" x14ac:dyDescent="0.25">
      <c r="A6" s="4">
        <v>0</v>
      </c>
      <c r="G6" s="40">
        <v>1000</v>
      </c>
      <c r="H6" s="40"/>
      <c r="I6" s="40"/>
      <c r="J6" s="40"/>
      <c r="K6" s="40"/>
      <c r="L6" s="40"/>
      <c r="M6" s="39">
        <f t="shared" ref="M6:M66" si="0">SUM(G6:L6)</f>
        <v>1000</v>
      </c>
      <c r="N6" s="38">
        <f>(cNES)*G6</f>
        <v>2410000</v>
      </c>
      <c r="O6" s="33"/>
      <c r="P6" s="42"/>
      <c r="Q6" s="33"/>
      <c r="R6" s="33"/>
    </row>
    <row r="7" spans="1:18" x14ac:dyDescent="0.25">
      <c r="A7" s="4">
        <v>1</v>
      </c>
      <c r="C7" s="41" t="e">
        <f t="shared" ref="C7:C38" si="1">1-EXP(lambda*(A6^gamma-A7^gamma))</f>
        <v>#REF!</v>
      </c>
      <c r="E7" s="41">
        <f t="shared" ref="E7:E66" si="2">IF(male=0,VLOOKUP(A$5:A$65536+age,Lifetable,2,1),IF(male=1,VLOOKUP(A$5:A$65536+age,Lifetable,5,1),"error"))</f>
        <v>1.2009000000000001E-2</v>
      </c>
      <c r="G7" s="111">
        <f t="shared" ref="G7:G38" si="3">H6*(1-mr)+I6*(1-mr)+J6*(1-(mr+amr+amrHOEX))+G6*(1-(mr+rrOSEX+rrEREX+rrHOEX+amr))</f>
        <v>882.78804888245611</v>
      </c>
      <c r="H7" s="112">
        <f t="shared" ref="H7:H66" si="4">G6*(rrOSEX)</f>
        <v>100.45209288469181</v>
      </c>
      <c r="I7" s="39">
        <f t="shared" ref="I7:I66" si="5">G6*(rrEREX)</f>
        <v>2.2987227351808359</v>
      </c>
      <c r="J7" s="39">
        <f t="shared" ref="J7:J66" si="6">G6*(rrHOEX)</f>
        <v>2.2987227351808359</v>
      </c>
      <c r="K7" s="112">
        <f t="shared" ref="K7:K38" si="7">(G6*mr)+(H6*mr)+(I6*mr)+(J6*mr)+K6</f>
        <v>12.009</v>
      </c>
      <c r="L7" s="112">
        <f t="shared" ref="L7:L66" si="8">(G6*amr)+(J6*(amr+amrHOEX))+L6</f>
        <v>0.15341276249036806</v>
      </c>
      <c r="M7" s="39">
        <f t="shared" si="0"/>
        <v>999.99999999999989</v>
      </c>
      <c r="N7" s="38">
        <f t="shared" ref="N7:N66" si="9">(cNES*G7+cOSEX*H7+cEREX*I7+cHOEX*J7)/(1+cDR)^A$5:A$65536</f>
        <v>2039457.6273862575</v>
      </c>
      <c r="O7" s="37">
        <f>(I7+H7+G7+J7)</f>
        <v>987.83758723750964</v>
      </c>
      <c r="P7" s="36">
        <f>(uNES*G7+ uOCEX*H7+uEREX*'B - UC C'!I7+uHOEX*'B - UC C'!J7)/(1+oDR)^A$5:A$65536</f>
        <v>640.22198221888868</v>
      </c>
      <c r="Q7" s="33"/>
      <c r="R7" s="33"/>
    </row>
    <row r="8" spans="1:18" x14ac:dyDescent="0.25">
      <c r="A8" s="4">
        <v>2</v>
      </c>
      <c r="C8" s="41" t="e">
        <f t="shared" si="1"/>
        <v>#REF!</v>
      </c>
      <c r="E8" s="41">
        <f t="shared" si="2"/>
        <v>1.2867E-2</v>
      </c>
      <c r="G8" s="111">
        <f t="shared" si="3"/>
        <v>882.22803830478017</v>
      </c>
      <c r="H8" s="112">
        <f t="shared" si="4"/>
        <v>88.677907083836331</v>
      </c>
      <c r="I8" s="39">
        <f t="shared" si="5"/>
        <v>2.0292849583120329</v>
      </c>
      <c r="J8" s="39">
        <f t="shared" si="6"/>
        <v>2.0292849583120329</v>
      </c>
      <c r="K8" s="112">
        <f t="shared" si="7"/>
        <v>24.719506234985033</v>
      </c>
      <c r="L8" s="112">
        <f t="shared" si="8"/>
        <v>0.31597845977439443</v>
      </c>
      <c r="M8" s="39">
        <f t="shared" si="0"/>
        <v>1000</v>
      </c>
      <c r="N8" s="38">
        <f t="shared" si="9"/>
        <v>1919236.7386623716</v>
      </c>
      <c r="O8" s="37">
        <f t="shared" ref="O8:O66" si="10">(I8+H8+G8+J8)</f>
        <v>974.96451530524052</v>
      </c>
      <c r="P8" s="36">
        <f>(uNES*G8+ uOCEX*H8+uEREX*'B - UC C'!I8+uHOEX*'B - UC C'!J8)/(1+oDR)^A$5:A$65536</f>
        <v>623.65698397975621</v>
      </c>
      <c r="Q8" s="33"/>
      <c r="R8" s="33"/>
    </row>
    <row r="9" spans="1:18" x14ac:dyDescent="0.25">
      <c r="A9" s="4">
        <v>3</v>
      </c>
      <c r="C9" s="41" t="e">
        <f t="shared" si="1"/>
        <v>#REF!</v>
      </c>
      <c r="E9" s="41">
        <f t="shared" si="2"/>
        <v>1.3772E-2</v>
      </c>
      <c r="G9" s="111">
        <f t="shared" si="3"/>
        <v>868.70035658442953</v>
      </c>
      <c r="H9" s="112">
        <f t="shared" si="4"/>
        <v>88.621652849271229</v>
      </c>
      <c r="I9" s="39">
        <f t="shared" si="5"/>
        <v>2.0279976492651874</v>
      </c>
      <c r="J9" s="39">
        <f t="shared" si="6"/>
        <v>2.0279976492651874</v>
      </c>
      <c r="K9" s="112">
        <f t="shared" si="7"/>
        <v>38.146717539768808</v>
      </c>
      <c r="L9" s="112">
        <f t="shared" si="8"/>
        <v>0.47527772800001428</v>
      </c>
      <c r="M9" s="39">
        <f t="shared" si="0"/>
        <v>1000</v>
      </c>
      <c r="N9" s="38">
        <f t="shared" si="9"/>
        <v>1783211.5395219496</v>
      </c>
      <c r="O9" s="37">
        <f t="shared" si="10"/>
        <v>961.37800473223115</v>
      </c>
      <c r="P9" s="36">
        <f>(uNES*G9+ uOCEX*H9+uEREX*'B - UC C'!I9+uHOEX*'B - UC C'!J9)/(1+oDR)^A$5:A$65536</f>
        <v>605.75396537481924</v>
      </c>
      <c r="Q9" s="33"/>
      <c r="R9" s="33"/>
    </row>
    <row r="10" spans="1:18" x14ac:dyDescent="0.25">
      <c r="A10" s="4">
        <v>4</v>
      </c>
      <c r="C10" s="41" t="e">
        <f t="shared" si="1"/>
        <v>#REF!</v>
      </c>
      <c r="E10" s="41">
        <f t="shared" si="2"/>
        <v>1.4749E-2</v>
      </c>
      <c r="G10" s="111">
        <f t="shared" si="3"/>
        <v>855.78486035891171</v>
      </c>
      <c r="H10" s="112">
        <f t="shared" si="4"/>
        <v>87.262768908584007</v>
      </c>
      <c r="I10" s="39">
        <f t="shared" si="5"/>
        <v>1.9969012597403273</v>
      </c>
      <c r="J10" s="39">
        <f t="shared" si="6"/>
        <v>1.9969012597403273</v>
      </c>
      <c r="K10" s="112">
        <f t="shared" si="7"/>
        <v>52.326081731564486</v>
      </c>
      <c r="L10" s="112">
        <f t="shared" si="8"/>
        <v>0.63248648145915565</v>
      </c>
      <c r="M10" s="39">
        <f t="shared" si="0"/>
        <v>1000</v>
      </c>
      <c r="N10" s="38">
        <f t="shared" si="9"/>
        <v>1657252.4618019904</v>
      </c>
      <c r="O10" s="37">
        <f t="shared" si="10"/>
        <v>947.04143178697632</v>
      </c>
      <c r="P10" s="36">
        <f>(uNES*G10+ uOCEX*H10+uEREX*'B - UC C'!I10+uHOEX*'B - UC C'!J10)/(1+oDR)^A$5:A$65536</f>
        <v>587.9059757654951</v>
      </c>
      <c r="Q10" s="33"/>
      <c r="R10" s="33"/>
    </row>
    <row r="11" spans="1:18" x14ac:dyDescent="0.25">
      <c r="A11" s="4">
        <v>5</v>
      </c>
      <c r="C11" s="41" t="e">
        <f t="shared" si="1"/>
        <v>#REF!</v>
      </c>
      <c r="E11" s="41">
        <f t="shared" si="2"/>
        <v>1.5852000000000002E-2</v>
      </c>
      <c r="G11" s="111">
        <f t="shared" si="3"/>
        <v>841.974266217018</v>
      </c>
      <c r="H11" s="112">
        <f t="shared" si="4"/>
        <v>85.965380282086414</v>
      </c>
      <c r="I11" s="39">
        <f t="shared" si="5"/>
        <v>1.9672121149305872</v>
      </c>
      <c r="J11" s="39">
        <f t="shared" si="6"/>
        <v>1.9672121149305872</v>
      </c>
      <c r="K11" s="112">
        <f t="shared" si="7"/>
        <v>67.338582508251633</v>
      </c>
      <c r="L11" s="112">
        <f t="shared" si="8"/>
        <v>0.78734676278285587</v>
      </c>
      <c r="M11" s="39">
        <f t="shared" si="0"/>
        <v>1000</v>
      </c>
      <c r="N11" s="38">
        <f t="shared" si="9"/>
        <v>1538243.2341348419</v>
      </c>
      <c r="O11" s="37">
        <f t="shared" si="10"/>
        <v>931.87407072896553</v>
      </c>
      <c r="P11" s="36">
        <f>(uNES*G11+ uOCEX*H11+uEREX*'B - UC C'!I11+uHOEX*'B - UC C'!J11)/(1+oDR)^A$5:A$65536</f>
        <v>569.93101985714463</v>
      </c>
      <c r="Q11" s="33"/>
      <c r="R11" s="33"/>
    </row>
    <row r="12" spans="1:18" x14ac:dyDescent="0.25">
      <c r="A12" s="4">
        <v>6</v>
      </c>
      <c r="C12" s="41" t="e">
        <f t="shared" si="1"/>
        <v>#REF!</v>
      </c>
      <c r="E12" s="41">
        <f t="shared" si="2"/>
        <v>1.7097000000000001E-2</v>
      </c>
      <c r="G12" s="111">
        <f t="shared" si="3"/>
        <v>827.34042066753898</v>
      </c>
      <c r="H12" s="112">
        <f t="shared" si="4"/>
        <v>84.57807719655213</v>
      </c>
      <c r="I12" s="39">
        <f t="shared" si="5"/>
        <v>1.9354653881902608</v>
      </c>
      <c r="J12" s="39">
        <f t="shared" si="6"/>
        <v>1.9354653881902608</v>
      </c>
      <c r="K12" s="112">
        <f t="shared" si="7"/>
        <v>83.27083349550476</v>
      </c>
      <c r="L12" s="112">
        <f t="shared" si="8"/>
        <v>0.93973786402375414</v>
      </c>
      <c r="M12" s="39">
        <f t="shared" si="0"/>
        <v>1000.0000000000001</v>
      </c>
      <c r="N12" s="38">
        <f t="shared" si="9"/>
        <v>1425976.6192455688</v>
      </c>
      <c r="O12" s="37">
        <f t="shared" si="10"/>
        <v>915.78942864047156</v>
      </c>
      <c r="P12" s="36">
        <f>(uNES*G12+ uOCEX*H12+uEREX*'B - UC C'!I12+uHOEX*'B - UC C'!J12)/(1+oDR)^A$5:A$65536</f>
        <v>551.80676232188182</v>
      </c>
      <c r="Q12" s="33"/>
      <c r="R12" s="33"/>
    </row>
    <row r="13" spans="1:18" x14ac:dyDescent="0.25">
      <c r="A13" s="4">
        <v>7</v>
      </c>
      <c r="C13" s="41" t="e">
        <f t="shared" si="1"/>
        <v>#REF!</v>
      </c>
      <c r="E13" s="41">
        <f t="shared" si="2"/>
        <v>1.8463E-2</v>
      </c>
      <c r="G13" s="111">
        <f t="shared" si="3"/>
        <v>811.81970783024917</v>
      </c>
      <c r="H13" s="112">
        <f t="shared" si="4"/>
        <v>83.108076784155628</v>
      </c>
      <c r="I13" s="39">
        <f t="shared" si="5"/>
        <v>1.9018262347225485</v>
      </c>
      <c r="J13" s="39">
        <f t="shared" si="6"/>
        <v>1.9018262347225485</v>
      </c>
      <c r="K13" s="112">
        <f t="shared" si="7"/>
        <v>100.1790537164938</v>
      </c>
      <c r="L13" s="112">
        <f t="shared" si="8"/>
        <v>1.0895091996563626</v>
      </c>
      <c r="M13" s="39">
        <f t="shared" si="0"/>
        <v>1000.0000000000001</v>
      </c>
      <c r="N13" s="38">
        <f t="shared" si="9"/>
        <v>1320050.6781291887</v>
      </c>
      <c r="O13" s="37">
        <f t="shared" si="10"/>
        <v>898.73143708384987</v>
      </c>
      <c r="P13" s="36">
        <f>(uNES*G13+ uOCEX*H13+uEREX*'B - UC C'!I13+uHOEX*'B - UC C'!J13)/(1+oDR)^A$5:A$65536</f>
        <v>533.51519019242107</v>
      </c>
      <c r="Q13" s="33"/>
      <c r="R13" s="33"/>
    </row>
    <row r="14" spans="1:18" x14ac:dyDescent="0.25">
      <c r="A14" s="4">
        <v>8</v>
      </c>
      <c r="C14" s="41" t="e">
        <f t="shared" si="1"/>
        <v>#REF!</v>
      </c>
      <c r="E14" s="41">
        <f t="shared" si="2"/>
        <v>1.9959000000000001E-2</v>
      </c>
      <c r="G14" s="111">
        <f t="shared" si="3"/>
        <v>795.36537762144371</v>
      </c>
      <c r="H14" s="112">
        <f t="shared" si="4"/>
        <v>81.548988696587557</v>
      </c>
      <c r="I14" s="39">
        <f t="shared" si="5"/>
        <v>1.8661484192572575</v>
      </c>
      <c r="J14" s="39">
        <f t="shared" si="6"/>
        <v>1.8661484192572575</v>
      </c>
      <c r="K14" s="112">
        <f t="shared" si="7"/>
        <v>118.11683446925036</v>
      </c>
      <c r="L14" s="112">
        <f t="shared" si="8"/>
        <v>1.2365023742038941</v>
      </c>
      <c r="M14" s="39">
        <f t="shared" si="0"/>
        <v>1000</v>
      </c>
      <c r="N14" s="38">
        <f t="shared" si="9"/>
        <v>1220116.7642544017</v>
      </c>
      <c r="O14" s="37">
        <f t="shared" si="10"/>
        <v>880.64666315654574</v>
      </c>
      <c r="P14" s="36">
        <f>(uNES*G14+ uOCEX*H14+uEREX*'B - UC C'!I14+uHOEX*'B - UC C'!J14)/(1+oDR)^A$5:A$65536</f>
        <v>515.04264749906713</v>
      </c>
      <c r="Q14" s="33"/>
      <c r="R14" s="33"/>
    </row>
    <row r="15" spans="1:18" x14ac:dyDescent="0.25">
      <c r="A15" s="4">
        <v>9</v>
      </c>
      <c r="C15" s="41" t="e">
        <f t="shared" si="1"/>
        <v>#REF!</v>
      </c>
      <c r="E15" s="41">
        <f t="shared" si="2"/>
        <v>2.1616E-2</v>
      </c>
      <c r="G15" s="111">
        <f t="shared" si="3"/>
        <v>777.913791423303</v>
      </c>
      <c r="H15" s="112">
        <f t="shared" si="4"/>
        <v>79.896116790097238</v>
      </c>
      <c r="I15" s="39">
        <f t="shared" si="5"/>
        <v>1.8283244763141036</v>
      </c>
      <c r="J15" s="39">
        <f t="shared" si="6"/>
        <v>1.8283244763141036</v>
      </c>
      <c r="K15" s="112">
        <f t="shared" si="7"/>
        <v>137.15289274004226</v>
      </c>
      <c r="L15" s="112">
        <f t="shared" si="8"/>
        <v>1.3805500939294482</v>
      </c>
      <c r="M15" s="39">
        <f t="shared" si="0"/>
        <v>1000.0000000000002</v>
      </c>
      <c r="N15" s="38">
        <f t="shared" si="9"/>
        <v>1125825.179497048</v>
      </c>
      <c r="O15" s="37">
        <f t="shared" si="10"/>
        <v>861.46655716602845</v>
      </c>
      <c r="P15" s="36">
        <f>(uNES*G15+ uOCEX*H15+uEREX*'B - UC C'!I15+uHOEX*'B - UC C'!J15)/(1+oDR)^A$5:A$65536</f>
        <v>496.3677038882409</v>
      </c>
      <c r="Q15" s="33"/>
      <c r="R15" s="33"/>
    </row>
    <row r="16" spans="1:18" x14ac:dyDescent="0.25">
      <c r="A16" s="4">
        <v>10</v>
      </c>
      <c r="C16" s="41" t="e">
        <f t="shared" si="1"/>
        <v>#REF!</v>
      </c>
      <c r="E16" s="41">
        <f t="shared" si="2"/>
        <v>2.3528E-2</v>
      </c>
      <c r="G16" s="111">
        <f t="shared" si="3"/>
        <v>759.33756340033983</v>
      </c>
      <c r="H16" s="112">
        <f t="shared" si="4"/>
        <v>78.143068432336406</v>
      </c>
      <c r="I16" s="39">
        <f t="shared" si="5"/>
        <v>1.7882081183554694</v>
      </c>
      <c r="J16" s="39">
        <f t="shared" si="6"/>
        <v>1.7882081183554694</v>
      </c>
      <c r="K16" s="112">
        <f t="shared" si="7"/>
        <v>157.42147789704458</v>
      </c>
      <c r="L16" s="112">
        <f t="shared" si="8"/>
        <v>1.5214740335684105</v>
      </c>
      <c r="M16" s="39">
        <f t="shared" si="0"/>
        <v>1000.0000000000001</v>
      </c>
      <c r="N16" s="38">
        <f t="shared" si="9"/>
        <v>1036766.3057984398</v>
      </c>
      <c r="O16" s="37">
        <f t="shared" si="10"/>
        <v>841.05704806938718</v>
      </c>
      <c r="P16" s="36">
        <f>(uNES*G16+ uOCEX*H16+uEREX*'B - UC C'!I16+uHOEX*'B - UC C'!J16)/(1+oDR)^A$5:A$65536</f>
        <v>477.43303329104572</v>
      </c>
      <c r="Q16" s="33"/>
      <c r="R16" s="33"/>
    </row>
    <row r="17" spans="1:18" x14ac:dyDescent="0.25">
      <c r="A17" s="4">
        <v>11</v>
      </c>
      <c r="C17" s="41" t="e">
        <f t="shared" si="1"/>
        <v>#REF!</v>
      </c>
      <c r="E17" s="41">
        <f t="shared" si="2"/>
        <v>2.5693000000000001E-2</v>
      </c>
      <c r="G17" s="111">
        <f t="shared" si="3"/>
        <v>739.54210827762631</v>
      </c>
      <c r="H17" s="112">
        <f t="shared" si="4"/>
        <v>76.277047449526492</v>
      </c>
      <c r="I17" s="39">
        <f t="shared" si="5"/>
        <v>1.7455065206651805</v>
      </c>
      <c r="J17" s="39">
        <f t="shared" si="6"/>
        <v>1.7455065206651805</v>
      </c>
      <c r="K17" s="112">
        <f t="shared" si="7"/>
        <v>179.03075663309136</v>
      </c>
      <c r="L17" s="112">
        <f t="shared" si="8"/>
        <v>1.6590745984256381</v>
      </c>
      <c r="M17" s="39">
        <f t="shared" si="0"/>
        <v>1000.0000000000002</v>
      </c>
      <c r="N17" s="38">
        <f t="shared" si="9"/>
        <v>952614.23542815004</v>
      </c>
      <c r="O17" s="37">
        <f t="shared" si="10"/>
        <v>819.31016876848321</v>
      </c>
      <c r="P17" s="36">
        <f>(uNES*G17+ uOCEX*H17+uEREX*'B - UC C'!I17+uHOEX*'B - UC C'!J17)/(1+oDR)^A$5:A$65536</f>
        <v>458.20059935998364</v>
      </c>
      <c r="Q17" s="33"/>
      <c r="R17" s="33"/>
    </row>
    <row r="18" spans="1:18" x14ac:dyDescent="0.25">
      <c r="A18" s="4">
        <v>12</v>
      </c>
      <c r="C18" s="41" t="e">
        <f t="shared" si="1"/>
        <v>#REF!</v>
      </c>
      <c r="E18" s="41">
        <f t="shared" si="2"/>
        <v>2.8041E-2</v>
      </c>
      <c r="G18" s="111">
        <f t="shared" si="3"/>
        <v>718.51327562914844</v>
      </c>
      <c r="H18" s="112">
        <f t="shared" si="4"/>
        <v>74.288552552844934</v>
      </c>
      <c r="I18" s="39">
        <f t="shared" si="5"/>
        <v>1.7000022579213472</v>
      </c>
      <c r="J18" s="39">
        <f t="shared" si="6"/>
        <v>1.7000022579213472</v>
      </c>
      <c r="K18" s="112">
        <f t="shared" si="7"/>
        <v>202.00503307552839</v>
      </c>
      <c r="L18" s="112">
        <f t="shared" si="8"/>
        <v>1.7931342266356338</v>
      </c>
      <c r="M18" s="39">
        <f t="shared" si="0"/>
        <v>1000.0000000000002</v>
      </c>
      <c r="N18" s="38">
        <f t="shared" si="9"/>
        <v>873169.03047072783</v>
      </c>
      <c r="O18" s="37">
        <f t="shared" si="10"/>
        <v>796.20183269783604</v>
      </c>
      <c r="P18" s="36">
        <f>(uNES*G18+ uOCEX*H18+uEREX*'B - UC C'!I18+uHOEX*'B - UC C'!J18)/(1+oDR)^A$5:A$65536</f>
        <v>438.68180304157528</v>
      </c>
      <c r="Q18" s="33"/>
      <c r="R18" s="33"/>
    </row>
    <row r="19" spans="1:18" x14ac:dyDescent="0.25">
      <c r="A19" s="4">
        <v>13</v>
      </c>
      <c r="C19" s="41" t="e">
        <f t="shared" si="1"/>
        <v>#REF!</v>
      </c>
      <c r="E19" s="41">
        <f t="shared" si="2"/>
        <v>3.0567E-2</v>
      </c>
      <c r="G19" s="111">
        <f t="shared" si="3"/>
        <v>696.25454697864791</v>
      </c>
      <c r="H19" s="112">
        <f t="shared" si="4"/>
        <v>72.176162302383389</v>
      </c>
      <c r="I19" s="39">
        <f t="shared" si="5"/>
        <v>1.651662802217978</v>
      </c>
      <c r="J19" s="39">
        <f t="shared" si="6"/>
        <v>1.651662802217978</v>
      </c>
      <c r="K19" s="112">
        <f t="shared" si="7"/>
        <v>226.34253449560316</v>
      </c>
      <c r="L19" s="112">
        <f t="shared" si="8"/>
        <v>1.9234306189297332</v>
      </c>
      <c r="M19" s="39">
        <f t="shared" si="0"/>
        <v>1000.0000000000001</v>
      </c>
      <c r="N19" s="38">
        <f t="shared" si="9"/>
        <v>798255.95892475231</v>
      </c>
      <c r="O19" s="37">
        <f t="shared" si="10"/>
        <v>771.73403488546728</v>
      </c>
      <c r="P19" s="36">
        <f>(uNES*G19+ uOCEX*H19+uEREX*'B - UC C'!I19+uHOEX*'B - UC C'!J19)/(1+oDR)^A$5:A$65536</f>
        <v>418.90162879799112</v>
      </c>
      <c r="Q19" s="33"/>
      <c r="R19" s="33"/>
    </row>
    <row r="20" spans="1:18" x14ac:dyDescent="0.25">
      <c r="A20" s="4">
        <v>14</v>
      </c>
      <c r="C20" s="41" t="e">
        <f t="shared" si="1"/>
        <v>#REF!</v>
      </c>
      <c r="E20" s="41">
        <f t="shared" si="2"/>
        <v>3.3347000000000002E-2</v>
      </c>
      <c r="G20" s="111">
        <f t="shared" si="3"/>
        <v>672.73149027917623</v>
      </c>
      <c r="H20" s="112">
        <f t="shared" si="4"/>
        <v>69.940226424488159</v>
      </c>
      <c r="I20" s="39">
        <f t="shared" si="5"/>
        <v>1.6004961566128513</v>
      </c>
      <c r="J20" s="39">
        <f t="shared" si="6"/>
        <v>1.6004961566128513</v>
      </c>
      <c r="K20" s="112">
        <f t="shared" si="7"/>
        <v>252.07754935692884</v>
      </c>
      <c r="L20" s="112">
        <f t="shared" si="8"/>
        <v>2.0497416261812589</v>
      </c>
      <c r="M20" s="39">
        <f t="shared" si="0"/>
        <v>1000.0000000000002</v>
      </c>
      <c r="N20" s="38">
        <f t="shared" si="9"/>
        <v>727659.6236441189</v>
      </c>
      <c r="O20" s="37">
        <f t="shared" si="10"/>
        <v>745.8727090168901</v>
      </c>
      <c r="P20" s="36">
        <f>(uNES*G20+ uOCEX*H20+uEREX*'B - UC C'!I20+uHOEX*'B - UC C'!J20)/(1+oDR)^A$5:A$65536</f>
        <v>398.86444104965193</v>
      </c>
      <c r="Q20" s="33"/>
      <c r="R20" s="33"/>
    </row>
    <row r="21" spans="1:18" x14ac:dyDescent="0.25">
      <c r="A21" s="4">
        <v>15</v>
      </c>
      <c r="C21" s="41" t="e">
        <f t="shared" si="1"/>
        <v>#REF!</v>
      </c>
      <c r="E21" s="41">
        <f t="shared" si="2"/>
        <v>3.6572E-2</v>
      </c>
      <c r="G21" s="111">
        <f t="shared" si="3"/>
        <v>647.8024215267526</v>
      </c>
      <c r="H21" s="112">
        <f t="shared" si="4"/>
        <v>67.577286147980956</v>
      </c>
      <c r="I21" s="39">
        <f t="shared" si="5"/>
        <v>1.5464231713768279</v>
      </c>
      <c r="J21" s="39">
        <f t="shared" si="6"/>
        <v>1.5464231713768279</v>
      </c>
      <c r="K21" s="112">
        <f t="shared" si="7"/>
        <v>279.35560607109454</v>
      </c>
      <c r="L21" s="112">
        <f t="shared" si="8"/>
        <v>2.1718399114183486</v>
      </c>
      <c r="M21" s="39">
        <f t="shared" si="0"/>
        <v>1000</v>
      </c>
      <c r="N21" s="38">
        <f t="shared" si="9"/>
        <v>661065.72795841796</v>
      </c>
      <c r="O21" s="37">
        <f t="shared" si="10"/>
        <v>718.47255401748714</v>
      </c>
      <c r="P21" s="36">
        <f>(uNES*G21+ uOCEX*H21+uEREX*'B - UC C'!I21+uHOEX*'B - UC C'!J21)/(1+oDR)^A$5:A$65536</f>
        <v>378.51573180508353</v>
      </c>
      <c r="Q21" s="33"/>
      <c r="R21" s="33"/>
    </row>
    <row r="22" spans="1:18" x14ac:dyDescent="0.25">
      <c r="A22" s="4">
        <v>16</v>
      </c>
      <c r="C22" s="41" t="e">
        <f t="shared" si="1"/>
        <v>#REF!</v>
      </c>
      <c r="E22" s="41">
        <f t="shared" si="2"/>
        <v>4.0275999999999999E-2</v>
      </c>
      <c r="G22" s="111">
        <f t="shared" si="3"/>
        <v>621.36637254939626</v>
      </c>
      <c r="H22" s="112">
        <f t="shared" si="4"/>
        <v>65.073109018133636</v>
      </c>
      <c r="I22" s="39">
        <f t="shared" si="5"/>
        <v>1.4891181542687455</v>
      </c>
      <c r="J22" s="39">
        <f t="shared" si="6"/>
        <v>1.4891181542687455</v>
      </c>
      <c r="K22" s="112">
        <f t="shared" si="7"/>
        <v>308.29280665670285</v>
      </c>
      <c r="L22" s="112">
        <f t="shared" si="8"/>
        <v>2.2894754672299089</v>
      </c>
      <c r="M22" s="39">
        <f t="shared" si="0"/>
        <v>1000.0000000000002</v>
      </c>
      <c r="N22" s="38">
        <f t="shared" si="9"/>
        <v>598230.71105510427</v>
      </c>
      <c r="O22" s="37">
        <f t="shared" si="10"/>
        <v>689.4177178760674</v>
      </c>
      <c r="P22" s="36">
        <f>(uNES*G22+ uOCEX*H22+uEREX*'B - UC C'!I22+uHOEX*'B - UC C'!J22)/(1+oDR)^A$5:A$65536</f>
        <v>357.82124469649023</v>
      </c>
      <c r="Q22" s="33"/>
      <c r="R22" s="33"/>
    </row>
    <row r="23" spans="1:18" x14ac:dyDescent="0.25">
      <c r="A23" s="4">
        <v>17</v>
      </c>
      <c r="C23" s="41" t="e">
        <f t="shared" si="1"/>
        <v>#REF!</v>
      </c>
      <c r="E23" s="41">
        <f t="shared" si="2"/>
        <v>4.4347999999999999E-2</v>
      </c>
      <c r="G23" s="111">
        <f t="shared" si="3"/>
        <v>593.45626685342165</v>
      </c>
      <c r="H23" s="112">
        <f t="shared" si="4"/>
        <v>62.417552570755973</v>
      </c>
      <c r="I23" s="39">
        <f t="shared" si="5"/>
        <v>1.4283490074561425</v>
      </c>
      <c r="J23" s="39">
        <f t="shared" si="6"/>
        <v>1.4283490074561425</v>
      </c>
      <c r="K23" s="112">
        <f t="shared" si="7"/>
        <v>338.86710360907068</v>
      </c>
      <c r="L23" s="112">
        <f t="shared" si="8"/>
        <v>2.4023789518394807</v>
      </c>
      <c r="M23" s="39">
        <f t="shared" si="0"/>
        <v>1000.0000000000002</v>
      </c>
      <c r="N23" s="38">
        <f t="shared" si="9"/>
        <v>539052.58382357692</v>
      </c>
      <c r="O23" s="37">
        <f t="shared" si="10"/>
        <v>658.73051743908991</v>
      </c>
      <c r="P23" s="36">
        <f>(uNES*G23+ uOCEX*H23+uEREX*'B - UC C'!I23+uHOEX*'B - UC C'!J23)/(1+oDR)^A$5:A$65536</f>
        <v>336.82081150341349</v>
      </c>
      <c r="Q23" s="33"/>
      <c r="R23" s="33"/>
    </row>
    <row r="24" spans="1:18" x14ac:dyDescent="0.25">
      <c r="A24" s="4">
        <v>18</v>
      </c>
      <c r="C24" s="41" t="e">
        <f t="shared" si="1"/>
        <v>#REF!</v>
      </c>
      <c r="E24" s="41">
        <f t="shared" si="2"/>
        <v>4.8797E-2</v>
      </c>
      <c r="G24" s="111">
        <f t="shared" si="3"/>
        <v>564.13623312997754</v>
      </c>
      <c r="H24" s="112">
        <f t="shared" si="4"/>
        <v>59.61392404096236</v>
      </c>
      <c r="I24" s="39">
        <f t="shared" si="5"/>
        <v>1.3641914129515054</v>
      </c>
      <c r="J24" s="39">
        <f t="shared" si="6"/>
        <v>1.3641914129515054</v>
      </c>
      <c r="K24" s="112">
        <f t="shared" si="7"/>
        <v>371.01117666854594</v>
      </c>
      <c r="L24" s="112">
        <f t="shared" si="8"/>
        <v>2.510283334611159</v>
      </c>
      <c r="M24" s="39">
        <f t="shared" si="0"/>
        <v>1000</v>
      </c>
      <c r="N24" s="38">
        <f t="shared" si="9"/>
        <v>483448.98474917759</v>
      </c>
      <c r="O24" s="37">
        <f t="shared" si="10"/>
        <v>626.47853999684298</v>
      </c>
      <c r="P24" s="36">
        <f>(uNES*G24+ uOCEX*H24+uEREX*'B - UC C'!I24+uHOEX*'B - UC C'!J24)/(1+oDR)^A$5:A$65536</f>
        <v>315.57464179781687</v>
      </c>
      <c r="Q24" s="33"/>
      <c r="R24" s="33"/>
    </row>
    <row r="25" spans="1:18" x14ac:dyDescent="0.25">
      <c r="A25" s="4">
        <v>19</v>
      </c>
      <c r="C25" s="41" t="e">
        <f t="shared" si="1"/>
        <v>#REF!</v>
      </c>
      <c r="E25" s="41">
        <f t="shared" si="2"/>
        <v>5.3739000000000002E-2</v>
      </c>
      <c r="G25" s="111">
        <f t="shared" si="3"/>
        <v>533.44730989446111</v>
      </c>
      <c r="H25" s="112">
        <f t="shared" si="4"/>
        <v>56.66866528999266</v>
      </c>
      <c r="I25" s="39">
        <f t="shared" si="5"/>
        <v>1.2967927848351557</v>
      </c>
      <c r="J25" s="39">
        <f t="shared" si="6"/>
        <v>1.2967927848351557</v>
      </c>
      <c r="K25" s="112">
        <f t="shared" si="7"/>
        <v>404.67750692943628</v>
      </c>
      <c r="L25" s="112">
        <f t="shared" si="8"/>
        <v>2.6129323164396192</v>
      </c>
      <c r="M25" s="39">
        <f t="shared" si="0"/>
        <v>999.99999999999989</v>
      </c>
      <c r="N25" s="38">
        <f t="shared" si="9"/>
        <v>431306.65837869892</v>
      </c>
      <c r="O25" s="37">
        <f t="shared" si="10"/>
        <v>592.70956075412403</v>
      </c>
      <c r="P25" s="36">
        <f>(uNES*G25+ uOCEX*H25+uEREX*'B - UC C'!I25+uHOEX*'B - UC C'!J25)/(1+oDR)^A$5:A$65536</f>
        <v>294.12978788812063</v>
      </c>
      <c r="Q25" s="33"/>
      <c r="R25" s="33"/>
    </row>
    <row r="26" spans="1:18" x14ac:dyDescent="0.25">
      <c r="A26" s="4">
        <v>20</v>
      </c>
      <c r="C26" s="41" t="e">
        <f t="shared" si="1"/>
        <v>#REF!</v>
      </c>
      <c r="E26" s="41">
        <f t="shared" si="2"/>
        <v>5.9402999999999997E-2</v>
      </c>
      <c r="G26" s="111">
        <f t="shared" si="3"/>
        <v>501.36529575776103</v>
      </c>
      <c r="H26" s="112">
        <f t="shared" si="4"/>
        <v>53.585898722607382</v>
      </c>
      <c r="I26" s="39">
        <f t="shared" si="5"/>
        <v>1.2262474592754546</v>
      </c>
      <c r="J26" s="39">
        <f t="shared" si="6"/>
        <v>1.2262474592754546</v>
      </c>
      <c r="K26" s="112">
        <f t="shared" si="7"/>
        <v>439.8862329669135</v>
      </c>
      <c r="L26" s="112">
        <f t="shared" si="8"/>
        <v>2.7100776341671704</v>
      </c>
      <c r="M26" s="39">
        <f t="shared" si="0"/>
        <v>1000</v>
      </c>
      <c r="N26" s="38">
        <f t="shared" si="9"/>
        <v>382456.79256647814</v>
      </c>
      <c r="O26" s="37">
        <f t="shared" si="10"/>
        <v>557.40368939891925</v>
      </c>
      <c r="P26" s="36">
        <f>(uNES*G26+ uOCEX*H26+uEREX*'B - UC C'!I26+uHOEX*'B - UC C'!J26)/(1+oDR)^A$5:A$65536</f>
        <v>272.49767564239511</v>
      </c>
      <c r="Q26" s="33"/>
      <c r="R26" s="33"/>
    </row>
    <row r="27" spans="1:18" x14ac:dyDescent="0.25">
      <c r="A27" s="4">
        <v>21</v>
      </c>
      <c r="C27" s="41" t="e">
        <f t="shared" si="1"/>
        <v>#REF!</v>
      </c>
      <c r="E27" s="41">
        <f t="shared" si="2"/>
        <v>6.5873000000000001E-2</v>
      </c>
      <c r="G27" s="111">
        <f t="shared" si="3"/>
        <v>467.92625250931002</v>
      </c>
      <c r="H27" s="112">
        <f t="shared" si="4"/>
        <v>50.363193258619596</v>
      </c>
      <c r="I27" s="39">
        <f t="shared" si="5"/>
        <v>1.1524998039890293</v>
      </c>
      <c r="J27" s="39">
        <f t="shared" si="6"/>
        <v>1.1524998039890293</v>
      </c>
      <c r="K27" s="112">
        <f t="shared" si="7"/>
        <v>476.60408619868849</v>
      </c>
      <c r="L27" s="112">
        <f t="shared" si="8"/>
        <v>2.8014684254037712</v>
      </c>
      <c r="M27" s="39">
        <f t="shared" si="0"/>
        <v>999.99999999999989</v>
      </c>
      <c r="N27" s="38">
        <f t="shared" si="9"/>
        <v>336779.12354907318</v>
      </c>
      <c r="O27" s="37">
        <f t="shared" si="10"/>
        <v>520.59444537590764</v>
      </c>
      <c r="P27" s="36">
        <f>(uNES*G27+ uOCEX*H27+uEREX*'B - UC C'!I27+uHOEX*'B - UC C'!J27)/(1+oDR)^A$5:A$65536</f>
        <v>250.7162381034708</v>
      </c>
      <c r="Q27" s="33"/>
      <c r="R27" s="33"/>
    </row>
    <row r="28" spans="1:18" x14ac:dyDescent="0.25">
      <c r="A28" s="4">
        <v>22</v>
      </c>
      <c r="C28" s="41" t="e">
        <f t="shared" si="1"/>
        <v>#REF!</v>
      </c>
      <c r="E28" s="41">
        <f t="shared" si="2"/>
        <v>7.3081999999999994E-2</v>
      </c>
      <c r="G28" s="111">
        <f t="shared" si="3"/>
        <v>433.30753503063659</v>
      </c>
      <c r="H28" s="112">
        <f t="shared" si="4"/>
        <v>47.004171380250966</v>
      </c>
      <c r="I28" s="39">
        <f t="shared" si="5"/>
        <v>1.0756327150311196</v>
      </c>
      <c r="J28" s="39">
        <f t="shared" si="6"/>
        <v>1.0756327150311196</v>
      </c>
      <c r="K28" s="112">
        <f t="shared" si="7"/>
        <v>514.6501694556506</v>
      </c>
      <c r="L28" s="112">
        <f t="shared" si="8"/>
        <v>2.88685870339962</v>
      </c>
      <c r="M28" s="39">
        <f t="shared" si="0"/>
        <v>1000</v>
      </c>
      <c r="N28" s="38">
        <f t="shared" si="9"/>
        <v>294245.25461921463</v>
      </c>
      <c r="O28" s="37">
        <f t="shared" si="10"/>
        <v>482.46297184094982</v>
      </c>
      <c r="P28" s="36">
        <f>(uNES*G28+ uOCEX*H28+uEREX*'B - UC C'!I28+uHOEX*'B - UC C'!J28)/(1+oDR)^A$5:A$65536</f>
        <v>228.89236906376334</v>
      </c>
      <c r="Q28" s="33"/>
      <c r="R28" s="33"/>
    </row>
    <row r="29" spans="1:18" x14ac:dyDescent="0.25">
      <c r="A29" s="4">
        <v>23</v>
      </c>
      <c r="C29" s="41" t="e">
        <f t="shared" si="1"/>
        <v>#REF!</v>
      </c>
      <c r="E29" s="41">
        <f t="shared" si="2"/>
        <v>8.1070000000000003E-2</v>
      </c>
      <c r="G29" s="111">
        <f t="shared" si="3"/>
        <v>397.75177022803445</v>
      </c>
      <c r="H29" s="112">
        <f t="shared" si="4"/>
        <v>43.526648756534357</v>
      </c>
      <c r="I29" s="39">
        <f t="shared" si="5"/>
        <v>0.99605388210009083</v>
      </c>
      <c r="J29" s="39">
        <f t="shared" si="6"/>
        <v>0.99605388210009083</v>
      </c>
      <c r="K29" s="112">
        <f t="shared" si="7"/>
        <v>553.76344258279642</v>
      </c>
      <c r="L29" s="112">
        <f t="shared" si="8"/>
        <v>2.9660306684346565</v>
      </c>
      <c r="M29" s="39">
        <f t="shared" si="0"/>
        <v>1000.0000000000001</v>
      </c>
      <c r="N29" s="38">
        <f t="shared" si="9"/>
        <v>254845.69721204942</v>
      </c>
      <c r="O29" s="37">
        <f t="shared" si="10"/>
        <v>443.27052674876899</v>
      </c>
      <c r="P29" s="36">
        <f>(uNES*G29+ uOCEX*H29+uEREX*'B - UC C'!I29+uHOEX*'B - UC C'!J29)/(1+oDR)^A$5:A$65536</f>
        <v>207.16405273610155</v>
      </c>
      <c r="Q29" s="33"/>
      <c r="R29" s="33"/>
    </row>
    <row r="30" spans="1:18" x14ac:dyDescent="0.25">
      <c r="A30" s="4">
        <v>24</v>
      </c>
      <c r="C30" s="41" t="e">
        <f t="shared" si="1"/>
        <v>#REF!</v>
      </c>
      <c r="E30" s="41">
        <f t="shared" si="2"/>
        <v>8.9946999999999999E-2</v>
      </c>
      <c r="G30" s="111">
        <f t="shared" si="3"/>
        <v>361.54325495003968</v>
      </c>
      <c r="H30" s="112">
        <f t="shared" si="4"/>
        <v>39.954997767997114</v>
      </c>
      <c r="I30" s="39">
        <f t="shared" si="5"/>
        <v>0.91432103718160673</v>
      </c>
      <c r="J30" s="39">
        <f t="shared" si="6"/>
        <v>0.91432103718160673</v>
      </c>
      <c r="K30" s="112">
        <f t="shared" si="7"/>
        <v>593.63429665226795</v>
      </c>
      <c r="L30" s="112">
        <f t="shared" si="8"/>
        <v>3.0388085553320781</v>
      </c>
      <c r="M30" s="39">
        <f t="shared" si="0"/>
        <v>1000</v>
      </c>
      <c r="N30" s="38">
        <f t="shared" si="9"/>
        <v>218567.24057285648</v>
      </c>
      <c r="O30" s="37">
        <f t="shared" si="10"/>
        <v>403.32689479240003</v>
      </c>
      <c r="P30" s="36">
        <f>(uNES*G30+ uOCEX*H30+uEREX*'B - UC C'!I30+uHOEX*'B - UC C'!J30)/(1+oDR)^A$5:A$65536</f>
        <v>185.68364670126056</v>
      </c>
      <c r="Q30" s="33"/>
      <c r="R30" s="33"/>
    </row>
    <row r="31" spans="1:18" x14ac:dyDescent="0.25">
      <c r="A31" s="4">
        <v>25</v>
      </c>
      <c r="C31" s="41" t="e">
        <f t="shared" si="1"/>
        <v>#REF!</v>
      </c>
      <c r="E31" s="41">
        <f t="shared" si="2"/>
        <v>9.9842E-2</v>
      </c>
      <c r="G31" s="111">
        <f t="shared" si="3"/>
        <v>325.01172069268523</v>
      </c>
      <c r="H31" s="112">
        <f t="shared" si="4"/>
        <v>36.317776628075201</v>
      </c>
      <c r="I31" s="39">
        <f t="shared" si="5"/>
        <v>0.83108769990493747</v>
      </c>
      <c r="J31" s="39">
        <f t="shared" si="6"/>
        <v>0.83108769990493747</v>
      </c>
      <c r="K31" s="112">
        <f t="shared" si="7"/>
        <v>633.9032604821308</v>
      </c>
      <c r="L31" s="112">
        <f t="shared" si="8"/>
        <v>3.1050667972989765</v>
      </c>
      <c r="M31" s="39">
        <f t="shared" si="0"/>
        <v>1000</v>
      </c>
      <c r="N31" s="38">
        <f t="shared" si="9"/>
        <v>185392.65531450484</v>
      </c>
      <c r="O31" s="37">
        <f t="shared" si="10"/>
        <v>362.99167272057031</v>
      </c>
      <c r="P31" s="36">
        <f>(uNES*G31+ uOCEX*H31+uEREX*'B - UC C'!I31+uHOEX*'B - UC C'!J31)/(1+oDR)^A$5:A$65536</f>
        <v>164.61729703730828</v>
      </c>
      <c r="Q31" s="33"/>
      <c r="R31" s="33"/>
    </row>
    <row r="32" spans="1:18" x14ac:dyDescent="0.25">
      <c r="A32" s="4">
        <v>26</v>
      </c>
      <c r="C32" s="41" t="e">
        <f t="shared" si="1"/>
        <v>#REF!</v>
      </c>
      <c r="E32" s="41">
        <f t="shared" si="2"/>
        <v>0.110863</v>
      </c>
      <c r="G32" s="111">
        <f t="shared" si="3"/>
        <v>288.54732435941622</v>
      </c>
      <c r="H32" s="112">
        <f t="shared" si="4"/>
        <v>32.648107555635129</v>
      </c>
      <c r="I32" s="39">
        <f t="shared" si="5"/>
        <v>0.74711183155651928</v>
      </c>
      <c r="J32" s="39">
        <f t="shared" si="6"/>
        <v>0.74711183155651928</v>
      </c>
      <c r="K32" s="112">
        <f t="shared" si="7"/>
        <v>674.14560629495145</v>
      </c>
      <c r="L32" s="112">
        <f t="shared" si="8"/>
        <v>3.1647381268843384</v>
      </c>
      <c r="M32" s="39">
        <f t="shared" si="0"/>
        <v>1000.0000000000002</v>
      </c>
      <c r="N32" s="38">
        <f t="shared" si="9"/>
        <v>155306.5268190972</v>
      </c>
      <c r="O32" s="37">
        <f t="shared" si="10"/>
        <v>322.68965557816438</v>
      </c>
      <c r="P32" s="36">
        <f>(uNES*G32+ uOCEX*H32+uEREX*'B - UC C'!I32+uHOEX*'B - UC C'!J32)/(1+oDR)^A$5:A$65536</f>
        <v>144.15054987159957</v>
      </c>
      <c r="Q32" s="33"/>
      <c r="R32" s="33"/>
    </row>
    <row r="33" spans="1:18" x14ac:dyDescent="0.25">
      <c r="A33" s="4">
        <v>27</v>
      </c>
      <c r="C33" s="41" t="e">
        <f t="shared" si="1"/>
        <v>#REF!</v>
      </c>
      <c r="E33" s="41">
        <f t="shared" si="2"/>
        <v>0.123088</v>
      </c>
      <c r="G33" s="111">
        <f t="shared" si="3"/>
        <v>252.60558208283584</v>
      </c>
      <c r="H33" s="112">
        <f t="shared" si="4"/>
        <v>28.985182628181374</v>
      </c>
      <c r="I33" s="39">
        <f t="shared" si="5"/>
        <v>0.66329029468058909</v>
      </c>
      <c r="J33" s="39">
        <f t="shared" si="6"/>
        <v>0.66329029468058909</v>
      </c>
      <c r="K33" s="112">
        <f t="shared" si="7"/>
        <v>713.86483062075649</v>
      </c>
      <c r="L33" s="112">
        <f t="shared" si="8"/>
        <v>3.2178240788652497</v>
      </c>
      <c r="M33" s="39">
        <f t="shared" si="0"/>
        <v>1000.0000000000001</v>
      </c>
      <c r="N33" s="38">
        <f t="shared" si="9"/>
        <v>128294.05695793629</v>
      </c>
      <c r="O33" s="37">
        <f t="shared" si="10"/>
        <v>282.91734530037837</v>
      </c>
      <c r="P33" s="36">
        <f>(uNES*G33+ uOCEX*H33+uEREX*'B - UC C'!I33+uHOEX*'B - UC C'!J33)/(1+oDR)^A$5:A$65536</f>
        <v>124.48935427230246</v>
      </c>
      <c r="Q33" s="33"/>
      <c r="R33" s="33"/>
    </row>
    <row r="34" spans="1:18" x14ac:dyDescent="0.25">
      <c r="A34" s="4">
        <v>28</v>
      </c>
      <c r="C34" s="41" t="e">
        <f t="shared" si="1"/>
        <v>#REF!</v>
      </c>
      <c r="E34" s="41">
        <f t="shared" si="2"/>
        <v>0.13656299999999999</v>
      </c>
      <c r="G34" s="111">
        <f t="shared" si="3"/>
        <v>217.69862151246184</v>
      </c>
      <c r="H34" s="112">
        <f t="shared" si="4"/>
        <v>25.374759394576667</v>
      </c>
      <c r="I34" s="39">
        <f t="shared" si="5"/>
        <v>0.58067019456740354</v>
      </c>
      <c r="J34" s="39">
        <f t="shared" si="6"/>
        <v>0.58067019456740354</v>
      </c>
      <c r="K34" s="112">
        <f t="shared" si="7"/>
        <v>752.50087204701208</v>
      </c>
      <c r="L34" s="112">
        <f t="shared" si="8"/>
        <v>3.2644066568147569</v>
      </c>
      <c r="M34" s="39">
        <f t="shared" si="0"/>
        <v>1000.0000000000002</v>
      </c>
      <c r="N34" s="38">
        <f t="shared" si="9"/>
        <v>104333.37723017352</v>
      </c>
      <c r="O34" s="37">
        <f t="shared" si="10"/>
        <v>244.23472129617332</v>
      </c>
      <c r="P34" s="36">
        <f>(uNES*G34+ uOCEX*H34+uEREX*'B - UC C'!I34+uHOEX*'B - UC C'!J34)/(1+oDR)^A$5:A$65536</f>
        <v>105.85447647226839</v>
      </c>
      <c r="Q34" s="33"/>
      <c r="R34" s="33"/>
    </row>
    <row r="35" spans="1:18" x14ac:dyDescent="0.25">
      <c r="A35" s="4">
        <v>29</v>
      </c>
      <c r="C35" s="41" t="e">
        <f t="shared" si="1"/>
        <v>#REF!</v>
      </c>
      <c r="E35" s="41">
        <f t="shared" si="2"/>
        <v>0.15129899999999999</v>
      </c>
      <c r="G35" s="111">
        <f t="shared" si="3"/>
        <v>184.37286037364572</v>
      </c>
      <c r="H35" s="112">
        <f t="shared" si="4"/>
        <v>21.868282149039185</v>
      </c>
      <c r="I35" s="39">
        <f t="shared" si="5"/>
        <v>0.50042877068822389</v>
      </c>
      <c r="J35" s="39">
        <f t="shared" si="6"/>
        <v>0.50042877068822389</v>
      </c>
      <c r="K35" s="112">
        <f t="shared" si="7"/>
        <v>789.45334114440175</v>
      </c>
      <c r="L35" s="112">
        <f t="shared" si="8"/>
        <v>3.3046587915370189</v>
      </c>
      <c r="M35" s="39">
        <f t="shared" si="0"/>
        <v>1000.0000000000001</v>
      </c>
      <c r="N35" s="38">
        <f t="shared" si="9"/>
        <v>83384.015002713335</v>
      </c>
      <c r="O35" s="37">
        <f t="shared" si="10"/>
        <v>207.24200006406136</v>
      </c>
      <c r="P35" s="36">
        <f>(uNES*G35+ uOCEX*H35+uEREX*'B - UC C'!I35+uHOEX*'B - UC C'!J35)/(1+oDR)^A$5:A$65536</f>
        <v>88.469907342455457</v>
      </c>
      <c r="Q35" s="33"/>
      <c r="R35" s="33"/>
    </row>
    <row r="36" spans="1:18" x14ac:dyDescent="0.25">
      <c r="A36" s="4">
        <v>30</v>
      </c>
      <c r="C36" s="41" t="e">
        <f t="shared" si="1"/>
        <v>#REF!</v>
      </c>
      <c r="E36" s="41">
        <f t="shared" si="2"/>
        <v>0.167291</v>
      </c>
      <c r="G36" s="111">
        <f t="shared" si="3"/>
        <v>153.16980241768769</v>
      </c>
      <c r="H36" s="112">
        <f t="shared" si="4"/>
        <v>18.520639695669775</v>
      </c>
      <c r="I36" s="39">
        <f t="shared" si="5"/>
        <v>0.42382208589122128</v>
      </c>
      <c r="J36" s="39">
        <f t="shared" si="6"/>
        <v>0.42382208589122128</v>
      </c>
      <c r="K36" s="112">
        <f t="shared" si="7"/>
        <v>824.12306257711862</v>
      </c>
      <c r="L36" s="112">
        <f t="shared" si="8"/>
        <v>3.3388511377415848</v>
      </c>
      <c r="M36" s="39">
        <f t="shared" si="0"/>
        <v>1000.0000000000001</v>
      </c>
      <c r="N36" s="38">
        <f t="shared" si="9"/>
        <v>65372.138143478478</v>
      </c>
      <c r="O36" s="37">
        <f t="shared" si="10"/>
        <v>172.53808628513991</v>
      </c>
      <c r="P36" s="36">
        <f>(uNES*G36+ uOCEX*H36+uEREX*'B - UC C'!I36+uHOEX*'B - UC C'!J36)/(1+oDR)^A$5:A$65536</f>
        <v>72.544495383809192</v>
      </c>
      <c r="Q36" s="33"/>
      <c r="R36" s="33"/>
    </row>
    <row r="37" spans="1:18" x14ac:dyDescent="0.25">
      <c r="A37" s="4">
        <v>31</v>
      </c>
      <c r="C37" s="41" t="e">
        <f t="shared" si="1"/>
        <v>#REF!</v>
      </c>
      <c r="E37" s="41">
        <f t="shared" si="2"/>
        <v>0.18451999999999999</v>
      </c>
      <c r="G37" s="111">
        <f t="shared" si="3"/>
        <v>124.58244045700513</v>
      </c>
      <c r="H37" s="112">
        <f t="shared" si="4"/>
        <v>15.386227219591456</v>
      </c>
      <c r="I37" s="39">
        <f t="shared" si="5"/>
        <v>0.35209490716069525</v>
      </c>
      <c r="J37" s="39">
        <f t="shared" si="6"/>
        <v>0.35209490716069525</v>
      </c>
      <c r="K37" s="112">
        <f t="shared" si="7"/>
        <v>855.95979025845259</v>
      </c>
      <c r="L37" s="112">
        <f t="shared" si="8"/>
        <v>3.3673522506294904</v>
      </c>
      <c r="M37" s="39">
        <f t="shared" si="0"/>
        <v>1000</v>
      </c>
      <c r="N37" s="38">
        <f t="shared" si="9"/>
        <v>50179.575760767264</v>
      </c>
      <c r="O37" s="37">
        <f t="shared" si="10"/>
        <v>140.67285749091801</v>
      </c>
      <c r="P37" s="36">
        <f>(uNES*G37+ uOCEX*H37+uEREX*'B - UC C'!I37+uHOEX*'B - UC C'!J37)/(1+oDR)^A$5:A$65536</f>
        <v>58.252700240022591</v>
      </c>
      <c r="Q37" s="33"/>
      <c r="R37" s="33"/>
    </row>
    <row r="38" spans="1:18" x14ac:dyDescent="0.25">
      <c r="A38" s="4">
        <v>32</v>
      </c>
      <c r="C38" s="41" t="e">
        <f t="shared" si="1"/>
        <v>#REF!</v>
      </c>
      <c r="E38" s="41">
        <f t="shared" si="2"/>
        <v>0.202954</v>
      </c>
      <c r="G38" s="111">
        <f t="shared" si="3"/>
        <v>99.012141754824697</v>
      </c>
      <c r="H38" s="112">
        <f t="shared" si="4"/>
        <v>12.514566880588667</v>
      </c>
      <c r="I38" s="39">
        <f t="shared" si="5"/>
        <v>0.28638048828283047</v>
      </c>
      <c r="J38" s="39">
        <f t="shared" si="6"/>
        <v>0.28638048828283047</v>
      </c>
      <c r="K38" s="112">
        <f t="shared" si="7"/>
        <v>884.50990937766437</v>
      </c>
      <c r="L38" s="112">
        <f t="shared" si="8"/>
        <v>3.3906210103566852</v>
      </c>
      <c r="M38" s="39">
        <f t="shared" si="0"/>
        <v>1000</v>
      </c>
      <c r="N38" s="38">
        <f t="shared" si="9"/>
        <v>37638.093725760664</v>
      </c>
      <c r="O38" s="37">
        <f t="shared" si="10"/>
        <v>112.09946961197902</v>
      </c>
      <c r="P38" s="36">
        <f>(uNES*G38+ uOCEX*H38+uEREX*'B - UC C'!I38+uHOEX*'B - UC C'!J38)/(1+oDR)^A$5:A$65536</f>
        <v>45.71712607619255</v>
      </c>
      <c r="Q38" s="33"/>
      <c r="R38" s="33"/>
    </row>
    <row r="39" spans="1:18" x14ac:dyDescent="0.25">
      <c r="A39" s="4">
        <v>33</v>
      </c>
      <c r="C39" s="41" t="e">
        <f t="shared" ref="C39:C66" si="11">1-EXP(lambda*(A38^gamma-A39^gamma))</f>
        <v>#REF!</v>
      </c>
      <c r="E39" s="41">
        <f t="shared" si="2"/>
        <v>0.222555</v>
      </c>
      <c r="G39" s="111">
        <f t="shared" ref="G39:G66" si="12">H38*(1-mr)+I38*(1-mr)+J38*(1-(mr+amr+amrHOEX))+G38*(1-(mr+rrOSEX+rrEREX+rrHOEX+amr))</f>
        <v>76.731422130778753</v>
      </c>
      <c r="H39" s="112">
        <f t="shared" si="4"/>
        <v>9.9459768602679226</v>
      </c>
      <c r="I39" s="39">
        <f t="shared" si="5"/>
        <v>0.22760146131076328</v>
      </c>
      <c r="J39" s="39">
        <f t="shared" si="6"/>
        <v>0.22760146131076328</v>
      </c>
      <c r="K39" s="112">
        <f t="shared" ref="K39:K66" si="13">(G38*mr)+(H38*mr)+(I38*mr)+(J38*mr)+K38</f>
        <v>909.4582068371584</v>
      </c>
      <c r="L39" s="112">
        <f t="shared" si="8"/>
        <v>3.4091912491735079</v>
      </c>
      <c r="M39" s="39">
        <f t="shared" si="0"/>
        <v>1000.0000000000001</v>
      </c>
      <c r="N39" s="38">
        <f t="shared" si="9"/>
        <v>27529.705760821962</v>
      </c>
      <c r="O39" s="37">
        <f t="shared" si="10"/>
        <v>87.132601913668211</v>
      </c>
      <c r="P39" s="36">
        <f>(uNES*G39+ uOCEX*H39+uEREX*'B - UC C'!I39+uHOEX*'B - UC C'!J39)/(1+oDR)^A$5:A$65536</f>
        <v>34.995129842272632</v>
      </c>
      <c r="Q39" s="33"/>
      <c r="R39" s="33"/>
    </row>
    <row r="40" spans="1:18" x14ac:dyDescent="0.25">
      <c r="A40" s="4">
        <v>34</v>
      </c>
      <c r="C40" s="41" t="e">
        <f t="shared" si="11"/>
        <v>#REF!</v>
      </c>
      <c r="E40" s="41">
        <f t="shared" si="2"/>
        <v>0.24327199999999999</v>
      </c>
      <c r="G40" s="111">
        <f t="shared" si="12"/>
        <v>57.860620860201834</v>
      </c>
      <c r="H40" s="112">
        <f t="shared" si="4"/>
        <v>7.707831943055484</v>
      </c>
      <c r="I40" s="39">
        <f t="shared" si="5"/>
        <v>0.17638426455477907</v>
      </c>
      <c r="J40" s="39">
        <f t="shared" si="6"/>
        <v>0.17638426455477907</v>
      </c>
      <c r="K40" s="112">
        <f t="shared" si="13"/>
        <v>930.65512916990031</v>
      </c>
      <c r="L40" s="112">
        <f t="shared" si="8"/>
        <v>3.4236494977329515</v>
      </c>
      <c r="M40" s="39">
        <f t="shared" si="0"/>
        <v>1000.0000000000001</v>
      </c>
      <c r="N40" s="38">
        <f t="shared" si="9"/>
        <v>19593.978835238187</v>
      </c>
      <c r="O40" s="37">
        <f t="shared" si="10"/>
        <v>65.921221332366883</v>
      </c>
      <c r="P40" s="36">
        <f>(uNES*G40+ uOCEX*H40+uEREX*'B - UC C'!I40+uHOEX*'B - UC C'!J40)/(1+oDR)^A$5:A$65536</f>
        <v>26.072590478727609</v>
      </c>
      <c r="Q40" s="33"/>
      <c r="R40" s="33"/>
    </row>
    <row r="41" spans="1:18" x14ac:dyDescent="0.25">
      <c r="A41" s="4">
        <v>35</v>
      </c>
      <c r="C41" s="41" t="e">
        <f t="shared" si="11"/>
        <v>#REF!</v>
      </c>
      <c r="E41" s="41">
        <f t="shared" si="2"/>
        <v>0.26382100000000003</v>
      </c>
      <c r="G41" s="111">
        <f t="shared" si="12"/>
        <v>42.440628643756803</v>
      </c>
      <c r="H41" s="112">
        <f t="shared" si="4"/>
        <v>5.8122204610149311</v>
      </c>
      <c r="I41" s="39">
        <f t="shared" si="5"/>
        <v>0.13300552464302448</v>
      </c>
      <c r="J41" s="39">
        <f t="shared" si="6"/>
        <v>0.13300552464302448</v>
      </c>
      <c r="K41" s="112">
        <f t="shared" si="13"/>
        <v>948.04653170302663</v>
      </c>
      <c r="L41" s="112">
        <f t="shared" si="8"/>
        <v>3.4346081429156787</v>
      </c>
      <c r="M41" s="39">
        <f t="shared" si="0"/>
        <v>1000</v>
      </c>
      <c r="N41" s="38">
        <f t="shared" si="9"/>
        <v>13565.664529004311</v>
      </c>
      <c r="O41" s="37">
        <f t="shared" si="10"/>
        <v>48.518860154057784</v>
      </c>
      <c r="P41" s="36">
        <f>(uNES*G41+ uOCEX*H41+uEREX*'B - UC C'!I41+uHOEX*'B - UC C'!J41)/(1+oDR)^A$5:A$65536</f>
        <v>18.897085917946626</v>
      </c>
      <c r="Q41" s="33"/>
      <c r="R41" s="33"/>
    </row>
    <row r="42" spans="1:18" x14ac:dyDescent="0.25">
      <c r="A42" s="4">
        <v>36</v>
      </c>
      <c r="C42" s="41" t="e">
        <f t="shared" si="11"/>
        <v>#REF!</v>
      </c>
      <c r="E42" s="41">
        <f t="shared" si="2"/>
        <v>0.283833</v>
      </c>
      <c r="G42" s="111">
        <f t="shared" si="12"/>
        <v>30.281157106208735</v>
      </c>
      <c r="H42" s="112">
        <f t="shared" si="4"/>
        <v>4.2632499706073705</v>
      </c>
      <c r="I42" s="39">
        <f t="shared" si="5"/>
        <v>9.7559237958770764E-2</v>
      </c>
      <c r="J42" s="39">
        <f t="shared" si="6"/>
        <v>9.7559237958770764E-2</v>
      </c>
      <c r="K42" s="112">
        <f t="shared" si="13"/>
        <v>961.81778533713327</v>
      </c>
      <c r="L42" s="112">
        <f t="shared" si="8"/>
        <v>3.4426891101331325</v>
      </c>
      <c r="M42" s="39">
        <f t="shared" si="0"/>
        <v>1000.0000000000001</v>
      </c>
      <c r="N42" s="38">
        <f t="shared" si="9"/>
        <v>9136.0316395316204</v>
      </c>
      <c r="O42" s="37">
        <f t="shared" si="10"/>
        <v>34.739525552733646</v>
      </c>
      <c r="P42" s="36">
        <f>(uNES*G42+ uOCEX*H42+uEREX*'B - UC C'!I42+uHOEX*'B - UC C'!J42)/(1+oDR)^A$5:A$65536</f>
        <v>13.323828153905495</v>
      </c>
      <c r="Q42" s="33"/>
      <c r="R42" s="33"/>
    </row>
    <row r="43" spans="1:18" x14ac:dyDescent="0.25">
      <c r="A43" s="4">
        <v>37</v>
      </c>
      <c r="C43" s="41" t="e">
        <f t="shared" si="11"/>
        <v>#REF!</v>
      </c>
      <c r="E43" s="41">
        <f t="shared" si="2"/>
        <v>0.30291600000000002</v>
      </c>
      <c r="G43" s="111">
        <f t="shared" si="12"/>
        <v>21.029548723980703</v>
      </c>
      <c r="H43" s="112">
        <f t="shared" si="4"/>
        <v>3.0418056062888255</v>
      </c>
      <c r="I43" s="39">
        <f t="shared" si="5"/>
        <v>6.9607984287624755E-2</v>
      </c>
      <c r="J43" s="39">
        <f t="shared" si="6"/>
        <v>6.9607984287624755E-2</v>
      </c>
      <c r="K43" s="112">
        <f t="shared" si="13"/>
        <v>972.34094345946517</v>
      </c>
      <c r="L43" s="112">
        <f t="shared" si="8"/>
        <v>3.4484862416901358</v>
      </c>
      <c r="M43" s="39">
        <f t="shared" si="0"/>
        <v>1000.0000000000001</v>
      </c>
      <c r="N43" s="38">
        <f t="shared" si="9"/>
        <v>5988.8273089118229</v>
      </c>
      <c r="O43" s="37">
        <f t="shared" si="10"/>
        <v>24.210570298844779</v>
      </c>
      <c r="P43" s="36">
        <f>(uNES*G43+ uOCEX*H43+uEREX*'B - UC C'!I43+uHOEX*'B - UC C'!J43)/(1+oDR)^A$5:A$65536</f>
        <v>9.1439017600049866</v>
      </c>
      <c r="Q43" s="33"/>
      <c r="R43" s="33"/>
    </row>
    <row r="44" spans="1:18" x14ac:dyDescent="0.25">
      <c r="A44" s="4">
        <v>38</v>
      </c>
      <c r="C44" s="41" t="e">
        <f t="shared" si="11"/>
        <v>#REF!</v>
      </c>
      <c r="E44" s="41">
        <f t="shared" si="2"/>
        <v>0.32067200000000001</v>
      </c>
      <c r="G44" s="111">
        <f t="shared" si="12"/>
        <v>14.233726042094226</v>
      </c>
      <c r="H44" s="112">
        <f t="shared" si="4"/>
        <v>2.112462181744462</v>
      </c>
      <c r="I44" s="39">
        <f t="shared" si="5"/>
        <v>4.8341101762407579E-2</v>
      </c>
      <c r="J44" s="39">
        <f t="shared" si="6"/>
        <v>4.8341101762407579E-2</v>
      </c>
      <c r="K44" s="112">
        <f t="shared" si="13"/>
        <v>980.10459545833635</v>
      </c>
      <c r="L44" s="112">
        <f t="shared" si="8"/>
        <v>3.4525341143002559</v>
      </c>
      <c r="M44" s="39">
        <f t="shared" si="0"/>
        <v>1000.0000000000001</v>
      </c>
      <c r="N44" s="38">
        <f t="shared" si="9"/>
        <v>3826.0598201304374</v>
      </c>
      <c r="O44" s="37">
        <f t="shared" si="10"/>
        <v>16.442870427363502</v>
      </c>
      <c r="P44" s="36">
        <f>(uNES*G44+ uOCEX*H44+uEREX*'B - UC C'!I44+uHOEX*'B - UC C'!J44)/(1+oDR)^A$5:A$65536</f>
        <v>6.1154963418586563</v>
      </c>
      <c r="Q44" s="33"/>
      <c r="R44" s="33"/>
    </row>
    <row r="45" spans="1:18" x14ac:dyDescent="0.25">
      <c r="A45" s="4">
        <v>39</v>
      </c>
      <c r="C45" s="41" t="e">
        <f t="shared" si="11"/>
        <v>#REF!</v>
      </c>
      <c r="E45" s="41">
        <f t="shared" si="2"/>
        <v>0.33670600000000001</v>
      </c>
      <c r="G45" s="111">
        <f t="shared" si="12"/>
        <v>9.4084566807993966</v>
      </c>
      <c r="H45" s="112">
        <f t="shared" si="4"/>
        <v>1.4298075704757058</v>
      </c>
      <c r="I45" s="39">
        <f t="shared" si="5"/>
        <v>3.2719389659297535E-2</v>
      </c>
      <c r="J45" s="39">
        <f t="shared" si="6"/>
        <v>3.2719389659297535E-2</v>
      </c>
      <c r="K45" s="112">
        <f t="shared" si="13"/>
        <v>985.64100858845222</v>
      </c>
      <c r="L45" s="112">
        <f t="shared" si="8"/>
        <v>3.4552883809542072</v>
      </c>
      <c r="M45" s="39">
        <f t="shared" si="0"/>
        <v>1000.0000000000001</v>
      </c>
      <c r="N45" s="38">
        <f t="shared" si="9"/>
        <v>2387.0421319380739</v>
      </c>
      <c r="O45" s="37">
        <f t="shared" si="10"/>
        <v>10.903703030593697</v>
      </c>
      <c r="P45" s="36">
        <f>(uNES*G45+ uOCEX*H45+uEREX*'B - UC C'!I45+uHOEX*'B - UC C'!J45)/(1+oDR)^A$5:A$65536</f>
        <v>3.9936347485690122</v>
      </c>
      <c r="Q45" s="33"/>
      <c r="R45" s="33"/>
    </row>
    <row r="46" spans="1:18" x14ac:dyDescent="0.25">
      <c r="A46" s="4">
        <v>40</v>
      </c>
      <c r="C46" s="41" t="e">
        <f t="shared" si="11"/>
        <v>#REF!</v>
      </c>
      <c r="E46" s="41">
        <f t="shared" si="2"/>
        <v>0.35354099999999999</v>
      </c>
      <c r="G46" s="111">
        <f t="shared" si="12"/>
        <v>6.058613320660422</v>
      </c>
      <c r="H46" s="112">
        <f t="shared" si="4"/>
        <v>0.94509916440126018</v>
      </c>
      <c r="I46" s="39">
        <f t="shared" si="5"/>
        <v>2.1627433275117597E-2</v>
      </c>
      <c r="J46" s="39">
        <f t="shared" si="6"/>
        <v>2.1627433275117597E-2</v>
      </c>
      <c r="K46" s="112">
        <f t="shared" si="13"/>
        <v>989.49591466159131</v>
      </c>
      <c r="L46" s="112">
        <f t="shared" si="8"/>
        <v>3.4571179867968613</v>
      </c>
      <c r="M46" s="39">
        <f t="shared" si="0"/>
        <v>1000.0000000000001</v>
      </c>
      <c r="N46" s="38">
        <f t="shared" si="9"/>
        <v>1450.9462195881515</v>
      </c>
      <c r="O46" s="37">
        <f t="shared" si="10"/>
        <v>7.0469673516119178</v>
      </c>
      <c r="P46" s="36">
        <f>(uNES*G46+ uOCEX*H46+uEREX*'B - UC C'!I46+uHOEX*'B - UC C'!J46)/(1+oDR)^A$5:A$65536</f>
        <v>2.5416336859175663</v>
      </c>
      <c r="Q46" s="33"/>
      <c r="R46" s="33"/>
    </row>
    <row r="47" spans="1:18" x14ac:dyDescent="0.25">
      <c r="A47" s="4">
        <v>41</v>
      </c>
      <c r="C47" s="41" t="e">
        <f t="shared" si="11"/>
        <v>#REF!</v>
      </c>
      <c r="E47" s="41">
        <f t="shared" si="2"/>
        <v>0.37121799999999999</v>
      </c>
      <c r="G47" s="111">
        <f t="shared" si="12"/>
        <v>3.7933669282041294</v>
      </c>
      <c r="H47" s="112">
        <f t="shared" si="4"/>
        <v>0.60860038803941185</v>
      </c>
      <c r="I47" s="39">
        <f t="shared" si="5"/>
        <v>1.3927072183871573E-2</v>
      </c>
      <c r="J47" s="39">
        <f t="shared" si="6"/>
        <v>1.3927072183871573E-2</v>
      </c>
      <c r="K47" s="112">
        <f t="shared" si="13"/>
        <v>992.11187578792203</v>
      </c>
      <c r="L47" s="112">
        <f t="shared" si="8"/>
        <v>3.4583027514668214</v>
      </c>
      <c r="M47" s="39">
        <f t="shared" si="0"/>
        <v>1000.0000000000001</v>
      </c>
      <c r="N47" s="38">
        <f t="shared" si="9"/>
        <v>857.56026705514648</v>
      </c>
      <c r="O47" s="37">
        <f t="shared" si="10"/>
        <v>4.4298214606112847</v>
      </c>
      <c r="P47" s="36">
        <f>(uNES*G47+ uOCEX*H47+uEREX*'B - UC C'!I47+uHOEX*'B - UC C'!J47)/(1+oDR)^A$5:A$65536</f>
        <v>1.5732295514317738</v>
      </c>
      <c r="Q47" s="33"/>
      <c r="R47" s="33"/>
    </row>
    <row r="48" spans="1:18" x14ac:dyDescent="0.25">
      <c r="A48" s="4">
        <v>42</v>
      </c>
      <c r="C48" s="41" t="e">
        <f t="shared" si="11"/>
        <v>#REF!</v>
      </c>
      <c r="E48" s="41">
        <f t="shared" si="2"/>
        <v>0.38977899999999999</v>
      </c>
      <c r="G48" s="111">
        <f t="shared" si="12"/>
        <v>2.3039322870753915</v>
      </c>
      <c r="H48" s="112">
        <f t="shared" si="4"/>
        <v>0.38105164701767924</v>
      </c>
      <c r="I48" s="39">
        <f t="shared" si="5"/>
        <v>8.7198988007459212E-3</v>
      </c>
      <c r="J48" s="39">
        <f t="shared" si="6"/>
        <v>8.7198988007459212E-3</v>
      </c>
      <c r="K48" s="112">
        <f t="shared" si="13"/>
        <v>993.83852716701767</v>
      </c>
      <c r="L48" s="112">
        <f t="shared" si="8"/>
        <v>3.4590491012879374</v>
      </c>
      <c r="M48" s="39">
        <f t="shared" si="0"/>
        <v>1000.0000000000002</v>
      </c>
      <c r="N48" s="38">
        <f t="shared" si="9"/>
        <v>491.70161494768593</v>
      </c>
      <c r="O48" s="37">
        <f t="shared" si="10"/>
        <v>2.7024237316945627</v>
      </c>
      <c r="P48" s="36">
        <f>(uNES*G48+ uOCEX*H48+uEREX*'B - UC C'!I48+uHOEX*'B - UC C'!J48)/(1+oDR)^A$5:A$65536</f>
        <v>0.94499445646257219</v>
      </c>
      <c r="Q48" s="33"/>
      <c r="R48" s="33"/>
    </row>
    <row r="49" spans="1:18" x14ac:dyDescent="0.25">
      <c r="A49" s="4">
        <v>43</v>
      </c>
      <c r="C49" s="41" t="e">
        <f t="shared" si="11"/>
        <v>#REF!</v>
      </c>
      <c r="E49" s="41">
        <f t="shared" si="2"/>
        <v>0.40926800000000002</v>
      </c>
      <c r="G49" s="111">
        <f t="shared" si="12"/>
        <v>1.3539247680555304</v>
      </c>
      <c r="H49" s="112">
        <f t="shared" si="4"/>
        <v>0.23143482010133767</v>
      </c>
      <c r="I49" s="39">
        <f t="shared" si="5"/>
        <v>5.2961015286173826E-3</v>
      </c>
      <c r="J49" s="39">
        <f t="shared" si="6"/>
        <v>5.2961015286173826E-3</v>
      </c>
      <c r="K49" s="112">
        <f t="shared" si="13"/>
        <v>994.94454272284088</v>
      </c>
      <c r="L49" s="112">
        <f t="shared" si="8"/>
        <v>3.4595054859452268</v>
      </c>
      <c r="M49" s="39">
        <f t="shared" si="0"/>
        <v>1000.0000000000002</v>
      </c>
      <c r="N49" s="38">
        <f t="shared" si="9"/>
        <v>272.80596777060282</v>
      </c>
      <c r="O49" s="37">
        <f t="shared" si="10"/>
        <v>1.595951791214103</v>
      </c>
      <c r="P49" s="36">
        <f>(uNES*G49+ uOCEX*H49+uEREX*'B - UC C'!I49+uHOEX*'B - UC C'!J49)/(1+oDR)^A$5:A$65536</f>
        <v>0.54946067412135768</v>
      </c>
      <c r="Q49" s="33"/>
      <c r="R49" s="33"/>
    </row>
    <row r="50" spans="1:18" x14ac:dyDescent="0.25">
      <c r="A50" s="4">
        <v>44</v>
      </c>
      <c r="C50" s="41" t="e">
        <f t="shared" si="11"/>
        <v>#REF!</v>
      </c>
      <c r="E50" s="41">
        <f t="shared" si="2"/>
        <v>0.429732</v>
      </c>
      <c r="G50" s="111">
        <f t="shared" si="12"/>
        <v>0.76762083826867655</v>
      </c>
      <c r="H50" s="112">
        <f t="shared" si="4"/>
        <v>0.13600457655959897</v>
      </c>
      <c r="I50" s="39">
        <f t="shared" si="5"/>
        <v>3.1122976460536875E-3</v>
      </c>
      <c r="J50" s="39">
        <f t="shared" si="6"/>
        <v>3.1122976460536875E-3</v>
      </c>
      <c r="K50" s="112">
        <f t="shared" si="13"/>
        <v>995.63037427798292</v>
      </c>
      <c r="L50" s="112">
        <f t="shared" si="8"/>
        <v>3.4597757118969277</v>
      </c>
      <c r="M50" s="39">
        <f t="shared" si="0"/>
        <v>1000.0000000000002</v>
      </c>
      <c r="N50" s="38">
        <f t="shared" si="9"/>
        <v>146.04108059914432</v>
      </c>
      <c r="O50" s="37">
        <f t="shared" si="10"/>
        <v>0.90985001012038291</v>
      </c>
      <c r="P50" s="36">
        <f>(uNES*G50+ uOCEX*H50+uEREX*'B - UC C'!I50+uHOEX*'B - UC C'!J50)/(1+oDR)^A$5:A$65536</f>
        <v>0.30838560569624429</v>
      </c>
      <c r="Q50" s="33"/>
      <c r="R50" s="33"/>
    </row>
    <row r="51" spans="1:18" x14ac:dyDescent="0.25">
      <c r="A51" s="4">
        <v>45</v>
      </c>
      <c r="C51" s="41" t="e">
        <f t="shared" si="11"/>
        <v>#REF!</v>
      </c>
      <c r="E51" s="41">
        <f t="shared" si="2"/>
        <v>0.45121800000000001</v>
      </c>
      <c r="G51" s="111">
        <f t="shared" si="12"/>
        <v>0.41851659232670435</v>
      </c>
      <c r="H51" s="112">
        <f t="shared" si="4"/>
        <v>7.7109119745990093E-2</v>
      </c>
      <c r="I51" s="39">
        <f t="shared" si="5"/>
        <v>1.7645474729267782E-3</v>
      </c>
      <c r="J51" s="39">
        <f t="shared" si="6"/>
        <v>1.7645474729267782E-3</v>
      </c>
      <c r="K51" s="112">
        <f t="shared" si="13"/>
        <v>996.04091497984939</v>
      </c>
      <c r="L51" s="112">
        <f t="shared" si="8"/>
        <v>3.4599302131322638</v>
      </c>
      <c r="M51" s="39">
        <f t="shared" si="0"/>
        <v>1000.0000000000001</v>
      </c>
      <c r="N51" s="38">
        <f t="shared" si="9"/>
        <v>75.189841136047292</v>
      </c>
      <c r="O51" s="37">
        <f t="shared" si="10"/>
        <v>0.49915480701854797</v>
      </c>
      <c r="P51" s="36">
        <f>(uNES*G51+ uOCEX*H51+uEREX*'B - UC C'!I51+uHOEX*'B - UC C'!J51)/(1+oDR)^A$5:A$65536</f>
        <v>0.1665435337154946</v>
      </c>
      <c r="Q51" s="33"/>
      <c r="R51" s="33"/>
    </row>
    <row r="52" spans="1:18" x14ac:dyDescent="0.25">
      <c r="A52" s="4">
        <v>46</v>
      </c>
      <c r="C52" s="41" t="e">
        <f t="shared" si="11"/>
        <v>#REF!</v>
      </c>
      <c r="E52" s="41">
        <f t="shared" si="2"/>
        <v>0.47377900000000001</v>
      </c>
      <c r="G52" s="111">
        <f t="shared" si="12"/>
        <v>0.21861573190473571</v>
      </c>
      <c r="H52" s="112">
        <f t="shared" si="4"/>
        <v>4.2040867606186805E-2</v>
      </c>
      <c r="I52" s="39">
        <f t="shared" si="5"/>
        <v>9.6205360583180469E-4</v>
      </c>
      <c r="J52" s="39">
        <f t="shared" si="6"/>
        <v>9.6205360583180469E-4</v>
      </c>
      <c r="K52" s="112">
        <f t="shared" si="13"/>
        <v>996.27740404516385</v>
      </c>
      <c r="L52" s="112">
        <f t="shared" si="8"/>
        <v>3.4600152481137849</v>
      </c>
      <c r="M52" s="39">
        <f t="shared" si="0"/>
        <v>1000.0000000000002</v>
      </c>
      <c r="N52" s="38">
        <f t="shared" si="9"/>
        <v>37.09413395251714</v>
      </c>
      <c r="O52" s="37">
        <f t="shared" si="10"/>
        <v>0.2625807067225861</v>
      </c>
      <c r="P52" s="36">
        <f>(uNES*G52+ uOCEX*H52+uEREX*'B - UC C'!I52+uHOEX*'B - UC C'!J52)/(1+oDR)^A$5:A$65536</f>
        <v>8.6233744545120922E-2</v>
      </c>
      <c r="Q52" s="33"/>
      <c r="R52" s="33"/>
    </row>
    <row r="53" spans="1:18" x14ac:dyDescent="0.25">
      <c r="A53" s="4">
        <v>47</v>
      </c>
      <c r="C53" s="41" t="e">
        <f t="shared" si="11"/>
        <v>#REF!</v>
      </c>
      <c r="E53" s="41">
        <f t="shared" si="2"/>
        <v>0.49746800000000002</v>
      </c>
      <c r="G53" s="111">
        <f t="shared" si="12"/>
        <v>0.10894483121301732</v>
      </c>
      <c r="H53" s="112">
        <f t="shared" si="4"/>
        <v>2.1960407807349393E-2</v>
      </c>
      <c r="I53" s="39">
        <f t="shared" si="5"/>
        <v>5.0253695319761441E-4</v>
      </c>
      <c r="J53" s="39">
        <f t="shared" si="6"/>
        <v>5.0253695319761441E-4</v>
      </c>
      <c r="K53" s="112">
        <f t="shared" si="13"/>
        <v>996.40802954417575</v>
      </c>
      <c r="L53" s="112">
        <f t="shared" si="8"/>
        <v>3.4600601428977376</v>
      </c>
      <c r="M53" s="39">
        <f t="shared" si="0"/>
        <v>1000.0000000000002</v>
      </c>
      <c r="N53" s="38">
        <f t="shared" si="9"/>
        <v>17.461418851313582</v>
      </c>
      <c r="O53" s="37">
        <f t="shared" si="10"/>
        <v>0.13191031292676192</v>
      </c>
      <c r="P53" s="36">
        <f>(uNES*G53+ uOCEX*H53+uEREX*'B - UC C'!I53+uHOEX*'B - UC C'!J53)/(1+oDR)^A$5:A$65536</f>
        <v>4.263438256915468E-2</v>
      </c>
      <c r="Q53" s="33"/>
      <c r="R53" s="33"/>
    </row>
    <row r="54" spans="1:18" x14ac:dyDescent="0.25">
      <c r="A54" s="4">
        <v>48</v>
      </c>
      <c r="C54" s="41" t="e">
        <f t="shared" si="11"/>
        <v>#REF!</v>
      </c>
      <c r="E54" s="41">
        <f t="shared" si="2"/>
        <v>0.52234100000000006</v>
      </c>
      <c r="G54" s="111">
        <f t="shared" si="12"/>
        <v>5.1540898327749926E-2</v>
      </c>
      <c r="H54" s="112">
        <f t="shared" si="4"/>
        <v>1.0943736304317088E-2</v>
      </c>
      <c r="I54" s="39">
        <f t="shared" si="5"/>
        <v>2.5043396038980169E-4</v>
      </c>
      <c r="J54" s="39">
        <f t="shared" si="6"/>
        <v>2.5043396038980169E-4</v>
      </c>
      <c r="K54" s="112">
        <f t="shared" si="13"/>
        <v>996.47693170894024</v>
      </c>
      <c r="L54" s="112">
        <f t="shared" si="8"/>
        <v>3.460082788507175</v>
      </c>
      <c r="M54" s="39">
        <f t="shared" si="0"/>
        <v>1000.0000000000002</v>
      </c>
      <c r="N54" s="38">
        <f t="shared" si="9"/>
        <v>7.8048075632210203</v>
      </c>
      <c r="O54" s="37">
        <f t="shared" si="10"/>
        <v>6.2985502552846614E-2</v>
      </c>
      <c r="P54" s="36">
        <f>(uNES*G54+ uOCEX*H54+uEREX*'B - UC C'!I54+uHOEX*'B - UC C'!J54)/(1+oDR)^A$5:A$65536</f>
        <v>2.0031905736761495E-2</v>
      </c>
      <c r="Q54" s="33"/>
      <c r="R54" s="33"/>
    </row>
    <row r="55" spans="1:18" x14ac:dyDescent="0.25">
      <c r="A55" s="4">
        <v>49</v>
      </c>
      <c r="C55" s="41" t="e">
        <f t="shared" si="11"/>
        <v>#REF!</v>
      </c>
      <c r="E55" s="41">
        <f t="shared" si="2"/>
        <v>0.548458</v>
      </c>
      <c r="G55" s="111">
        <f t="shared" si="12"/>
        <v>2.3015388996282554E-2</v>
      </c>
      <c r="H55" s="112">
        <f t="shared" si="4"/>
        <v>5.1773911061795928E-3</v>
      </c>
      <c r="I55" s="39">
        <f t="shared" si="5"/>
        <v>1.1847823477764268E-4</v>
      </c>
      <c r="J55" s="39">
        <f t="shared" si="6"/>
        <v>1.1847823477764268E-4</v>
      </c>
      <c r="K55" s="112">
        <f t="shared" si="13"/>
        <v>996.51147661169932</v>
      </c>
      <c r="L55" s="112">
        <f t="shared" si="8"/>
        <v>3.460093651728875</v>
      </c>
      <c r="M55" s="39">
        <f t="shared" si="0"/>
        <v>1000.0000000000002</v>
      </c>
      <c r="N55" s="38">
        <f t="shared" si="9"/>
        <v>3.2936400772921277</v>
      </c>
      <c r="O55" s="37">
        <f t="shared" si="10"/>
        <v>2.8429736572017434E-2</v>
      </c>
      <c r="P55" s="36">
        <f>(uNES*G55+ uOCEX*H55+uEREX*'B - UC C'!I55+uHOEX*'B - UC C'!J55)/(1+oDR)^A$5:A$65536</f>
        <v>8.8955752333475802E-3</v>
      </c>
      <c r="Q55" s="33"/>
      <c r="R55" s="33"/>
    </row>
    <row r="56" spans="1:18" x14ac:dyDescent="0.25">
      <c r="A56" s="4">
        <v>50</v>
      </c>
      <c r="C56" s="41" t="e">
        <f t="shared" si="11"/>
        <v>#REF!</v>
      </c>
      <c r="E56" s="41">
        <f t="shared" si="2"/>
        <v>0.57588099999999998</v>
      </c>
      <c r="G56" s="111">
        <f t="shared" si="12"/>
        <v>9.6349060525780465E-3</v>
      </c>
      <c r="H56" s="112">
        <f t="shared" si="4"/>
        <v>2.311943993231889E-3</v>
      </c>
      <c r="I56" s="39">
        <f t="shared" si="5"/>
        <v>5.2905997944785547E-5</v>
      </c>
      <c r="J56" s="39">
        <f t="shared" si="6"/>
        <v>5.2905997944785547E-5</v>
      </c>
      <c r="K56" s="112">
        <f t="shared" si="13"/>
        <v>996.52784875682619</v>
      </c>
      <c r="L56" s="112">
        <f t="shared" si="8"/>
        <v>3.460098581132363</v>
      </c>
      <c r="M56" s="39">
        <f t="shared" si="0"/>
        <v>1000.0000000000002</v>
      </c>
      <c r="N56" s="38">
        <f t="shared" si="9"/>
        <v>1.3034465709445062</v>
      </c>
      <c r="O56" s="37">
        <f t="shared" si="10"/>
        <v>1.2052662041699505E-2</v>
      </c>
      <c r="P56" s="36">
        <f>(uNES*G56+ uOCEX*H56+uEREX*'B - UC C'!I56+uHOEX*'B - UC C'!J56)/(1+oDR)^A$5:A$65536</f>
        <v>3.7094000126870184E-3</v>
      </c>
      <c r="Q56" s="33"/>
      <c r="R56" s="33"/>
    </row>
    <row r="57" spans="1:18" x14ac:dyDescent="0.25">
      <c r="A57" s="4">
        <v>51</v>
      </c>
      <c r="C57" s="41" t="e">
        <f t="shared" si="11"/>
        <v>#REF!</v>
      </c>
      <c r="E57" s="41">
        <f t="shared" si="2"/>
        <v>0.60467499999999996</v>
      </c>
      <c r="G57" s="111">
        <f t="shared" si="12"/>
        <v>3.7504735544746232E-3</v>
      </c>
      <c r="H57" s="112">
        <f t="shared" si="4"/>
        <v>9.6784647772884928E-4</v>
      </c>
      <c r="I57" s="39">
        <f t="shared" si="5"/>
        <v>2.2147977594392597E-5</v>
      </c>
      <c r="J57" s="39">
        <f t="shared" si="6"/>
        <v>2.2147977594392597E-5</v>
      </c>
      <c r="K57" s="112">
        <f t="shared" si="13"/>
        <v>996.5351367002462</v>
      </c>
      <c r="L57" s="112">
        <f t="shared" si="8"/>
        <v>3.4601006837666057</v>
      </c>
      <c r="M57" s="39">
        <f t="shared" si="0"/>
        <v>1000.0000000000002</v>
      </c>
      <c r="N57" s="38">
        <f t="shared" si="9"/>
        <v>0.47984639321128075</v>
      </c>
      <c r="O57" s="37">
        <f t="shared" si="10"/>
        <v>4.7626159873922578E-3</v>
      </c>
      <c r="P57" s="36">
        <f>(uNES*G57+ uOCEX*H57+uEREX*'B - UC C'!I57+uHOEX*'B - UC C'!J57)/(1+oDR)^A$5:A$65536</f>
        <v>1.4413184790888765E-3</v>
      </c>
      <c r="Q57" s="33"/>
      <c r="R57" s="33"/>
    </row>
    <row r="58" spans="1:18" x14ac:dyDescent="0.25">
      <c r="A58" s="4">
        <v>52</v>
      </c>
      <c r="C58" s="41" t="e">
        <f t="shared" si="11"/>
        <v>#REF!</v>
      </c>
      <c r="E58" s="41">
        <f t="shared" si="2"/>
        <v>0.63490899999999995</v>
      </c>
      <c r="G58" s="111">
        <f t="shared" si="12"/>
        <v>1.3439659067246809E-3</v>
      </c>
      <c r="H58" s="112">
        <f t="shared" si="4"/>
        <v>3.7674291785566512E-4</v>
      </c>
      <c r="I58" s="39">
        <f t="shared" si="5"/>
        <v>8.6212988273652974E-6</v>
      </c>
      <c r="J58" s="39">
        <f t="shared" si="6"/>
        <v>8.6212988273652974E-6</v>
      </c>
      <c r="K58" s="112">
        <f t="shared" si="13"/>
        <v>996.53816052800016</v>
      </c>
      <c r="L58" s="112">
        <f t="shared" si="8"/>
        <v>3.4601015205778238</v>
      </c>
      <c r="M58" s="39">
        <f t="shared" si="0"/>
        <v>1000.0000000000002</v>
      </c>
      <c r="N58" s="38">
        <f t="shared" si="9"/>
        <v>0.1627114950933975</v>
      </c>
      <c r="O58" s="37">
        <f t="shared" si="10"/>
        <v>1.7379514222350767E-3</v>
      </c>
      <c r="P58" s="36">
        <f>(uNES*G58+ uOCEX*H58+uEREX*'B - UC C'!I58+uHOEX*'B - UC C'!J58)/(1+oDR)^A$5:A$65536</f>
        <v>5.1699267522069519E-4</v>
      </c>
      <c r="Q58" s="33"/>
      <c r="R58" s="33"/>
    </row>
    <row r="59" spans="1:18" x14ac:dyDescent="0.25">
      <c r="A59" s="4">
        <v>53</v>
      </c>
      <c r="C59" s="41" t="e">
        <f t="shared" si="11"/>
        <v>#REF!</v>
      </c>
      <c r="E59" s="41">
        <f t="shared" si="2"/>
        <v>0.666655</v>
      </c>
      <c r="G59" s="111">
        <f t="shared" si="12"/>
        <v>4.3784646911632698E-4</v>
      </c>
      <c r="H59" s="112">
        <f t="shared" si="4"/>
        <v>1.3500418809616669E-4</v>
      </c>
      <c r="I59" s="39">
        <f t="shared" si="5"/>
        <v>3.0894049850959508E-6</v>
      </c>
      <c r="J59" s="39">
        <f t="shared" si="6"/>
        <v>3.0894049850959508E-6</v>
      </c>
      <c r="K59" s="112">
        <f t="shared" si="13"/>
        <v>996.53931914200552</v>
      </c>
      <c r="L59" s="112">
        <f t="shared" si="8"/>
        <v>3.460101828527486</v>
      </c>
      <c r="M59" s="39">
        <f t="shared" si="0"/>
        <v>1000.0000000000002</v>
      </c>
      <c r="N59" s="38">
        <f t="shared" si="9"/>
        <v>5.0199693259180597E-2</v>
      </c>
      <c r="O59" s="37">
        <f t="shared" si="10"/>
        <v>5.7902946718268555E-4</v>
      </c>
      <c r="P59" s="36">
        <f>(uNES*G59+ uOCEX*H59+uEREX*'B - UC C'!I59+uHOEX*'B - UC C'!J59)/(1+oDR)^A$5:A$65536</f>
        <v>1.6922634543013843E-4</v>
      </c>
      <c r="Q59" s="33"/>
      <c r="R59" s="33"/>
    </row>
    <row r="60" spans="1:18" x14ac:dyDescent="0.25">
      <c r="A60" s="4">
        <v>54</v>
      </c>
      <c r="C60" s="41" t="e">
        <f t="shared" si="11"/>
        <v>#REF!</v>
      </c>
      <c r="E60" s="41">
        <f t="shared" si="2"/>
        <v>0.69998700000000003</v>
      </c>
      <c r="G60" s="111">
        <f t="shared" si="12"/>
        <v>1.2761715867960576E-4</v>
      </c>
      <c r="H60" s="112">
        <f t="shared" si="4"/>
        <v>4.3982594184907623E-5</v>
      </c>
      <c r="I60" s="39">
        <f t="shared" si="5"/>
        <v>1.0064876330763545E-6</v>
      </c>
      <c r="J60" s="39">
        <f t="shared" si="6"/>
        <v>1.0064876330763545E-6</v>
      </c>
      <c r="K60" s="112">
        <f t="shared" si="13"/>
        <v>996.53972445510522</v>
      </c>
      <c r="L60" s="112">
        <f t="shared" si="8"/>
        <v>3.4601019321668933</v>
      </c>
      <c r="M60" s="39">
        <f t="shared" si="0"/>
        <v>1000.0000000000002</v>
      </c>
      <c r="N60" s="38">
        <f t="shared" si="9"/>
        <v>1.3871330097783121E-2</v>
      </c>
      <c r="O60" s="37">
        <f t="shared" si="10"/>
        <v>1.7361272813066608E-4</v>
      </c>
      <c r="P60" s="36">
        <f>(uNES*G60+ uOCEX*H60+uEREX*'B - UC C'!I60+uHOEX*'B - UC C'!J60)/(1+oDR)^A$5:A$65536</f>
        <v>4.9817659080811826E-5</v>
      </c>
      <c r="Q60" s="33"/>
      <c r="R60" s="33"/>
    </row>
    <row r="61" spans="1:18" x14ac:dyDescent="0.25">
      <c r="A61" s="4">
        <v>55</v>
      </c>
      <c r="C61" s="41" t="e">
        <f t="shared" si="11"/>
        <v>#REF!</v>
      </c>
      <c r="E61" s="41">
        <f t="shared" si="2"/>
        <v>0.73498699999999995</v>
      </c>
      <c r="G61" s="111">
        <f t="shared" si="12"/>
        <v>3.2572047361906015E-5</v>
      </c>
      <c r="H61" s="112">
        <f t="shared" si="4"/>
        <v>1.2819410677364212E-5</v>
      </c>
      <c r="I61" s="39">
        <f t="shared" si="5"/>
        <v>2.9335646405599011E-7</v>
      </c>
      <c r="J61" s="39">
        <f t="shared" si="6"/>
        <v>2.9335646405599011E-7</v>
      </c>
      <c r="K61" s="112">
        <f t="shared" si="13"/>
        <v>996.53985205820345</v>
      </c>
      <c r="L61" s="112">
        <f t="shared" si="8"/>
        <v>3.4601019636258461</v>
      </c>
      <c r="M61" s="39">
        <f t="shared" si="0"/>
        <v>1000.0000000000003</v>
      </c>
      <c r="N61" s="38">
        <f t="shared" si="9"/>
        <v>3.362092201477374E-3</v>
      </c>
      <c r="O61" s="37">
        <f t="shared" si="10"/>
        <v>4.5978170967382205E-5</v>
      </c>
      <c r="P61" s="36">
        <f>(uNES*G61+ uOCEX*H61+uEREX*'B - UC C'!I61+uHOEX*'B - UC C'!J61)/(1+oDR)^A$5:A$65536</f>
        <v>1.2941569130025698E-5</v>
      </c>
      <c r="Q61" s="33"/>
      <c r="R61" s="33"/>
    </row>
    <row r="62" spans="1:18" x14ac:dyDescent="0.25">
      <c r="A62" s="4">
        <v>56</v>
      </c>
      <c r="C62" s="41" t="e">
        <f t="shared" si="11"/>
        <v>#REF!</v>
      </c>
      <c r="E62" s="41">
        <f t="shared" si="2"/>
        <v>0.77173599999999998</v>
      </c>
      <c r="G62" s="111">
        <f t="shared" si="12"/>
        <v>7.0650228523533673E-6</v>
      </c>
      <c r="H62" s="112">
        <f t="shared" si="4"/>
        <v>3.2719303270427641E-6</v>
      </c>
      <c r="I62" s="39">
        <f t="shared" si="5"/>
        <v>7.4874105802200324E-8</v>
      </c>
      <c r="J62" s="39">
        <f t="shared" si="6"/>
        <v>7.4874105802200324E-8</v>
      </c>
      <c r="K62" s="112">
        <f t="shared" si="13"/>
        <v>996.53988754121315</v>
      </c>
      <c r="L62" s="112">
        <f t="shared" si="8"/>
        <v>3.4601019720856727</v>
      </c>
      <c r="M62" s="39">
        <f t="shared" si="0"/>
        <v>1000.0000000000002</v>
      </c>
      <c r="N62" s="38">
        <f t="shared" si="9"/>
        <v>6.9439631616115987E-4</v>
      </c>
      <c r="O62" s="37">
        <f t="shared" si="10"/>
        <v>1.0486701391000532E-5</v>
      </c>
      <c r="P62" s="36">
        <f>(uNES*G62+ uOCEX*H62+uEREX*'B - UC C'!I62+uHOEX*'B - UC C'!J62)/(1+oDR)^A$5:A$65536</f>
        <v>2.8914762972100253E-6</v>
      </c>
      <c r="Q62" s="33"/>
      <c r="R62" s="33"/>
    </row>
    <row r="63" spans="1:18" x14ac:dyDescent="0.25">
      <c r="A63" s="4">
        <v>57</v>
      </c>
      <c r="C63" s="41" t="e">
        <f t="shared" si="11"/>
        <v>#REF!</v>
      </c>
      <c r="E63" s="41">
        <f t="shared" si="2"/>
        <v>0.81032300000000002</v>
      </c>
      <c r="G63" s="111">
        <f t="shared" si="12"/>
        <v>1.2449409717932508E-6</v>
      </c>
      <c r="H63" s="112">
        <f t="shared" si="4"/>
        <v>7.096963317970707E-7</v>
      </c>
      <c r="I63" s="39">
        <f t="shared" si="5"/>
        <v>1.6240528655276842E-8</v>
      </c>
      <c r="J63" s="39">
        <f t="shared" si="6"/>
        <v>1.6240528655276842E-8</v>
      </c>
      <c r="K63" s="112">
        <f t="shared" si="13"/>
        <v>996.53989603882849</v>
      </c>
      <c r="L63" s="112">
        <f t="shared" si="8"/>
        <v>3.4601019740533716</v>
      </c>
      <c r="M63" s="39">
        <f t="shared" si="0"/>
        <v>1000.0000000000002</v>
      </c>
      <c r="N63" s="38">
        <f t="shared" si="9"/>
        <v>1.1707649761048124E-4</v>
      </c>
      <c r="O63" s="37">
        <f t="shared" si="10"/>
        <v>1.9871183609008751E-6</v>
      </c>
      <c r="P63" s="36">
        <f>(uNES*G63+ uOCEX*H63+uEREX*'B - UC C'!I63+uHOEX*'B - UC C'!J63)/(1+oDR)^A$5:A$65536</f>
        <v>5.355883543050405E-7</v>
      </c>
      <c r="Q63" s="33"/>
      <c r="R63" s="33"/>
    </row>
    <row r="64" spans="1:18" x14ac:dyDescent="0.25">
      <c r="A64" s="4">
        <v>58</v>
      </c>
      <c r="C64" s="41" t="e">
        <f t="shared" si="11"/>
        <v>#REF!</v>
      </c>
      <c r="E64" s="41">
        <f t="shared" si="2"/>
        <v>0.85083900000000001</v>
      </c>
      <c r="G64" s="111">
        <f t="shared" si="12"/>
        <v>1.652373900440086E-7</v>
      </c>
      <c r="H64" s="112">
        <f t="shared" si="4"/>
        <v>1.2505692613453411E-7</v>
      </c>
      <c r="I64" s="39">
        <f t="shared" si="5"/>
        <v>2.8617741158192694E-9</v>
      </c>
      <c r="J64" s="39">
        <f t="shared" si="6"/>
        <v>2.8617741158192694E-9</v>
      </c>
      <c r="K64" s="112">
        <f t="shared" si="13"/>
        <v>996.53989772954628</v>
      </c>
      <c r="L64" s="112">
        <f t="shared" si="8"/>
        <v>3.460101974436069</v>
      </c>
      <c r="M64" s="39">
        <f t="shared" si="0"/>
        <v>1000.0000000000002</v>
      </c>
      <c r="N64" s="38">
        <f t="shared" si="9"/>
        <v>1.5018631580748725E-5</v>
      </c>
      <c r="O64" s="37">
        <f t="shared" si="10"/>
        <v>2.9601786441018127E-7</v>
      </c>
      <c r="P64" s="36">
        <f>(uNES*G64+ uOCEX*H64+uEREX*'B - UC C'!I64+uHOEX*'B - UC C'!J64)/(1+oDR)^A$5:A$65536</f>
        <v>7.7710792226946623E-8</v>
      </c>
      <c r="Q64" s="33"/>
      <c r="R64" s="33"/>
    </row>
    <row r="65" spans="1:18" x14ac:dyDescent="0.25">
      <c r="A65" s="4">
        <v>59</v>
      </c>
      <c r="C65" s="41" t="e">
        <f t="shared" si="11"/>
        <v>#REF!</v>
      </c>
      <c r="E65" s="41">
        <f t="shared" si="2"/>
        <v>0.89338099999999998</v>
      </c>
      <c r="G65" s="111">
        <f t="shared" si="12"/>
        <v>1.4143886463379736E-8</v>
      </c>
      <c r="H65" s="112">
        <f t="shared" si="4"/>
        <v>1.6598441652724803E-8</v>
      </c>
      <c r="I65" s="39">
        <f t="shared" si="5"/>
        <v>3.7983494519610609E-10</v>
      </c>
      <c r="J65" s="39">
        <f t="shared" si="6"/>
        <v>3.7983494519610609E-10</v>
      </c>
      <c r="K65" s="112">
        <f t="shared" si="13"/>
        <v>996.53989799400301</v>
      </c>
      <c r="L65" s="112">
        <f t="shared" si="8"/>
        <v>3.4601019744951995</v>
      </c>
      <c r="M65" s="39">
        <f t="shared" si="0"/>
        <v>1000.0000000000002</v>
      </c>
      <c r="N65" s="38">
        <f t="shared" si="9"/>
        <v>1.2774675478379982E-6</v>
      </c>
      <c r="O65" s="37">
        <f t="shared" si="10"/>
        <v>3.1501998006496748E-8</v>
      </c>
      <c r="P65" s="36">
        <f>(uNES*G65+ uOCEX*H65+uEREX*'B - UC C'!I65+uHOEX*'B - UC C'!J65)/(1+oDR)^A$5:A$65536</f>
        <v>7.9975223913897958E-9</v>
      </c>
      <c r="Q65" s="33"/>
      <c r="R65" s="33"/>
    </row>
    <row r="66" spans="1:18" x14ac:dyDescent="0.25">
      <c r="A66" s="4">
        <v>60</v>
      </c>
      <c r="C66" s="41" t="e">
        <f t="shared" si="11"/>
        <v>#REF!</v>
      </c>
      <c r="E66" s="41">
        <f t="shared" si="2"/>
        <v>0.89338099999999998</v>
      </c>
      <c r="G66" s="111">
        <f t="shared" si="12"/>
        <v>1.8662492549556788E-9</v>
      </c>
      <c r="H66" s="112">
        <f t="shared" si="4"/>
        <v>1.4207829967699563E-9</v>
      </c>
      <c r="I66" s="39">
        <f t="shared" si="5"/>
        <v>3.2512873377187468E-11</v>
      </c>
      <c r="J66" s="39">
        <f t="shared" si="6"/>
        <v>3.2512873377187468E-11</v>
      </c>
      <c r="K66" s="112">
        <f t="shared" si="13"/>
        <v>996.5398980221463</v>
      </c>
      <c r="L66" s="112">
        <f t="shared" si="8"/>
        <v>3.4601019745018529</v>
      </c>
      <c r="M66" s="39">
        <f t="shared" si="0"/>
        <v>1000.0000000000002</v>
      </c>
      <c r="N66" s="38">
        <f t="shared" si="9"/>
        <v>1.5105268509097141E-7</v>
      </c>
      <c r="O66" s="37">
        <f t="shared" si="10"/>
        <v>3.35205799848001E-9</v>
      </c>
      <c r="P66" s="36">
        <f>(uNES*G66+ uOCEX*H66+uEREX*'B - UC C'!I66+uHOEX*'B - UC C'!J66)/(1+oDR)^A$5:A$65536</f>
        <v>8.5395760272777384E-10</v>
      </c>
      <c r="Q66" s="33"/>
      <c r="R66" s="33"/>
    </row>
    <row r="67" spans="1:18" x14ac:dyDescent="0.25">
      <c r="N67" s="114" t="s">
        <v>114</v>
      </c>
      <c r="O67" s="114" t="s">
        <v>115</v>
      </c>
      <c r="P67" s="114" t="s">
        <v>116</v>
      </c>
    </row>
    <row r="68" spans="1:18" x14ac:dyDescent="0.25">
      <c r="I68" s="33"/>
      <c r="N68" s="35">
        <f>SUM(N6:N66)/1000</f>
        <v>25923.124433621499</v>
      </c>
      <c r="O68" s="34">
        <f>SUM(O7:O66)/1000</f>
        <v>20.177717508639006</v>
      </c>
      <c r="P68" s="12">
        <f>SUM(P7:P66)/1000</f>
        <v>11.06698545684092</v>
      </c>
    </row>
    <row r="69" spans="1:18" x14ac:dyDescent="0.25">
      <c r="I69" s="33"/>
    </row>
  </sheetData>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69"/>
  <sheetViews>
    <sheetView topLeftCell="C1" workbookViewId="0">
      <selection activeCell="N29" sqref="N29"/>
    </sheetView>
  </sheetViews>
  <sheetFormatPr defaultRowHeight="15" x14ac:dyDescent="0.25"/>
  <cols>
    <col min="1" max="1" width="9.140625" style="4"/>
    <col min="2" max="2" width="4.7109375" style="4" customWidth="1"/>
    <col min="3" max="3" width="8.85546875" style="32" customWidth="1"/>
    <col min="4" max="4" width="4.7109375" style="32" customWidth="1"/>
    <col min="5" max="5" width="10" style="32" bestFit="1" customWidth="1"/>
    <col min="6" max="6" width="9.140625" style="4"/>
    <col min="7" max="7" width="12.7109375" style="4" customWidth="1"/>
    <col min="8" max="8" width="8.85546875" style="4" bestFit="1" customWidth="1"/>
    <col min="9" max="9" width="8.5703125" style="4" bestFit="1" customWidth="1"/>
    <col min="10" max="10" width="8.28515625" style="4" bestFit="1" customWidth="1"/>
    <col min="11" max="11" width="9.5703125" style="4" bestFit="1" customWidth="1"/>
    <col min="12" max="12" width="13.7109375" style="4" bestFit="1" customWidth="1"/>
    <col min="13" max="16" width="12.7109375" style="4" customWidth="1"/>
    <col min="17" max="18" width="4.7109375" style="4" customWidth="1"/>
    <col min="19" max="16384" width="9.140625" style="4"/>
  </cols>
  <sheetData>
    <row r="1" spans="1:18" ht="15.75" x14ac:dyDescent="0.25">
      <c r="A1" s="49" t="s">
        <v>24</v>
      </c>
      <c r="B1" s="49"/>
    </row>
    <row r="2" spans="1:18" ht="15.75" x14ac:dyDescent="0.25">
      <c r="A2" s="49"/>
      <c r="B2" s="49"/>
      <c r="I2" s="113"/>
    </row>
    <row r="3" spans="1:18" x14ac:dyDescent="0.25">
      <c r="D3" s="48"/>
      <c r="G3" s="47" t="s">
        <v>117</v>
      </c>
      <c r="H3" s="47"/>
      <c r="I3" s="46"/>
      <c r="J3" s="46"/>
      <c r="K3" s="46"/>
      <c r="L3" s="47"/>
      <c r="M3" s="47"/>
      <c r="N3" s="46"/>
      <c r="O3" s="46"/>
      <c r="P3" s="46"/>
    </row>
    <row r="4" spans="1:18" ht="12.75" x14ac:dyDescent="0.2">
      <c r="A4" s="25" t="s">
        <v>23</v>
      </c>
      <c r="B4" s="25"/>
      <c r="C4" s="45" t="s">
        <v>22</v>
      </c>
      <c r="D4" s="44"/>
      <c r="E4" s="44" t="s">
        <v>21</v>
      </c>
      <c r="G4" s="25" t="s">
        <v>53</v>
      </c>
      <c r="H4" s="25" t="s">
        <v>54</v>
      </c>
      <c r="I4" s="25" t="s">
        <v>55</v>
      </c>
      <c r="J4" s="25" t="s">
        <v>56</v>
      </c>
      <c r="K4" s="25" t="s">
        <v>57</v>
      </c>
      <c r="L4" s="25" t="s">
        <v>58</v>
      </c>
      <c r="M4" s="25" t="s">
        <v>20</v>
      </c>
      <c r="N4" s="25" t="s">
        <v>11</v>
      </c>
      <c r="O4" s="25" t="s">
        <v>19</v>
      </c>
      <c r="P4" s="25" t="s">
        <v>10</v>
      </c>
    </row>
    <row r="5" spans="1:18" ht="12.75" x14ac:dyDescent="0.2">
      <c r="C5" s="4"/>
      <c r="D5" s="4"/>
      <c r="E5" s="43"/>
    </row>
    <row r="6" spans="1:18" x14ac:dyDescent="0.25">
      <c r="A6" s="4">
        <v>0</v>
      </c>
      <c r="G6" s="40">
        <v>1000</v>
      </c>
      <c r="H6" s="40"/>
      <c r="I6" s="40"/>
      <c r="J6" s="40"/>
      <c r="K6" s="40"/>
      <c r="L6" s="40"/>
      <c r="M6" s="39">
        <f t="shared" ref="M6:M66" si="0">SUM(G6:L6)</f>
        <v>1000</v>
      </c>
      <c r="N6" s="38">
        <f>(cNES)*G6</f>
        <v>2410000</v>
      </c>
      <c r="O6" s="33"/>
      <c r="P6" s="42"/>
      <c r="Q6" s="33"/>
      <c r="R6" s="33"/>
    </row>
    <row r="7" spans="1:18" x14ac:dyDescent="0.25">
      <c r="A7" s="4">
        <v>1</v>
      </c>
      <c r="C7" s="41" t="e">
        <f t="shared" ref="C7:C38" si="1">1-EXP(lambda*(A6^gamma-A7^gamma))</f>
        <v>#REF!</v>
      </c>
      <c r="E7" s="41">
        <f t="shared" ref="E7:E66" si="2">IF(male=0,VLOOKUP(A$5:A$65536+age,Lifetable,2,1),IF(male=1,VLOOKUP(A$5:A$65536+age,Lifetable,5,1),"error"))</f>
        <v>1.2009000000000001E-2</v>
      </c>
      <c r="G7" s="111">
        <f t="shared" ref="G7:G38" si="3">H6*(1-mr)+I6*(1-mr)+J6*(1-(mr+amr+amrHOEX))+G6*(1-(mr+rrOSEX+rrEREX+rrHOEX+amr))</f>
        <v>882.78804888245611</v>
      </c>
      <c r="H7" s="112">
        <f t="shared" ref="H7:H38" si="4">G6*(rrOSEX)</f>
        <v>100.45209288469181</v>
      </c>
      <c r="I7" s="39">
        <f t="shared" ref="I7:I38" si="5">G6*(rrEREX)</f>
        <v>2.2987227351808359</v>
      </c>
      <c r="J7" s="39">
        <f t="shared" ref="J7:J38" si="6">G6*(rrHOEX)</f>
        <v>2.2987227351808359</v>
      </c>
      <c r="K7" s="112">
        <f t="shared" ref="K7:K38" si="7">(G6*mr)+(H6*mr)+(I6*mr)+(J6*mr)+K6</f>
        <v>12.009</v>
      </c>
      <c r="L7" s="112">
        <f t="shared" ref="L7:L38" si="8">(G6*amr)+(J6*(amr+amrHOEX))+L6</f>
        <v>0.15341276249036806</v>
      </c>
      <c r="M7" s="39">
        <f t="shared" si="0"/>
        <v>999.99999999999989</v>
      </c>
      <c r="N7" s="38">
        <f t="shared" ref="N7:N38" si="9">(cNES*G7+cOSEX*H7+cEREX*I7+cHOEX*J7)/(1+cDR)^A$5:A$65536</f>
        <v>2039457.6273862575</v>
      </c>
      <c r="O7" s="37">
        <f>(I7+H7+G7+J7)</f>
        <v>987.83758723750964</v>
      </c>
      <c r="P7" s="36">
        <f>(uNES*G7+ uOCEX*H7+uEREX*'C - PH+UC'!I7+uHOEX*'C - PH+UC'!J7)/(1+oDR)^A$5:A$65536</f>
        <v>640.22198221888868</v>
      </c>
      <c r="Q7" s="33"/>
      <c r="R7" s="33"/>
    </row>
    <row r="8" spans="1:18" x14ac:dyDescent="0.25">
      <c r="A8" s="4">
        <v>2</v>
      </c>
      <c r="C8" s="41" t="e">
        <f t="shared" si="1"/>
        <v>#REF!</v>
      </c>
      <c r="E8" s="41">
        <f t="shared" si="2"/>
        <v>1.2867E-2</v>
      </c>
      <c r="G8" s="111">
        <f t="shared" si="3"/>
        <v>882.22803830478017</v>
      </c>
      <c r="H8" s="112">
        <f t="shared" si="4"/>
        <v>88.677907083836331</v>
      </c>
      <c r="I8" s="39">
        <f t="shared" si="5"/>
        <v>2.0292849583120329</v>
      </c>
      <c r="J8" s="39">
        <f t="shared" si="6"/>
        <v>2.0292849583120329</v>
      </c>
      <c r="K8" s="112">
        <f t="shared" si="7"/>
        <v>24.719506234985033</v>
      </c>
      <c r="L8" s="112">
        <f t="shared" si="8"/>
        <v>0.31597845977439443</v>
      </c>
      <c r="M8" s="39">
        <f t="shared" si="0"/>
        <v>1000</v>
      </c>
      <c r="N8" s="38">
        <f t="shared" si="9"/>
        <v>1919236.7386623716</v>
      </c>
      <c r="O8" s="37">
        <f t="shared" ref="O8:O66" si="10">(I8+H8+G8+J8)</f>
        <v>974.96451530524052</v>
      </c>
      <c r="P8" s="36">
        <f>(uNES*G8+ uOCEX*H8+uEREX*'C - PH+UC'!I8+uHOEX*'C - PH+UC'!J8)/(1+oDR)^A$5:A$65536</f>
        <v>623.65698397975621</v>
      </c>
      <c r="Q8" s="33"/>
      <c r="R8" s="33"/>
    </row>
    <row r="9" spans="1:18" x14ac:dyDescent="0.25">
      <c r="A9" s="4">
        <v>3</v>
      </c>
      <c r="C9" s="41" t="e">
        <f t="shared" si="1"/>
        <v>#REF!</v>
      </c>
      <c r="E9" s="41">
        <f t="shared" si="2"/>
        <v>1.3772E-2</v>
      </c>
      <c r="G9" s="111">
        <f t="shared" si="3"/>
        <v>868.70035658442953</v>
      </c>
      <c r="H9" s="112">
        <f t="shared" si="4"/>
        <v>88.621652849271229</v>
      </c>
      <c r="I9" s="39">
        <f t="shared" si="5"/>
        <v>2.0279976492651874</v>
      </c>
      <c r="J9" s="39">
        <f t="shared" si="6"/>
        <v>2.0279976492651874</v>
      </c>
      <c r="K9" s="112">
        <f t="shared" si="7"/>
        <v>38.146717539768808</v>
      </c>
      <c r="L9" s="112">
        <f t="shared" si="8"/>
        <v>0.47527772800001428</v>
      </c>
      <c r="M9" s="39">
        <f t="shared" si="0"/>
        <v>1000</v>
      </c>
      <c r="N9" s="38">
        <f t="shared" si="9"/>
        <v>1783211.5395219496</v>
      </c>
      <c r="O9" s="37">
        <f t="shared" si="10"/>
        <v>961.37800473223115</v>
      </c>
      <c r="P9" s="36">
        <f>(uNES*G9+ uOCEX*H9+uEREX*'C - PH+UC'!I9+uHOEX*'C - PH+UC'!J9)/(1+oDR)^A$5:A$65536</f>
        <v>605.75396537481924</v>
      </c>
      <c r="Q9" s="33"/>
      <c r="R9" s="33"/>
    </row>
    <row r="10" spans="1:18" x14ac:dyDescent="0.25">
      <c r="A10" s="4">
        <v>4</v>
      </c>
      <c r="C10" s="41" t="e">
        <f t="shared" si="1"/>
        <v>#REF!</v>
      </c>
      <c r="E10" s="41">
        <f t="shared" si="2"/>
        <v>1.4749E-2</v>
      </c>
      <c r="G10" s="111">
        <f t="shared" si="3"/>
        <v>855.78486035891171</v>
      </c>
      <c r="H10" s="112">
        <f t="shared" si="4"/>
        <v>87.262768908584007</v>
      </c>
      <c r="I10" s="39">
        <f t="shared" si="5"/>
        <v>1.9969012597403273</v>
      </c>
      <c r="J10" s="39">
        <f t="shared" si="6"/>
        <v>1.9969012597403273</v>
      </c>
      <c r="K10" s="112">
        <f t="shared" si="7"/>
        <v>52.326081731564486</v>
      </c>
      <c r="L10" s="112">
        <f t="shared" si="8"/>
        <v>0.63248648145915565</v>
      </c>
      <c r="M10" s="39">
        <f t="shared" si="0"/>
        <v>1000</v>
      </c>
      <c r="N10" s="38">
        <f t="shared" si="9"/>
        <v>1657252.4618019904</v>
      </c>
      <c r="O10" s="37">
        <f t="shared" si="10"/>
        <v>947.04143178697632</v>
      </c>
      <c r="P10" s="36">
        <f>(uNES*G10+ uOCEX*H10+uEREX*'C - PH+UC'!I10+uHOEX*'C - PH+UC'!J10)/(1+oDR)^A$5:A$65536</f>
        <v>587.9059757654951</v>
      </c>
      <c r="Q10" s="33"/>
      <c r="R10" s="33"/>
    </row>
    <row r="11" spans="1:18" x14ac:dyDescent="0.25">
      <c r="A11" s="4">
        <v>5</v>
      </c>
      <c r="C11" s="41" t="e">
        <f t="shared" si="1"/>
        <v>#REF!</v>
      </c>
      <c r="E11" s="41">
        <f t="shared" si="2"/>
        <v>1.5852000000000002E-2</v>
      </c>
      <c r="G11" s="111">
        <f t="shared" si="3"/>
        <v>841.974266217018</v>
      </c>
      <c r="H11" s="112">
        <f t="shared" si="4"/>
        <v>85.965380282086414</v>
      </c>
      <c r="I11" s="39">
        <f t="shared" si="5"/>
        <v>1.9672121149305872</v>
      </c>
      <c r="J11" s="39">
        <f t="shared" si="6"/>
        <v>1.9672121149305872</v>
      </c>
      <c r="K11" s="112">
        <f t="shared" si="7"/>
        <v>67.338582508251633</v>
      </c>
      <c r="L11" s="112">
        <f t="shared" si="8"/>
        <v>0.78734676278285587</v>
      </c>
      <c r="M11" s="39">
        <f t="shared" si="0"/>
        <v>1000</v>
      </c>
      <c r="N11" s="38">
        <f t="shared" si="9"/>
        <v>1538243.2341348419</v>
      </c>
      <c r="O11" s="37">
        <f t="shared" si="10"/>
        <v>931.87407072896553</v>
      </c>
      <c r="P11" s="36">
        <f>(uNES*G11+ uOCEX*H11+uEREX*'C - PH+UC'!I11+uHOEX*'C - PH+UC'!J11)/(1+oDR)^A$5:A$65536</f>
        <v>569.93101985714463</v>
      </c>
      <c r="Q11" s="33"/>
      <c r="R11" s="33"/>
    </row>
    <row r="12" spans="1:18" x14ac:dyDescent="0.25">
      <c r="A12" s="4">
        <v>6</v>
      </c>
      <c r="C12" s="41" t="e">
        <f t="shared" si="1"/>
        <v>#REF!</v>
      </c>
      <c r="E12" s="41">
        <f t="shared" si="2"/>
        <v>1.7097000000000001E-2</v>
      </c>
      <c r="G12" s="111">
        <f t="shared" si="3"/>
        <v>827.34042066753898</v>
      </c>
      <c r="H12" s="112">
        <f t="shared" si="4"/>
        <v>84.57807719655213</v>
      </c>
      <c r="I12" s="39">
        <f t="shared" si="5"/>
        <v>1.9354653881902608</v>
      </c>
      <c r="J12" s="39">
        <f t="shared" si="6"/>
        <v>1.9354653881902608</v>
      </c>
      <c r="K12" s="112">
        <f t="shared" si="7"/>
        <v>83.27083349550476</v>
      </c>
      <c r="L12" s="112">
        <f t="shared" si="8"/>
        <v>0.93973786402375414</v>
      </c>
      <c r="M12" s="39">
        <f t="shared" si="0"/>
        <v>1000.0000000000001</v>
      </c>
      <c r="N12" s="38">
        <f t="shared" si="9"/>
        <v>1425976.6192455688</v>
      </c>
      <c r="O12" s="37">
        <f t="shared" si="10"/>
        <v>915.78942864047156</v>
      </c>
      <c r="P12" s="36">
        <f>(uNES*G12+ uOCEX*H12+uEREX*'C - PH+UC'!I12+uHOEX*'C - PH+UC'!J12)/(1+oDR)^A$5:A$65536</f>
        <v>551.80676232188182</v>
      </c>
      <c r="Q12" s="33"/>
      <c r="R12" s="33"/>
    </row>
    <row r="13" spans="1:18" x14ac:dyDescent="0.25">
      <c r="A13" s="4">
        <v>7</v>
      </c>
      <c r="C13" s="41" t="e">
        <f t="shared" si="1"/>
        <v>#REF!</v>
      </c>
      <c r="E13" s="41">
        <f t="shared" si="2"/>
        <v>1.8463E-2</v>
      </c>
      <c r="G13" s="111">
        <f t="shared" si="3"/>
        <v>811.81970783024917</v>
      </c>
      <c r="H13" s="112">
        <f t="shared" si="4"/>
        <v>83.108076784155628</v>
      </c>
      <c r="I13" s="39">
        <f t="shared" si="5"/>
        <v>1.9018262347225485</v>
      </c>
      <c r="J13" s="39">
        <f t="shared" si="6"/>
        <v>1.9018262347225485</v>
      </c>
      <c r="K13" s="112">
        <f t="shared" si="7"/>
        <v>100.1790537164938</v>
      </c>
      <c r="L13" s="112">
        <f t="shared" si="8"/>
        <v>1.0895091996563626</v>
      </c>
      <c r="M13" s="39">
        <f t="shared" si="0"/>
        <v>1000.0000000000001</v>
      </c>
      <c r="N13" s="38">
        <f t="shared" si="9"/>
        <v>1320050.6781291887</v>
      </c>
      <c r="O13" s="37">
        <f t="shared" si="10"/>
        <v>898.73143708384987</v>
      </c>
      <c r="P13" s="36">
        <f>(uNES*G13+ uOCEX*H13+uEREX*'C - PH+UC'!I13+uHOEX*'C - PH+UC'!J13)/(1+oDR)^A$5:A$65536</f>
        <v>533.51519019242107</v>
      </c>
      <c r="Q13" s="33"/>
      <c r="R13" s="33"/>
    </row>
    <row r="14" spans="1:18" x14ac:dyDescent="0.25">
      <c r="A14" s="4">
        <v>8</v>
      </c>
      <c r="C14" s="41" t="e">
        <f t="shared" si="1"/>
        <v>#REF!</v>
      </c>
      <c r="E14" s="41">
        <f t="shared" si="2"/>
        <v>1.9959000000000001E-2</v>
      </c>
      <c r="G14" s="111">
        <f t="shared" si="3"/>
        <v>795.36537762144371</v>
      </c>
      <c r="H14" s="112">
        <f t="shared" si="4"/>
        <v>81.548988696587557</v>
      </c>
      <c r="I14" s="39">
        <f t="shared" si="5"/>
        <v>1.8661484192572575</v>
      </c>
      <c r="J14" s="39">
        <f t="shared" si="6"/>
        <v>1.8661484192572575</v>
      </c>
      <c r="K14" s="112">
        <f t="shared" si="7"/>
        <v>118.11683446925036</v>
      </c>
      <c r="L14" s="112">
        <f t="shared" si="8"/>
        <v>1.2365023742038941</v>
      </c>
      <c r="M14" s="39">
        <f t="shared" si="0"/>
        <v>1000</v>
      </c>
      <c r="N14" s="38">
        <f t="shared" si="9"/>
        <v>1220116.7642544017</v>
      </c>
      <c r="O14" s="37">
        <f t="shared" si="10"/>
        <v>880.64666315654574</v>
      </c>
      <c r="P14" s="36">
        <f>(uNES*G14+ uOCEX*H14+uEREX*'C - PH+UC'!I14+uHOEX*'C - PH+UC'!J14)/(1+oDR)^A$5:A$65536</f>
        <v>515.04264749906713</v>
      </c>
      <c r="Q14" s="33"/>
      <c r="R14" s="33"/>
    </row>
    <row r="15" spans="1:18" x14ac:dyDescent="0.25">
      <c r="A15" s="4">
        <v>9</v>
      </c>
      <c r="C15" s="41" t="e">
        <f t="shared" si="1"/>
        <v>#REF!</v>
      </c>
      <c r="E15" s="41">
        <f t="shared" si="2"/>
        <v>2.1616E-2</v>
      </c>
      <c r="G15" s="111">
        <f t="shared" si="3"/>
        <v>777.913791423303</v>
      </c>
      <c r="H15" s="112">
        <f t="shared" si="4"/>
        <v>79.896116790097238</v>
      </c>
      <c r="I15" s="39">
        <f t="shared" si="5"/>
        <v>1.8283244763141036</v>
      </c>
      <c r="J15" s="39">
        <f t="shared" si="6"/>
        <v>1.8283244763141036</v>
      </c>
      <c r="K15" s="112">
        <f t="shared" si="7"/>
        <v>137.15289274004226</v>
      </c>
      <c r="L15" s="112">
        <f t="shared" si="8"/>
        <v>1.3805500939294482</v>
      </c>
      <c r="M15" s="39">
        <f t="shared" si="0"/>
        <v>1000.0000000000002</v>
      </c>
      <c r="N15" s="38">
        <f t="shared" si="9"/>
        <v>1125825.179497048</v>
      </c>
      <c r="O15" s="37">
        <f t="shared" si="10"/>
        <v>861.46655716602845</v>
      </c>
      <c r="P15" s="36">
        <f>(uNES*G15+ uOCEX*H15+uEREX*'C - PH+UC'!I15+uHOEX*'C - PH+UC'!J15)/(1+oDR)^A$5:A$65536</f>
        <v>496.3677038882409</v>
      </c>
      <c r="Q15" s="33"/>
      <c r="R15" s="33"/>
    </row>
    <row r="16" spans="1:18" x14ac:dyDescent="0.25">
      <c r="A16" s="4">
        <v>10</v>
      </c>
      <c r="C16" s="41" t="e">
        <f t="shared" si="1"/>
        <v>#REF!</v>
      </c>
      <c r="E16" s="41">
        <f t="shared" si="2"/>
        <v>2.3528E-2</v>
      </c>
      <c r="G16" s="111">
        <f t="shared" si="3"/>
        <v>759.33756340033983</v>
      </c>
      <c r="H16" s="112">
        <f t="shared" si="4"/>
        <v>78.143068432336406</v>
      </c>
      <c r="I16" s="39">
        <f t="shared" si="5"/>
        <v>1.7882081183554694</v>
      </c>
      <c r="J16" s="39">
        <f t="shared" si="6"/>
        <v>1.7882081183554694</v>
      </c>
      <c r="K16" s="112">
        <f t="shared" si="7"/>
        <v>157.42147789704458</v>
      </c>
      <c r="L16" s="112">
        <f t="shared" si="8"/>
        <v>1.5214740335684105</v>
      </c>
      <c r="M16" s="39">
        <f t="shared" si="0"/>
        <v>1000.0000000000001</v>
      </c>
      <c r="N16" s="38">
        <f t="shared" si="9"/>
        <v>1036766.3057984398</v>
      </c>
      <c r="O16" s="37">
        <f t="shared" si="10"/>
        <v>841.05704806938718</v>
      </c>
      <c r="P16" s="36">
        <f>(uNES*G16+ uOCEX*H16+uEREX*'C - PH+UC'!I16+uHOEX*'C - PH+UC'!J16)/(1+oDR)^A$5:A$65536</f>
        <v>477.43303329104572</v>
      </c>
      <c r="Q16" s="33"/>
      <c r="R16" s="33"/>
    </row>
    <row r="17" spans="1:18" x14ac:dyDescent="0.25">
      <c r="A17" s="4">
        <v>11</v>
      </c>
      <c r="C17" s="41" t="e">
        <f t="shared" si="1"/>
        <v>#REF!</v>
      </c>
      <c r="E17" s="41">
        <f t="shared" si="2"/>
        <v>2.5693000000000001E-2</v>
      </c>
      <c r="G17" s="111">
        <f t="shared" si="3"/>
        <v>739.54210827762631</v>
      </c>
      <c r="H17" s="112">
        <f t="shared" si="4"/>
        <v>76.277047449526492</v>
      </c>
      <c r="I17" s="39">
        <f t="shared" si="5"/>
        <v>1.7455065206651805</v>
      </c>
      <c r="J17" s="39">
        <f t="shared" si="6"/>
        <v>1.7455065206651805</v>
      </c>
      <c r="K17" s="112">
        <f t="shared" si="7"/>
        <v>179.03075663309136</v>
      </c>
      <c r="L17" s="112">
        <f t="shared" si="8"/>
        <v>1.6590745984256381</v>
      </c>
      <c r="M17" s="39">
        <f t="shared" si="0"/>
        <v>1000.0000000000002</v>
      </c>
      <c r="N17" s="38">
        <f t="shared" si="9"/>
        <v>952614.23542815004</v>
      </c>
      <c r="O17" s="37">
        <f t="shared" si="10"/>
        <v>819.31016876848321</v>
      </c>
      <c r="P17" s="36">
        <f>(uNES*G17+ uOCEX*H17+uEREX*'C - PH+UC'!I17+uHOEX*'C - PH+UC'!J17)/(1+oDR)^A$5:A$65536</f>
        <v>458.20059935998364</v>
      </c>
      <c r="Q17" s="33"/>
      <c r="R17" s="33"/>
    </row>
    <row r="18" spans="1:18" x14ac:dyDescent="0.25">
      <c r="A18" s="4">
        <v>12</v>
      </c>
      <c r="C18" s="41" t="e">
        <f t="shared" si="1"/>
        <v>#REF!</v>
      </c>
      <c r="E18" s="41">
        <f t="shared" si="2"/>
        <v>2.8041E-2</v>
      </c>
      <c r="G18" s="111">
        <f t="shared" si="3"/>
        <v>718.51327562914844</v>
      </c>
      <c r="H18" s="112">
        <f t="shared" si="4"/>
        <v>74.288552552844934</v>
      </c>
      <c r="I18" s="39">
        <f t="shared" si="5"/>
        <v>1.7000022579213472</v>
      </c>
      <c r="J18" s="39">
        <f t="shared" si="6"/>
        <v>1.7000022579213472</v>
      </c>
      <c r="K18" s="112">
        <f t="shared" si="7"/>
        <v>202.00503307552839</v>
      </c>
      <c r="L18" s="112">
        <f t="shared" si="8"/>
        <v>1.7931342266356338</v>
      </c>
      <c r="M18" s="39">
        <f t="shared" si="0"/>
        <v>1000.0000000000002</v>
      </c>
      <c r="N18" s="38">
        <f t="shared" si="9"/>
        <v>873169.03047072783</v>
      </c>
      <c r="O18" s="37">
        <f t="shared" si="10"/>
        <v>796.20183269783604</v>
      </c>
      <c r="P18" s="36">
        <f>(uNES*G18+ uOCEX*H18+uEREX*'C - PH+UC'!I18+uHOEX*'C - PH+UC'!J18)/(1+oDR)^A$5:A$65536</f>
        <v>438.68180304157528</v>
      </c>
      <c r="Q18" s="33"/>
      <c r="R18" s="33"/>
    </row>
    <row r="19" spans="1:18" x14ac:dyDescent="0.25">
      <c r="A19" s="4">
        <v>13</v>
      </c>
      <c r="C19" s="41" t="e">
        <f t="shared" si="1"/>
        <v>#REF!</v>
      </c>
      <c r="E19" s="41">
        <f t="shared" si="2"/>
        <v>3.0567E-2</v>
      </c>
      <c r="G19" s="111">
        <f t="shared" si="3"/>
        <v>696.25454697864791</v>
      </c>
      <c r="H19" s="112">
        <f t="shared" si="4"/>
        <v>72.176162302383389</v>
      </c>
      <c r="I19" s="39">
        <f t="shared" si="5"/>
        <v>1.651662802217978</v>
      </c>
      <c r="J19" s="39">
        <f t="shared" si="6"/>
        <v>1.651662802217978</v>
      </c>
      <c r="K19" s="112">
        <f t="shared" si="7"/>
        <v>226.34253449560316</v>
      </c>
      <c r="L19" s="112">
        <f t="shared" si="8"/>
        <v>1.9234306189297332</v>
      </c>
      <c r="M19" s="39">
        <f t="shared" si="0"/>
        <v>1000.0000000000001</v>
      </c>
      <c r="N19" s="38">
        <f t="shared" si="9"/>
        <v>798255.95892475231</v>
      </c>
      <c r="O19" s="37">
        <f t="shared" si="10"/>
        <v>771.73403488546728</v>
      </c>
      <c r="P19" s="36">
        <f>(uNES*G19+ uOCEX*H19+uEREX*'C - PH+UC'!I19+uHOEX*'C - PH+UC'!J19)/(1+oDR)^A$5:A$65536</f>
        <v>418.90162879799112</v>
      </c>
      <c r="Q19" s="33"/>
      <c r="R19" s="33"/>
    </row>
    <row r="20" spans="1:18" x14ac:dyDescent="0.25">
      <c r="A20" s="4">
        <v>14</v>
      </c>
      <c r="C20" s="41" t="e">
        <f t="shared" si="1"/>
        <v>#REF!</v>
      </c>
      <c r="E20" s="41">
        <f t="shared" si="2"/>
        <v>3.3347000000000002E-2</v>
      </c>
      <c r="G20" s="111">
        <f t="shared" si="3"/>
        <v>672.73149027917623</v>
      </c>
      <c r="H20" s="112">
        <f t="shared" si="4"/>
        <v>69.940226424488159</v>
      </c>
      <c r="I20" s="39">
        <f t="shared" si="5"/>
        <v>1.6004961566128513</v>
      </c>
      <c r="J20" s="39">
        <f t="shared" si="6"/>
        <v>1.6004961566128513</v>
      </c>
      <c r="K20" s="112">
        <f t="shared" si="7"/>
        <v>252.07754935692884</v>
      </c>
      <c r="L20" s="112">
        <f t="shared" si="8"/>
        <v>2.0497416261812589</v>
      </c>
      <c r="M20" s="39">
        <f t="shared" si="0"/>
        <v>1000.0000000000002</v>
      </c>
      <c r="N20" s="38">
        <f t="shared" si="9"/>
        <v>727659.6236441189</v>
      </c>
      <c r="O20" s="37">
        <f t="shared" si="10"/>
        <v>745.8727090168901</v>
      </c>
      <c r="P20" s="36">
        <f>(uNES*G20+ uOCEX*H20+uEREX*'C - PH+UC'!I20+uHOEX*'C - PH+UC'!J20)/(1+oDR)^A$5:A$65536</f>
        <v>398.86444104965193</v>
      </c>
      <c r="Q20" s="33"/>
      <c r="R20" s="33"/>
    </row>
    <row r="21" spans="1:18" x14ac:dyDescent="0.25">
      <c r="A21" s="4">
        <v>15</v>
      </c>
      <c r="C21" s="41" t="e">
        <f t="shared" si="1"/>
        <v>#REF!</v>
      </c>
      <c r="E21" s="41">
        <f t="shared" si="2"/>
        <v>3.6572E-2</v>
      </c>
      <c r="G21" s="111">
        <f t="shared" si="3"/>
        <v>647.8024215267526</v>
      </c>
      <c r="H21" s="112">
        <f t="shared" si="4"/>
        <v>67.577286147980956</v>
      </c>
      <c r="I21" s="39">
        <f t="shared" si="5"/>
        <v>1.5464231713768279</v>
      </c>
      <c r="J21" s="39">
        <f t="shared" si="6"/>
        <v>1.5464231713768279</v>
      </c>
      <c r="K21" s="112">
        <f t="shared" si="7"/>
        <v>279.35560607109454</v>
      </c>
      <c r="L21" s="112">
        <f t="shared" si="8"/>
        <v>2.1718399114183486</v>
      </c>
      <c r="M21" s="39">
        <f t="shared" si="0"/>
        <v>1000</v>
      </c>
      <c r="N21" s="38">
        <f t="shared" si="9"/>
        <v>661065.72795841796</v>
      </c>
      <c r="O21" s="37">
        <f t="shared" si="10"/>
        <v>718.47255401748714</v>
      </c>
      <c r="P21" s="36">
        <f>(uNES*G21+ uOCEX*H21+uEREX*'C - PH+UC'!I21+uHOEX*'C - PH+UC'!J21)/(1+oDR)^A$5:A$65536</f>
        <v>378.51573180508353</v>
      </c>
      <c r="Q21" s="33"/>
      <c r="R21" s="33"/>
    </row>
    <row r="22" spans="1:18" x14ac:dyDescent="0.25">
      <c r="A22" s="4">
        <v>16</v>
      </c>
      <c r="C22" s="41" t="e">
        <f t="shared" si="1"/>
        <v>#REF!</v>
      </c>
      <c r="E22" s="41">
        <f t="shared" si="2"/>
        <v>4.0275999999999999E-2</v>
      </c>
      <c r="G22" s="111">
        <f t="shared" si="3"/>
        <v>621.36637254939626</v>
      </c>
      <c r="H22" s="112">
        <f t="shared" si="4"/>
        <v>65.073109018133636</v>
      </c>
      <c r="I22" s="39">
        <f t="shared" si="5"/>
        <v>1.4891181542687455</v>
      </c>
      <c r="J22" s="39">
        <f t="shared" si="6"/>
        <v>1.4891181542687455</v>
      </c>
      <c r="K22" s="112">
        <f t="shared" si="7"/>
        <v>308.29280665670285</v>
      </c>
      <c r="L22" s="112">
        <f t="shared" si="8"/>
        <v>2.2894754672299089</v>
      </c>
      <c r="M22" s="39">
        <f t="shared" si="0"/>
        <v>1000.0000000000002</v>
      </c>
      <c r="N22" s="38">
        <f t="shared" si="9"/>
        <v>598230.71105510427</v>
      </c>
      <c r="O22" s="37">
        <f t="shared" si="10"/>
        <v>689.4177178760674</v>
      </c>
      <c r="P22" s="36">
        <f>(uNES*G22+ uOCEX*H22+uEREX*'C - PH+UC'!I22+uHOEX*'C - PH+UC'!J22)/(1+oDR)^A$5:A$65536</f>
        <v>357.82124469649023</v>
      </c>
      <c r="Q22" s="33"/>
      <c r="R22" s="33"/>
    </row>
    <row r="23" spans="1:18" x14ac:dyDescent="0.25">
      <c r="A23" s="4">
        <v>17</v>
      </c>
      <c r="C23" s="41" t="e">
        <f t="shared" si="1"/>
        <v>#REF!</v>
      </c>
      <c r="E23" s="41">
        <f t="shared" si="2"/>
        <v>4.4347999999999999E-2</v>
      </c>
      <c r="G23" s="111">
        <f t="shared" si="3"/>
        <v>593.45626685342165</v>
      </c>
      <c r="H23" s="112">
        <f t="shared" si="4"/>
        <v>62.417552570755973</v>
      </c>
      <c r="I23" s="39">
        <f t="shared" si="5"/>
        <v>1.4283490074561425</v>
      </c>
      <c r="J23" s="39">
        <f t="shared" si="6"/>
        <v>1.4283490074561425</v>
      </c>
      <c r="K23" s="112">
        <f t="shared" si="7"/>
        <v>338.86710360907068</v>
      </c>
      <c r="L23" s="112">
        <f t="shared" si="8"/>
        <v>2.4023789518394807</v>
      </c>
      <c r="M23" s="39">
        <f t="shared" si="0"/>
        <v>1000.0000000000002</v>
      </c>
      <c r="N23" s="38">
        <f t="shared" si="9"/>
        <v>539052.58382357692</v>
      </c>
      <c r="O23" s="37">
        <f t="shared" si="10"/>
        <v>658.73051743908991</v>
      </c>
      <c r="P23" s="36">
        <f>(uNES*G23+ uOCEX*H23+uEREX*'C - PH+UC'!I23+uHOEX*'C - PH+UC'!J23)/(1+oDR)^A$5:A$65536</f>
        <v>336.82081150341349</v>
      </c>
      <c r="Q23" s="33"/>
      <c r="R23" s="33"/>
    </row>
    <row r="24" spans="1:18" x14ac:dyDescent="0.25">
      <c r="A24" s="4">
        <v>18</v>
      </c>
      <c r="C24" s="41" t="e">
        <f t="shared" si="1"/>
        <v>#REF!</v>
      </c>
      <c r="E24" s="41">
        <f t="shared" si="2"/>
        <v>4.8797E-2</v>
      </c>
      <c r="G24" s="111">
        <f t="shared" si="3"/>
        <v>564.13623312997754</v>
      </c>
      <c r="H24" s="112">
        <f t="shared" si="4"/>
        <v>59.61392404096236</v>
      </c>
      <c r="I24" s="39">
        <f t="shared" si="5"/>
        <v>1.3641914129515054</v>
      </c>
      <c r="J24" s="39">
        <f t="shared" si="6"/>
        <v>1.3641914129515054</v>
      </c>
      <c r="K24" s="112">
        <f t="shared" si="7"/>
        <v>371.01117666854594</v>
      </c>
      <c r="L24" s="112">
        <f t="shared" si="8"/>
        <v>2.510283334611159</v>
      </c>
      <c r="M24" s="39">
        <f t="shared" si="0"/>
        <v>1000</v>
      </c>
      <c r="N24" s="38">
        <f t="shared" si="9"/>
        <v>483448.98474917759</v>
      </c>
      <c r="O24" s="37">
        <f t="shared" si="10"/>
        <v>626.47853999684298</v>
      </c>
      <c r="P24" s="36">
        <f>(uNES*G24+ uOCEX*H24+uEREX*'C - PH+UC'!I24+uHOEX*'C - PH+UC'!J24)/(1+oDR)^A$5:A$65536</f>
        <v>315.57464179781687</v>
      </c>
      <c r="Q24" s="33"/>
      <c r="R24" s="33"/>
    </row>
    <row r="25" spans="1:18" x14ac:dyDescent="0.25">
      <c r="A25" s="4">
        <v>19</v>
      </c>
      <c r="C25" s="41" t="e">
        <f t="shared" si="1"/>
        <v>#REF!</v>
      </c>
      <c r="E25" s="41">
        <f t="shared" si="2"/>
        <v>5.3739000000000002E-2</v>
      </c>
      <c r="G25" s="111">
        <f t="shared" si="3"/>
        <v>533.44730989446111</v>
      </c>
      <c r="H25" s="112">
        <f t="shared" si="4"/>
        <v>56.66866528999266</v>
      </c>
      <c r="I25" s="39">
        <f t="shared" si="5"/>
        <v>1.2967927848351557</v>
      </c>
      <c r="J25" s="39">
        <f t="shared" si="6"/>
        <v>1.2967927848351557</v>
      </c>
      <c r="K25" s="112">
        <f t="shared" si="7"/>
        <v>404.67750692943628</v>
      </c>
      <c r="L25" s="112">
        <f t="shared" si="8"/>
        <v>2.6129323164396192</v>
      </c>
      <c r="M25" s="39">
        <f t="shared" si="0"/>
        <v>999.99999999999989</v>
      </c>
      <c r="N25" s="38">
        <f t="shared" si="9"/>
        <v>431306.65837869892</v>
      </c>
      <c r="O25" s="37">
        <f t="shared" si="10"/>
        <v>592.70956075412403</v>
      </c>
      <c r="P25" s="36">
        <f>(uNES*G25+ uOCEX*H25+uEREX*'C - PH+UC'!I25+uHOEX*'C - PH+UC'!J25)/(1+oDR)^A$5:A$65536</f>
        <v>294.12978788812063</v>
      </c>
      <c r="Q25" s="33"/>
      <c r="R25" s="33"/>
    </row>
    <row r="26" spans="1:18" x14ac:dyDescent="0.25">
      <c r="A26" s="4">
        <v>20</v>
      </c>
      <c r="C26" s="41" t="e">
        <f t="shared" si="1"/>
        <v>#REF!</v>
      </c>
      <c r="E26" s="41">
        <f t="shared" si="2"/>
        <v>5.9402999999999997E-2</v>
      </c>
      <c r="G26" s="111">
        <f t="shared" si="3"/>
        <v>501.36529575776103</v>
      </c>
      <c r="H26" s="112">
        <f t="shared" si="4"/>
        <v>53.585898722607382</v>
      </c>
      <c r="I26" s="39">
        <f t="shared" si="5"/>
        <v>1.2262474592754546</v>
      </c>
      <c r="J26" s="39">
        <f t="shared" si="6"/>
        <v>1.2262474592754546</v>
      </c>
      <c r="K26" s="112">
        <f t="shared" si="7"/>
        <v>439.8862329669135</v>
      </c>
      <c r="L26" s="112">
        <f t="shared" si="8"/>
        <v>2.7100776341671704</v>
      </c>
      <c r="M26" s="39">
        <f t="shared" si="0"/>
        <v>1000</v>
      </c>
      <c r="N26" s="38">
        <f t="shared" si="9"/>
        <v>382456.79256647814</v>
      </c>
      <c r="O26" s="37">
        <f t="shared" si="10"/>
        <v>557.40368939891925</v>
      </c>
      <c r="P26" s="36">
        <f>(uNES*G26+ uOCEX*H26+uEREX*'C - PH+UC'!I26+uHOEX*'C - PH+UC'!J26)/(1+oDR)^A$5:A$65536</f>
        <v>272.49767564239511</v>
      </c>
      <c r="Q26" s="33"/>
      <c r="R26" s="33"/>
    </row>
    <row r="27" spans="1:18" x14ac:dyDescent="0.25">
      <c r="A27" s="4">
        <v>21</v>
      </c>
      <c r="C27" s="41" t="e">
        <f t="shared" si="1"/>
        <v>#REF!</v>
      </c>
      <c r="E27" s="41">
        <f t="shared" si="2"/>
        <v>6.5873000000000001E-2</v>
      </c>
      <c r="G27" s="111">
        <f t="shared" si="3"/>
        <v>467.92625250931002</v>
      </c>
      <c r="H27" s="112">
        <f t="shared" si="4"/>
        <v>50.363193258619596</v>
      </c>
      <c r="I27" s="39">
        <f t="shared" si="5"/>
        <v>1.1524998039890293</v>
      </c>
      <c r="J27" s="39">
        <f t="shared" si="6"/>
        <v>1.1524998039890293</v>
      </c>
      <c r="K27" s="112">
        <f t="shared" si="7"/>
        <v>476.60408619868849</v>
      </c>
      <c r="L27" s="112">
        <f t="shared" si="8"/>
        <v>2.8014684254037712</v>
      </c>
      <c r="M27" s="39">
        <f t="shared" si="0"/>
        <v>999.99999999999989</v>
      </c>
      <c r="N27" s="38">
        <f t="shared" si="9"/>
        <v>336779.12354907318</v>
      </c>
      <c r="O27" s="37">
        <f t="shared" si="10"/>
        <v>520.59444537590764</v>
      </c>
      <c r="P27" s="36">
        <f>(uNES*G27+ uOCEX*H27+uEREX*'C - PH+UC'!I27+uHOEX*'C - PH+UC'!J27)/(1+oDR)^A$5:A$65536</f>
        <v>250.7162381034708</v>
      </c>
      <c r="Q27" s="33"/>
      <c r="R27" s="33"/>
    </row>
    <row r="28" spans="1:18" x14ac:dyDescent="0.25">
      <c r="A28" s="4">
        <v>22</v>
      </c>
      <c r="C28" s="41" t="e">
        <f t="shared" si="1"/>
        <v>#REF!</v>
      </c>
      <c r="E28" s="41">
        <f t="shared" si="2"/>
        <v>7.3081999999999994E-2</v>
      </c>
      <c r="G28" s="111">
        <f t="shared" si="3"/>
        <v>433.30753503063659</v>
      </c>
      <c r="H28" s="112">
        <f t="shared" si="4"/>
        <v>47.004171380250966</v>
      </c>
      <c r="I28" s="39">
        <f t="shared" si="5"/>
        <v>1.0756327150311196</v>
      </c>
      <c r="J28" s="39">
        <f t="shared" si="6"/>
        <v>1.0756327150311196</v>
      </c>
      <c r="K28" s="112">
        <f t="shared" si="7"/>
        <v>514.6501694556506</v>
      </c>
      <c r="L28" s="112">
        <f t="shared" si="8"/>
        <v>2.88685870339962</v>
      </c>
      <c r="M28" s="39">
        <f t="shared" si="0"/>
        <v>1000</v>
      </c>
      <c r="N28" s="38">
        <f t="shared" si="9"/>
        <v>294245.25461921463</v>
      </c>
      <c r="O28" s="37">
        <f t="shared" si="10"/>
        <v>482.46297184094982</v>
      </c>
      <c r="P28" s="36">
        <f>(uNES*G28+ uOCEX*H28+uEREX*'C - PH+UC'!I28+uHOEX*'C - PH+UC'!J28)/(1+oDR)^A$5:A$65536</f>
        <v>228.89236906376334</v>
      </c>
      <c r="Q28" s="33"/>
      <c r="R28" s="33"/>
    </row>
    <row r="29" spans="1:18" x14ac:dyDescent="0.25">
      <c r="A29" s="4">
        <v>23</v>
      </c>
      <c r="C29" s="41" t="e">
        <f t="shared" si="1"/>
        <v>#REF!</v>
      </c>
      <c r="E29" s="41">
        <f t="shared" si="2"/>
        <v>8.1070000000000003E-2</v>
      </c>
      <c r="G29" s="111">
        <f t="shared" si="3"/>
        <v>397.75177022803445</v>
      </c>
      <c r="H29" s="112">
        <f t="shared" si="4"/>
        <v>43.526648756534357</v>
      </c>
      <c r="I29" s="39">
        <f t="shared" si="5"/>
        <v>0.99605388210009083</v>
      </c>
      <c r="J29" s="39">
        <f t="shared" si="6"/>
        <v>0.99605388210009083</v>
      </c>
      <c r="K29" s="112">
        <f t="shared" si="7"/>
        <v>553.76344258279642</v>
      </c>
      <c r="L29" s="112">
        <f t="shared" si="8"/>
        <v>2.9660306684346565</v>
      </c>
      <c r="M29" s="39">
        <f t="shared" si="0"/>
        <v>1000.0000000000001</v>
      </c>
      <c r="N29" s="38">
        <f t="shared" si="9"/>
        <v>254845.69721204942</v>
      </c>
      <c r="O29" s="37">
        <f t="shared" si="10"/>
        <v>443.27052674876899</v>
      </c>
      <c r="P29" s="36">
        <f>(uNES*G29+ uOCEX*H29+uEREX*'C - PH+UC'!I29+uHOEX*'C - PH+UC'!J29)/(1+oDR)^A$5:A$65536</f>
        <v>207.16405273610155</v>
      </c>
      <c r="Q29" s="33"/>
      <c r="R29" s="33"/>
    </row>
    <row r="30" spans="1:18" x14ac:dyDescent="0.25">
      <c r="A30" s="4">
        <v>24</v>
      </c>
      <c r="C30" s="41" t="e">
        <f t="shared" si="1"/>
        <v>#REF!</v>
      </c>
      <c r="E30" s="41">
        <f t="shared" si="2"/>
        <v>8.9946999999999999E-2</v>
      </c>
      <c r="G30" s="111">
        <f t="shared" si="3"/>
        <v>361.54325495003968</v>
      </c>
      <c r="H30" s="112">
        <f t="shared" si="4"/>
        <v>39.954997767997114</v>
      </c>
      <c r="I30" s="39">
        <f t="shared" si="5"/>
        <v>0.91432103718160673</v>
      </c>
      <c r="J30" s="39">
        <f t="shared" si="6"/>
        <v>0.91432103718160673</v>
      </c>
      <c r="K30" s="112">
        <f t="shared" si="7"/>
        <v>593.63429665226795</v>
      </c>
      <c r="L30" s="112">
        <f t="shared" si="8"/>
        <v>3.0388085553320781</v>
      </c>
      <c r="M30" s="39">
        <f t="shared" si="0"/>
        <v>1000</v>
      </c>
      <c r="N30" s="38">
        <f t="shared" si="9"/>
        <v>218567.24057285648</v>
      </c>
      <c r="O30" s="37">
        <f t="shared" si="10"/>
        <v>403.32689479240003</v>
      </c>
      <c r="P30" s="36">
        <f>(uNES*G30+ uOCEX*H30+uEREX*'C - PH+UC'!I30+uHOEX*'C - PH+UC'!J30)/(1+oDR)^A$5:A$65536</f>
        <v>185.68364670126056</v>
      </c>
      <c r="Q30" s="33"/>
      <c r="R30" s="33"/>
    </row>
    <row r="31" spans="1:18" x14ac:dyDescent="0.25">
      <c r="A31" s="4">
        <v>25</v>
      </c>
      <c r="C31" s="41" t="e">
        <f t="shared" si="1"/>
        <v>#REF!</v>
      </c>
      <c r="E31" s="41">
        <f t="shared" si="2"/>
        <v>9.9842E-2</v>
      </c>
      <c r="G31" s="111">
        <f t="shared" si="3"/>
        <v>325.01172069268523</v>
      </c>
      <c r="H31" s="112">
        <f t="shared" si="4"/>
        <v>36.317776628075201</v>
      </c>
      <c r="I31" s="39">
        <f t="shared" si="5"/>
        <v>0.83108769990493747</v>
      </c>
      <c r="J31" s="39">
        <f t="shared" si="6"/>
        <v>0.83108769990493747</v>
      </c>
      <c r="K31" s="112">
        <f t="shared" si="7"/>
        <v>633.9032604821308</v>
      </c>
      <c r="L31" s="112">
        <f t="shared" si="8"/>
        <v>3.1050667972989765</v>
      </c>
      <c r="M31" s="39">
        <f t="shared" si="0"/>
        <v>1000</v>
      </c>
      <c r="N31" s="38">
        <f t="shared" si="9"/>
        <v>185392.65531450484</v>
      </c>
      <c r="O31" s="37">
        <f t="shared" si="10"/>
        <v>362.99167272057031</v>
      </c>
      <c r="P31" s="36">
        <f>(uNES*G31+ uOCEX*H31+uEREX*'C - PH+UC'!I31+uHOEX*'C - PH+UC'!J31)/(1+oDR)^A$5:A$65536</f>
        <v>164.61729703730828</v>
      </c>
      <c r="Q31" s="33"/>
      <c r="R31" s="33"/>
    </row>
    <row r="32" spans="1:18" x14ac:dyDescent="0.25">
      <c r="A32" s="4">
        <v>26</v>
      </c>
      <c r="C32" s="41" t="e">
        <f t="shared" si="1"/>
        <v>#REF!</v>
      </c>
      <c r="E32" s="41">
        <f t="shared" si="2"/>
        <v>0.110863</v>
      </c>
      <c r="G32" s="111">
        <f t="shared" si="3"/>
        <v>288.54732435941622</v>
      </c>
      <c r="H32" s="112">
        <f t="shared" si="4"/>
        <v>32.648107555635129</v>
      </c>
      <c r="I32" s="39">
        <f t="shared" si="5"/>
        <v>0.74711183155651928</v>
      </c>
      <c r="J32" s="39">
        <f t="shared" si="6"/>
        <v>0.74711183155651928</v>
      </c>
      <c r="K32" s="112">
        <f t="shared" si="7"/>
        <v>674.14560629495145</v>
      </c>
      <c r="L32" s="112">
        <f t="shared" si="8"/>
        <v>3.1647381268843384</v>
      </c>
      <c r="M32" s="39">
        <f t="shared" si="0"/>
        <v>1000.0000000000002</v>
      </c>
      <c r="N32" s="38">
        <f t="shared" si="9"/>
        <v>155306.5268190972</v>
      </c>
      <c r="O32" s="37">
        <f t="shared" si="10"/>
        <v>322.68965557816438</v>
      </c>
      <c r="P32" s="36">
        <f>(uNES*G32+ uOCEX*H32+uEREX*'C - PH+UC'!I32+uHOEX*'C - PH+UC'!J32)/(1+oDR)^A$5:A$65536</f>
        <v>144.15054987159957</v>
      </c>
      <c r="Q32" s="33"/>
      <c r="R32" s="33"/>
    </row>
    <row r="33" spans="1:18" x14ac:dyDescent="0.25">
      <c r="A33" s="4">
        <v>27</v>
      </c>
      <c r="C33" s="41" t="e">
        <f t="shared" si="1"/>
        <v>#REF!</v>
      </c>
      <c r="E33" s="41">
        <f t="shared" si="2"/>
        <v>0.123088</v>
      </c>
      <c r="G33" s="111">
        <f t="shared" si="3"/>
        <v>252.60558208283584</v>
      </c>
      <c r="H33" s="112">
        <f t="shared" si="4"/>
        <v>28.985182628181374</v>
      </c>
      <c r="I33" s="39">
        <f t="shared" si="5"/>
        <v>0.66329029468058909</v>
      </c>
      <c r="J33" s="39">
        <f t="shared" si="6"/>
        <v>0.66329029468058909</v>
      </c>
      <c r="K33" s="112">
        <f t="shared" si="7"/>
        <v>713.86483062075649</v>
      </c>
      <c r="L33" s="112">
        <f t="shared" si="8"/>
        <v>3.2178240788652497</v>
      </c>
      <c r="M33" s="39">
        <f t="shared" si="0"/>
        <v>1000.0000000000001</v>
      </c>
      <c r="N33" s="38">
        <f t="shared" si="9"/>
        <v>128294.05695793629</v>
      </c>
      <c r="O33" s="37">
        <f t="shared" si="10"/>
        <v>282.91734530037837</v>
      </c>
      <c r="P33" s="36">
        <f>(uNES*G33+ uOCEX*H33+uEREX*'C - PH+UC'!I33+uHOEX*'C - PH+UC'!J33)/(1+oDR)^A$5:A$65536</f>
        <v>124.48935427230246</v>
      </c>
      <c r="Q33" s="33"/>
      <c r="R33" s="33"/>
    </row>
    <row r="34" spans="1:18" x14ac:dyDescent="0.25">
      <c r="A34" s="4">
        <v>28</v>
      </c>
      <c r="C34" s="41" t="e">
        <f t="shared" si="1"/>
        <v>#REF!</v>
      </c>
      <c r="E34" s="41">
        <f t="shared" si="2"/>
        <v>0.13656299999999999</v>
      </c>
      <c r="G34" s="111">
        <f t="shared" si="3"/>
        <v>217.69862151246184</v>
      </c>
      <c r="H34" s="112">
        <f t="shared" si="4"/>
        <v>25.374759394576667</v>
      </c>
      <c r="I34" s="39">
        <f t="shared" si="5"/>
        <v>0.58067019456740354</v>
      </c>
      <c r="J34" s="39">
        <f t="shared" si="6"/>
        <v>0.58067019456740354</v>
      </c>
      <c r="K34" s="112">
        <f t="shared" si="7"/>
        <v>752.50087204701208</v>
      </c>
      <c r="L34" s="112">
        <f t="shared" si="8"/>
        <v>3.2644066568147569</v>
      </c>
      <c r="M34" s="39">
        <f t="shared" si="0"/>
        <v>1000.0000000000002</v>
      </c>
      <c r="N34" s="38">
        <f t="shared" si="9"/>
        <v>104333.37723017352</v>
      </c>
      <c r="O34" s="37">
        <f t="shared" si="10"/>
        <v>244.23472129617332</v>
      </c>
      <c r="P34" s="36">
        <f>(uNES*G34+ uOCEX*H34+uEREX*'C - PH+UC'!I34+uHOEX*'C - PH+UC'!J34)/(1+oDR)^A$5:A$65536</f>
        <v>105.85447647226839</v>
      </c>
      <c r="Q34" s="33"/>
      <c r="R34" s="33"/>
    </row>
    <row r="35" spans="1:18" x14ac:dyDescent="0.25">
      <c r="A35" s="4">
        <v>29</v>
      </c>
      <c r="C35" s="41" t="e">
        <f t="shared" si="1"/>
        <v>#REF!</v>
      </c>
      <c r="E35" s="41">
        <f t="shared" si="2"/>
        <v>0.15129899999999999</v>
      </c>
      <c r="G35" s="111">
        <f t="shared" si="3"/>
        <v>184.37286037364572</v>
      </c>
      <c r="H35" s="112">
        <f t="shared" si="4"/>
        <v>21.868282149039185</v>
      </c>
      <c r="I35" s="39">
        <f t="shared" si="5"/>
        <v>0.50042877068822389</v>
      </c>
      <c r="J35" s="39">
        <f t="shared" si="6"/>
        <v>0.50042877068822389</v>
      </c>
      <c r="K35" s="112">
        <f t="shared" si="7"/>
        <v>789.45334114440175</v>
      </c>
      <c r="L35" s="112">
        <f t="shared" si="8"/>
        <v>3.3046587915370189</v>
      </c>
      <c r="M35" s="39">
        <f t="shared" si="0"/>
        <v>1000.0000000000001</v>
      </c>
      <c r="N35" s="38">
        <f t="shared" si="9"/>
        <v>83384.015002713335</v>
      </c>
      <c r="O35" s="37">
        <f t="shared" si="10"/>
        <v>207.24200006406136</v>
      </c>
      <c r="P35" s="36">
        <f>(uNES*G35+ uOCEX*H35+uEREX*'C - PH+UC'!I35+uHOEX*'C - PH+UC'!J35)/(1+oDR)^A$5:A$65536</f>
        <v>88.469907342455457</v>
      </c>
      <c r="Q35" s="33"/>
      <c r="R35" s="33"/>
    </row>
    <row r="36" spans="1:18" x14ac:dyDescent="0.25">
      <c r="A36" s="4">
        <v>30</v>
      </c>
      <c r="C36" s="41" t="e">
        <f t="shared" si="1"/>
        <v>#REF!</v>
      </c>
      <c r="E36" s="41">
        <f t="shared" si="2"/>
        <v>0.167291</v>
      </c>
      <c r="G36" s="111">
        <f t="shared" si="3"/>
        <v>153.16980241768769</v>
      </c>
      <c r="H36" s="112">
        <f t="shared" si="4"/>
        <v>18.520639695669775</v>
      </c>
      <c r="I36" s="39">
        <f t="shared" si="5"/>
        <v>0.42382208589122128</v>
      </c>
      <c r="J36" s="39">
        <f t="shared" si="6"/>
        <v>0.42382208589122128</v>
      </c>
      <c r="K36" s="112">
        <f t="shared" si="7"/>
        <v>824.12306257711862</v>
      </c>
      <c r="L36" s="112">
        <f t="shared" si="8"/>
        <v>3.3388511377415848</v>
      </c>
      <c r="M36" s="39">
        <f t="shared" si="0"/>
        <v>1000.0000000000001</v>
      </c>
      <c r="N36" s="38">
        <f t="shared" si="9"/>
        <v>65372.138143478478</v>
      </c>
      <c r="O36" s="37">
        <f t="shared" si="10"/>
        <v>172.53808628513991</v>
      </c>
      <c r="P36" s="36">
        <f>(uNES*G36+ uOCEX*H36+uEREX*'C - PH+UC'!I36+uHOEX*'C - PH+UC'!J36)/(1+oDR)^A$5:A$65536</f>
        <v>72.544495383809192</v>
      </c>
      <c r="Q36" s="33"/>
      <c r="R36" s="33"/>
    </row>
    <row r="37" spans="1:18" x14ac:dyDescent="0.25">
      <c r="A37" s="4">
        <v>31</v>
      </c>
      <c r="C37" s="41" t="e">
        <f t="shared" si="1"/>
        <v>#REF!</v>
      </c>
      <c r="E37" s="41">
        <f t="shared" si="2"/>
        <v>0.18451999999999999</v>
      </c>
      <c r="G37" s="111">
        <f t="shared" si="3"/>
        <v>124.58244045700513</v>
      </c>
      <c r="H37" s="112">
        <f t="shared" si="4"/>
        <v>15.386227219591456</v>
      </c>
      <c r="I37" s="39">
        <f t="shared" si="5"/>
        <v>0.35209490716069525</v>
      </c>
      <c r="J37" s="39">
        <f t="shared" si="6"/>
        <v>0.35209490716069525</v>
      </c>
      <c r="K37" s="112">
        <f t="shared" si="7"/>
        <v>855.95979025845259</v>
      </c>
      <c r="L37" s="112">
        <f t="shared" si="8"/>
        <v>3.3673522506294904</v>
      </c>
      <c r="M37" s="39">
        <f t="shared" si="0"/>
        <v>1000</v>
      </c>
      <c r="N37" s="38">
        <f t="shared" si="9"/>
        <v>50179.575760767264</v>
      </c>
      <c r="O37" s="37">
        <f t="shared" si="10"/>
        <v>140.67285749091801</v>
      </c>
      <c r="P37" s="36">
        <f>(uNES*G37+ uOCEX*H37+uEREX*'C - PH+UC'!I37+uHOEX*'C - PH+UC'!J37)/(1+oDR)^A$5:A$65536</f>
        <v>58.252700240022591</v>
      </c>
      <c r="Q37" s="33"/>
      <c r="R37" s="33"/>
    </row>
    <row r="38" spans="1:18" x14ac:dyDescent="0.25">
      <c r="A38" s="4">
        <v>32</v>
      </c>
      <c r="C38" s="41" t="e">
        <f t="shared" si="1"/>
        <v>#REF!</v>
      </c>
      <c r="E38" s="41">
        <f t="shared" si="2"/>
        <v>0.202954</v>
      </c>
      <c r="G38" s="111">
        <f t="shared" si="3"/>
        <v>99.012141754824697</v>
      </c>
      <c r="H38" s="112">
        <f t="shared" si="4"/>
        <v>12.514566880588667</v>
      </c>
      <c r="I38" s="39">
        <f t="shared" si="5"/>
        <v>0.28638048828283047</v>
      </c>
      <c r="J38" s="39">
        <f t="shared" si="6"/>
        <v>0.28638048828283047</v>
      </c>
      <c r="K38" s="112">
        <f t="shared" si="7"/>
        <v>884.50990937766437</v>
      </c>
      <c r="L38" s="112">
        <f t="shared" si="8"/>
        <v>3.3906210103566852</v>
      </c>
      <c r="M38" s="39">
        <f t="shared" si="0"/>
        <v>1000</v>
      </c>
      <c r="N38" s="38">
        <f t="shared" si="9"/>
        <v>37638.093725760664</v>
      </c>
      <c r="O38" s="37">
        <f t="shared" si="10"/>
        <v>112.09946961197902</v>
      </c>
      <c r="P38" s="36">
        <f>(uNES*G38+ uOCEX*H38+uEREX*'C - PH+UC'!I38+uHOEX*'C - PH+UC'!J38)/(1+oDR)^A$5:A$65536</f>
        <v>45.71712607619255</v>
      </c>
      <c r="Q38" s="33"/>
      <c r="R38" s="33"/>
    </row>
    <row r="39" spans="1:18" x14ac:dyDescent="0.25">
      <c r="A39" s="4">
        <v>33</v>
      </c>
      <c r="C39" s="41" t="e">
        <f t="shared" ref="C39:C66" si="11">1-EXP(lambda*(A38^gamma-A39^gamma))</f>
        <v>#REF!</v>
      </c>
      <c r="E39" s="41">
        <f t="shared" si="2"/>
        <v>0.222555</v>
      </c>
      <c r="G39" s="111">
        <f t="shared" ref="G39:G66" si="12">H38*(1-mr)+I38*(1-mr)+J38*(1-(mr+amr+amrHOEX))+G38*(1-(mr+rrOSEX+rrEREX+rrHOEX+amr))</f>
        <v>76.731422130778753</v>
      </c>
      <c r="H39" s="112">
        <f t="shared" ref="H39:H66" si="13">G38*(rrOSEX)</f>
        <v>9.9459768602679226</v>
      </c>
      <c r="I39" s="39">
        <f t="shared" ref="I39:I66" si="14">G38*(rrEREX)</f>
        <v>0.22760146131076328</v>
      </c>
      <c r="J39" s="39">
        <f t="shared" ref="J39:J66" si="15">G38*(rrHOEX)</f>
        <v>0.22760146131076328</v>
      </c>
      <c r="K39" s="112">
        <f t="shared" ref="K39:K66" si="16">(G38*mr)+(H38*mr)+(I38*mr)+(J38*mr)+K38</f>
        <v>909.4582068371584</v>
      </c>
      <c r="L39" s="112">
        <f t="shared" ref="L39:L66" si="17">(G38*amr)+(J38*(amr+amrHOEX))+L38</f>
        <v>3.4091912491735079</v>
      </c>
      <c r="M39" s="39">
        <f t="shared" si="0"/>
        <v>1000.0000000000001</v>
      </c>
      <c r="N39" s="38">
        <f t="shared" ref="N39:N66" si="18">(cNES*G39+cOSEX*H39+cEREX*I39+cHOEX*J39)/(1+cDR)^A$5:A$65536</f>
        <v>27529.705760821962</v>
      </c>
      <c r="O39" s="37">
        <f t="shared" si="10"/>
        <v>87.132601913668211</v>
      </c>
      <c r="P39" s="36">
        <f>(uNES*G39+ uOCEX*H39+uEREX*'C - PH+UC'!I39+uHOEX*'C - PH+UC'!J39)/(1+oDR)^A$5:A$65536</f>
        <v>34.995129842272632</v>
      </c>
      <c r="Q39" s="33"/>
      <c r="R39" s="33"/>
    </row>
    <row r="40" spans="1:18" x14ac:dyDescent="0.25">
      <c r="A40" s="4">
        <v>34</v>
      </c>
      <c r="C40" s="41" t="e">
        <f t="shared" si="11"/>
        <v>#REF!</v>
      </c>
      <c r="E40" s="41">
        <f t="shared" si="2"/>
        <v>0.24327199999999999</v>
      </c>
      <c r="G40" s="111">
        <f t="shared" si="12"/>
        <v>57.860620860201834</v>
      </c>
      <c r="H40" s="112">
        <f t="shared" si="13"/>
        <v>7.707831943055484</v>
      </c>
      <c r="I40" s="39">
        <f t="shared" si="14"/>
        <v>0.17638426455477907</v>
      </c>
      <c r="J40" s="39">
        <f t="shared" si="15"/>
        <v>0.17638426455477907</v>
      </c>
      <c r="K40" s="112">
        <f t="shared" si="16"/>
        <v>930.65512916990031</v>
      </c>
      <c r="L40" s="112">
        <f t="shared" si="17"/>
        <v>3.4236494977329515</v>
      </c>
      <c r="M40" s="39">
        <f t="shared" si="0"/>
        <v>1000.0000000000001</v>
      </c>
      <c r="N40" s="38">
        <f t="shared" si="18"/>
        <v>19593.978835238187</v>
      </c>
      <c r="O40" s="37">
        <f t="shared" si="10"/>
        <v>65.921221332366883</v>
      </c>
      <c r="P40" s="36">
        <f>(uNES*G40+ uOCEX*H40+uEREX*'C - PH+UC'!I40+uHOEX*'C - PH+UC'!J40)/(1+oDR)^A$5:A$65536</f>
        <v>26.072590478727609</v>
      </c>
      <c r="Q40" s="33"/>
      <c r="R40" s="33"/>
    </row>
    <row r="41" spans="1:18" x14ac:dyDescent="0.25">
      <c r="A41" s="4">
        <v>35</v>
      </c>
      <c r="C41" s="41" t="e">
        <f t="shared" si="11"/>
        <v>#REF!</v>
      </c>
      <c r="E41" s="41">
        <f t="shared" si="2"/>
        <v>0.26382100000000003</v>
      </c>
      <c r="G41" s="111">
        <f t="shared" si="12"/>
        <v>42.440628643756803</v>
      </c>
      <c r="H41" s="112">
        <f t="shared" si="13"/>
        <v>5.8122204610149311</v>
      </c>
      <c r="I41" s="39">
        <f t="shared" si="14"/>
        <v>0.13300552464302448</v>
      </c>
      <c r="J41" s="39">
        <f t="shared" si="15"/>
        <v>0.13300552464302448</v>
      </c>
      <c r="K41" s="112">
        <f t="shared" si="16"/>
        <v>948.04653170302663</v>
      </c>
      <c r="L41" s="112">
        <f t="shared" si="17"/>
        <v>3.4346081429156787</v>
      </c>
      <c r="M41" s="39">
        <f t="shared" si="0"/>
        <v>1000</v>
      </c>
      <c r="N41" s="38">
        <f t="shared" si="18"/>
        <v>13565.664529004311</v>
      </c>
      <c r="O41" s="37">
        <f t="shared" si="10"/>
        <v>48.518860154057784</v>
      </c>
      <c r="P41" s="36">
        <f>(uNES*G41+ uOCEX*H41+uEREX*'C - PH+UC'!I41+uHOEX*'C - PH+UC'!J41)/(1+oDR)^A$5:A$65536</f>
        <v>18.897085917946626</v>
      </c>
      <c r="Q41" s="33"/>
      <c r="R41" s="33"/>
    </row>
    <row r="42" spans="1:18" x14ac:dyDescent="0.25">
      <c r="A42" s="4">
        <v>36</v>
      </c>
      <c r="C42" s="41" t="e">
        <f t="shared" si="11"/>
        <v>#REF!</v>
      </c>
      <c r="E42" s="41">
        <f t="shared" si="2"/>
        <v>0.283833</v>
      </c>
      <c r="G42" s="111">
        <f t="shared" si="12"/>
        <v>30.281157106208735</v>
      </c>
      <c r="H42" s="112">
        <f t="shared" si="13"/>
        <v>4.2632499706073705</v>
      </c>
      <c r="I42" s="39">
        <f t="shared" si="14"/>
        <v>9.7559237958770764E-2</v>
      </c>
      <c r="J42" s="39">
        <f t="shared" si="15"/>
        <v>9.7559237958770764E-2</v>
      </c>
      <c r="K42" s="112">
        <f t="shared" si="16"/>
        <v>961.81778533713327</v>
      </c>
      <c r="L42" s="112">
        <f t="shared" si="17"/>
        <v>3.4426891101331325</v>
      </c>
      <c r="M42" s="39">
        <f t="shared" si="0"/>
        <v>1000.0000000000001</v>
      </c>
      <c r="N42" s="38">
        <f t="shared" si="18"/>
        <v>9136.0316395316204</v>
      </c>
      <c r="O42" s="37">
        <f t="shared" si="10"/>
        <v>34.739525552733646</v>
      </c>
      <c r="P42" s="36">
        <f>(uNES*G42+ uOCEX*H42+uEREX*'C - PH+UC'!I42+uHOEX*'C - PH+UC'!J42)/(1+oDR)^A$5:A$65536</f>
        <v>13.323828153905495</v>
      </c>
      <c r="Q42" s="33"/>
      <c r="R42" s="33"/>
    </row>
    <row r="43" spans="1:18" x14ac:dyDescent="0.25">
      <c r="A43" s="4">
        <v>37</v>
      </c>
      <c r="C43" s="41" t="e">
        <f t="shared" si="11"/>
        <v>#REF!</v>
      </c>
      <c r="E43" s="41">
        <f t="shared" si="2"/>
        <v>0.30291600000000002</v>
      </c>
      <c r="G43" s="111">
        <f t="shared" si="12"/>
        <v>21.029548723980703</v>
      </c>
      <c r="H43" s="112">
        <f t="shared" si="13"/>
        <v>3.0418056062888255</v>
      </c>
      <c r="I43" s="39">
        <f t="shared" si="14"/>
        <v>6.9607984287624755E-2</v>
      </c>
      <c r="J43" s="39">
        <f t="shared" si="15"/>
        <v>6.9607984287624755E-2</v>
      </c>
      <c r="K43" s="112">
        <f t="shared" si="16"/>
        <v>972.34094345946517</v>
      </c>
      <c r="L43" s="112">
        <f t="shared" si="17"/>
        <v>3.4484862416901358</v>
      </c>
      <c r="M43" s="39">
        <f t="shared" si="0"/>
        <v>1000.0000000000001</v>
      </c>
      <c r="N43" s="38">
        <f t="shared" si="18"/>
        <v>5988.8273089118229</v>
      </c>
      <c r="O43" s="37">
        <f t="shared" si="10"/>
        <v>24.210570298844779</v>
      </c>
      <c r="P43" s="36">
        <f>(uNES*G43+ uOCEX*H43+uEREX*'C - PH+UC'!I43+uHOEX*'C - PH+UC'!J43)/(1+oDR)^A$5:A$65536</f>
        <v>9.1439017600049866</v>
      </c>
      <c r="Q43" s="33"/>
      <c r="R43" s="33"/>
    </row>
    <row r="44" spans="1:18" x14ac:dyDescent="0.25">
      <c r="A44" s="4">
        <v>38</v>
      </c>
      <c r="C44" s="41" t="e">
        <f t="shared" si="11"/>
        <v>#REF!</v>
      </c>
      <c r="E44" s="41">
        <f t="shared" si="2"/>
        <v>0.32067200000000001</v>
      </c>
      <c r="G44" s="111">
        <f t="shared" si="12"/>
        <v>14.233726042094226</v>
      </c>
      <c r="H44" s="112">
        <f t="shared" si="13"/>
        <v>2.112462181744462</v>
      </c>
      <c r="I44" s="39">
        <f t="shared" si="14"/>
        <v>4.8341101762407579E-2</v>
      </c>
      <c r="J44" s="39">
        <f t="shared" si="15"/>
        <v>4.8341101762407579E-2</v>
      </c>
      <c r="K44" s="112">
        <f t="shared" si="16"/>
        <v>980.10459545833635</v>
      </c>
      <c r="L44" s="112">
        <f t="shared" si="17"/>
        <v>3.4525341143002559</v>
      </c>
      <c r="M44" s="39">
        <f t="shared" si="0"/>
        <v>1000.0000000000001</v>
      </c>
      <c r="N44" s="38">
        <f t="shared" si="18"/>
        <v>3826.0598201304374</v>
      </c>
      <c r="O44" s="37">
        <f t="shared" si="10"/>
        <v>16.442870427363502</v>
      </c>
      <c r="P44" s="36">
        <f>(uNES*G44+ uOCEX*H44+uEREX*'C - PH+UC'!I44+uHOEX*'C - PH+UC'!J44)/(1+oDR)^A$5:A$65536</f>
        <v>6.1154963418586563</v>
      </c>
      <c r="Q44" s="33"/>
      <c r="R44" s="33"/>
    </row>
    <row r="45" spans="1:18" x14ac:dyDescent="0.25">
      <c r="A45" s="4">
        <v>39</v>
      </c>
      <c r="C45" s="41" t="e">
        <f t="shared" si="11"/>
        <v>#REF!</v>
      </c>
      <c r="E45" s="41">
        <f t="shared" si="2"/>
        <v>0.33670600000000001</v>
      </c>
      <c r="G45" s="111">
        <f t="shared" si="12"/>
        <v>9.4084566807993966</v>
      </c>
      <c r="H45" s="112">
        <f t="shared" si="13"/>
        <v>1.4298075704757058</v>
      </c>
      <c r="I45" s="39">
        <f t="shared" si="14"/>
        <v>3.2719389659297535E-2</v>
      </c>
      <c r="J45" s="39">
        <f t="shared" si="15"/>
        <v>3.2719389659297535E-2</v>
      </c>
      <c r="K45" s="112">
        <f t="shared" si="16"/>
        <v>985.64100858845222</v>
      </c>
      <c r="L45" s="112">
        <f t="shared" si="17"/>
        <v>3.4552883809542072</v>
      </c>
      <c r="M45" s="39">
        <f t="shared" si="0"/>
        <v>1000.0000000000001</v>
      </c>
      <c r="N45" s="38">
        <f t="shared" si="18"/>
        <v>2387.0421319380739</v>
      </c>
      <c r="O45" s="37">
        <f t="shared" si="10"/>
        <v>10.903703030593697</v>
      </c>
      <c r="P45" s="36">
        <f>(uNES*G45+ uOCEX*H45+uEREX*'C - PH+UC'!I45+uHOEX*'C - PH+UC'!J45)/(1+oDR)^A$5:A$65536</f>
        <v>3.9936347485690122</v>
      </c>
      <c r="Q45" s="33"/>
      <c r="R45" s="33"/>
    </row>
    <row r="46" spans="1:18" x14ac:dyDescent="0.25">
      <c r="A46" s="4">
        <v>40</v>
      </c>
      <c r="C46" s="41" t="e">
        <f t="shared" si="11"/>
        <v>#REF!</v>
      </c>
      <c r="E46" s="41">
        <f t="shared" si="2"/>
        <v>0.35354099999999999</v>
      </c>
      <c r="G46" s="111">
        <f t="shared" si="12"/>
        <v>6.058613320660422</v>
      </c>
      <c r="H46" s="112">
        <f t="shared" si="13"/>
        <v>0.94509916440126018</v>
      </c>
      <c r="I46" s="39">
        <f t="shared" si="14"/>
        <v>2.1627433275117597E-2</v>
      </c>
      <c r="J46" s="39">
        <f t="shared" si="15"/>
        <v>2.1627433275117597E-2</v>
      </c>
      <c r="K46" s="112">
        <f t="shared" si="16"/>
        <v>989.49591466159131</v>
      </c>
      <c r="L46" s="112">
        <f t="shared" si="17"/>
        <v>3.4571179867968613</v>
      </c>
      <c r="M46" s="39">
        <f t="shared" si="0"/>
        <v>1000.0000000000001</v>
      </c>
      <c r="N46" s="38">
        <f t="shared" si="18"/>
        <v>1450.9462195881515</v>
      </c>
      <c r="O46" s="37">
        <f t="shared" si="10"/>
        <v>7.0469673516119178</v>
      </c>
      <c r="P46" s="36">
        <f>(uNES*G46+ uOCEX*H46+uEREX*'C - PH+UC'!I46+uHOEX*'C - PH+UC'!J46)/(1+oDR)^A$5:A$65536</f>
        <v>2.5416336859175663</v>
      </c>
      <c r="Q46" s="33"/>
      <c r="R46" s="33"/>
    </row>
    <row r="47" spans="1:18" x14ac:dyDescent="0.25">
      <c r="A47" s="4">
        <v>41</v>
      </c>
      <c r="C47" s="41" t="e">
        <f t="shared" si="11"/>
        <v>#REF!</v>
      </c>
      <c r="E47" s="41">
        <f t="shared" si="2"/>
        <v>0.37121799999999999</v>
      </c>
      <c r="G47" s="111">
        <f t="shared" si="12"/>
        <v>3.7933669282041294</v>
      </c>
      <c r="H47" s="112">
        <f t="shared" si="13"/>
        <v>0.60860038803941185</v>
      </c>
      <c r="I47" s="39">
        <f t="shared" si="14"/>
        <v>1.3927072183871573E-2</v>
      </c>
      <c r="J47" s="39">
        <f t="shared" si="15"/>
        <v>1.3927072183871573E-2</v>
      </c>
      <c r="K47" s="112">
        <f t="shared" si="16"/>
        <v>992.11187578792203</v>
      </c>
      <c r="L47" s="112">
        <f t="shared" si="17"/>
        <v>3.4583027514668214</v>
      </c>
      <c r="M47" s="39">
        <f t="shared" si="0"/>
        <v>1000.0000000000001</v>
      </c>
      <c r="N47" s="38">
        <f t="shared" si="18"/>
        <v>857.56026705514648</v>
      </c>
      <c r="O47" s="37">
        <f t="shared" si="10"/>
        <v>4.4298214606112847</v>
      </c>
      <c r="P47" s="36">
        <f>(uNES*G47+ uOCEX*H47+uEREX*'C - PH+UC'!I47+uHOEX*'C - PH+UC'!J47)/(1+oDR)^A$5:A$65536</f>
        <v>1.5732295514317738</v>
      </c>
      <c r="Q47" s="33"/>
      <c r="R47" s="33"/>
    </row>
    <row r="48" spans="1:18" x14ac:dyDescent="0.25">
      <c r="A48" s="4">
        <v>42</v>
      </c>
      <c r="C48" s="41" t="e">
        <f t="shared" si="11"/>
        <v>#REF!</v>
      </c>
      <c r="E48" s="41">
        <f t="shared" si="2"/>
        <v>0.38977899999999999</v>
      </c>
      <c r="G48" s="111">
        <f t="shared" si="12"/>
        <v>2.3039322870753915</v>
      </c>
      <c r="H48" s="112">
        <f t="shared" si="13"/>
        <v>0.38105164701767924</v>
      </c>
      <c r="I48" s="39">
        <f t="shared" si="14"/>
        <v>8.7198988007459212E-3</v>
      </c>
      <c r="J48" s="39">
        <f t="shared" si="15"/>
        <v>8.7198988007459212E-3</v>
      </c>
      <c r="K48" s="112">
        <f t="shared" si="16"/>
        <v>993.83852716701767</v>
      </c>
      <c r="L48" s="112">
        <f t="shared" si="17"/>
        <v>3.4590491012879374</v>
      </c>
      <c r="M48" s="39">
        <f t="shared" si="0"/>
        <v>1000.0000000000002</v>
      </c>
      <c r="N48" s="38">
        <f t="shared" si="18"/>
        <v>491.70161494768593</v>
      </c>
      <c r="O48" s="37">
        <f t="shared" si="10"/>
        <v>2.7024237316945627</v>
      </c>
      <c r="P48" s="36">
        <f>(uNES*G48+ uOCEX*H48+uEREX*'C - PH+UC'!I48+uHOEX*'C - PH+UC'!J48)/(1+oDR)^A$5:A$65536</f>
        <v>0.94499445646257219</v>
      </c>
      <c r="Q48" s="33"/>
      <c r="R48" s="33"/>
    </row>
    <row r="49" spans="1:18" x14ac:dyDescent="0.25">
      <c r="A49" s="4">
        <v>43</v>
      </c>
      <c r="C49" s="41" t="e">
        <f t="shared" si="11"/>
        <v>#REF!</v>
      </c>
      <c r="E49" s="41">
        <f t="shared" si="2"/>
        <v>0.40926800000000002</v>
      </c>
      <c r="G49" s="111">
        <f t="shared" si="12"/>
        <v>1.3539247680555304</v>
      </c>
      <c r="H49" s="112">
        <f t="shared" si="13"/>
        <v>0.23143482010133767</v>
      </c>
      <c r="I49" s="39">
        <f t="shared" si="14"/>
        <v>5.2961015286173826E-3</v>
      </c>
      <c r="J49" s="39">
        <f t="shared" si="15"/>
        <v>5.2961015286173826E-3</v>
      </c>
      <c r="K49" s="112">
        <f t="shared" si="16"/>
        <v>994.94454272284088</v>
      </c>
      <c r="L49" s="112">
        <f t="shared" si="17"/>
        <v>3.4595054859452268</v>
      </c>
      <c r="M49" s="39">
        <f t="shared" si="0"/>
        <v>1000.0000000000002</v>
      </c>
      <c r="N49" s="38">
        <f t="shared" si="18"/>
        <v>272.80596777060282</v>
      </c>
      <c r="O49" s="37">
        <f t="shared" si="10"/>
        <v>1.595951791214103</v>
      </c>
      <c r="P49" s="36">
        <f>(uNES*G49+ uOCEX*H49+uEREX*'C - PH+UC'!I49+uHOEX*'C - PH+UC'!J49)/(1+oDR)^A$5:A$65536</f>
        <v>0.54946067412135768</v>
      </c>
      <c r="Q49" s="33"/>
      <c r="R49" s="33"/>
    </row>
    <row r="50" spans="1:18" x14ac:dyDescent="0.25">
      <c r="A50" s="4">
        <v>44</v>
      </c>
      <c r="C50" s="41" t="e">
        <f t="shared" si="11"/>
        <v>#REF!</v>
      </c>
      <c r="E50" s="41">
        <f t="shared" si="2"/>
        <v>0.429732</v>
      </c>
      <c r="G50" s="111">
        <f t="shared" si="12"/>
        <v>0.76762083826867655</v>
      </c>
      <c r="H50" s="112">
        <f t="shared" si="13"/>
        <v>0.13600457655959897</v>
      </c>
      <c r="I50" s="39">
        <f t="shared" si="14"/>
        <v>3.1122976460536875E-3</v>
      </c>
      <c r="J50" s="39">
        <f t="shared" si="15"/>
        <v>3.1122976460536875E-3</v>
      </c>
      <c r="K50" s="112">
        <f t="shared" si="16"/>
        <v>995.63037427798292</v>
      </c>
      <c r="L50" s="112">
        <f t="shared" si="17"/>
        <v>3.4597757118969277</v>
      </c>
      <c r="M50" s="39">
        <f t="shared" si="0"/>
        <v>1000.0000000000002</v>
      </c>
      <c r="N50" s="38">
        <f t="shared" si="18"/>
        <v>146.04108059914432</v>
      </c>
      <c r="O50" s="37">
        <f t="shared" si="10"/>
        <v>0.90985001012038291</v>
      </c>
      <c r="P50" s="36">
        <f>(uNES*G50+ uOCEX*H50+uEREX*'C - PH+UC'!I50+uHOEX*'C - PH+UC'!J50)/(1+oDR)^A$5:A$65536</f>
        <v>0.30838560569624429</v>
      </c>
      <c r="Q50" s="33"/>
      <c r="R50" s="33"/>
    </row>
    <row r="51" spans="1:18" x14ac:dyDescent="0.25">
      <c r="A51" s="4">
        <v>45</v>
      </c>
      <c r="C51" s="41" t="e">
        <f t="shared" si="11"/>
        <v>#REF!</v>
      </c>
      <c r="E51" s="41">
        <f t="shared" si="2"/>
        <v>0.45121800000000001</v>
      </c>
      <c r="G51" s="111">
        <f t="shared" si="12"/>
        <v>0.41851659232670435</v>
      </c>
      <c r="H51" s="112">
        <f t="shared" si="13"/>
        <v>7.7109119745990093E-2</v>
      </c>
      <c r="I51" s="39">
        <f t="shared" si="14"/>
        <v>1.7645474729267782E-3</v>
      </c>
      <c r="J51" s="39">
        <f t="shared" si="15"/>
        <v>1.7645474729267782E-3</v>
      </c>
      <c r="K51" s="112">
        <f t="shared" si="16"/>
        <v>996.04091497984939</v>
      </c>
      <c r="L51" s="112">
        <f t="shared" si="17"/>
        <v>3.4599302131322638</v>
      </c>
      <c r="M51" s="39">
        <f t="shared" si="0"/>
        <v>1000.0000000000001</v>
      </c>
      <c r="N51" s="38">
        <f t="shared" si="18"/>
        <v>75.189841136047292</v>
      </c>
      <c r="O51" s="37">
        <f t="shared" si="10"/>
        <v>0.49915480701854797</v>
      </c>
      <c r="P51" s="36">
        <f>(uNES*G51+ uOCEX*H51+uEREX*'C - PH+UC'!I51+uHOEX*'C - PH+UC'!J51)/(1+oDR)^A$5:A$65536</f>
        <v>0.1665435337154946</v>
      </c>
      <c r="Q51" s="33"/>
      <c r="R51" s="33"/>
    </row>
    <row r="52" spans="1:18" x14ac:dyDescent="0.25">
      <c r="A52" s="4">
        <v>46</v>
      </c>
      <c r="C52" s="41" t="e">
        <f t="shared" si="11"/>
        <v>#REF!</v>
      </c>
      <c r="E52" s="41">
        <f t="shared" si="2"/>
        <v>0.47377900000000001</v>
      </c>
      <c r="G52" s="111">
        <f t="shared" si="12"/>
        <v>0.21861573190473571</v>
      </c>
      <c r="H52" s="112">
        <f t="shared" si="13"/>
        <v>4.2040867606186805E-2</v>
      </c>
      <c r="I52" s="39">
        <f t="shared" si="14"/>
        <v>9.6205360583180469E-4</v>
      </c>
      <c r="J52" s="39">
        <f t="shared" si="15"/>
        <v>9.6205360583180469E-4</v>
      </c>
      <c r="K52" s="112">
        <f t="shared" si="16"/>
        <v>996.27740404516385</v>
      </c>
      <c r="L52" s="112">
        <f t="shared" si="17"/>
        <v>3.4600152481137849</v>
      </c>
      <c r="M52" s="39">
        <f t="shared" si="0"/>
        <v>1000.0000000000002</v>
      </c>
      <c r="N52" s="38">
        <f t="shared" si="18"/>
        <v>37.09413395251714</v>
      </c>
      <c r="O52" s="37">
        <f t="shared" si="10"/>
        <v>0.2625807067225861</v>
      </c>
      <c r="P52" s="36">
        <f>(uNES*G52+ uOCEX*H52+uEREX*'C - PH+UC'!I52+uHOEX*'C - PH+UC'!J52)/(1+oDR)^A$5:A$65536</f>
        <v>8.6233744545120922E-2</v>
      </c>
      <c r="Q52" s="33"/>
      <c r="R52" s="33"/>
    </row>
    <row r="53" spans="1:18" x14ac:dyDescent="0.25">
      <c r="A53" s="4">
        <v>47</v>
      </c>
      <c r="C53" s="41" t="e">
        <f t="shared" si="11"/>
        <v>#REF!</v>
      </c>
      <c r="E53" s="41">
        <f t="shared" si="2"/>
        <v>0.49746800000000002</v>
      </c>
      <c r="G53" s="111">
        <f t="shared" si="12"/>
        <v>0.10894483121301732</v>
      </c>
      <c r="H53" s="112">
        <f t="shared" si="13"/>
        <v>2.1960407807349393E-2</v>
      </c>
      <c r="I53" s="39">
        <f t="shared" si="14"/>
        <v>5.0253695319761441E-4</v>
      </c>
      <c r="J53" s="39">
        <f t="shared" si="15"/>
        <v>5.0253695319761441E-4</v>
      </c>
      <c r="K53" s="112">
        <f t="shared" si="16"/>
        <v>996.40802954417575</v>
      </c>
      <c r="L53" s="112">
        <f t="shared" si="17"/>
        <v>3.4600601428977376</v>
      </c>
      <c r="M53" s="39">
        <f t="shared" si="0"/>
        <v>1000.0000000000002</v>
      </c>
      <c r="N53" s="38">
        <f t="shared" si="18"/>
        <v>17.461418851313582</v>
      </c>
      <c r="O53" s="37">
        <f t="shared" si="10"/>
        <v>0.13191031292676192</v>
      </c>
      <c r="P53" s="36">
        <f>(uNES*G53+ uOCEX*H53+uEREX*'C - PH+UC'!I53+uHOEX*'C - PH+UC'!J53)/(1+oDR)^A$5:A$65536</f>
        <v>4.263438256915468E-2</v>
      </c>
      <c r="Q53" s="33"/>
      <c r="R53" s="33"/>
    </row>
    <row r="54" spans="1:18" x14ac:dyDescent="0.25">
      <c r="A54" s="4">
        <v>48</v>
      </c>
      <c r="C54" s="41" t="e">
        <f t="shared" si="11"/>
        <v>#REF!</v>
      </c>
      <c r="E54" s="41">
        <f t="shared" si="2"/>
        <v>0.52234100000000006</v>
      </c>
      <c r="G54" s="111">
        <f t="shared" si="12"/>
        <v>5.1540898327749926E-2</v>
      </c>
      <c r="H54" s="112">
        <f t="shared" si="13"/>
        <v>1.0943736304317088E-2</v>
      </c>
      <c r="I54" s="39">
        <f t="shared" si="14"/>
        <v>2.5043396038980169E-4</v>
      </c>
      <c r="J54" s="39">
        <f t="shared" si="15"/>
        <v>2.5043396038980169E-4</v>
      </c>
      <c r="K54" s="112">
        <f t="shared" si="16"/>
        <v>996.47693170894024</v>
      </c>
      <c r="L54" s="112">
        <f t="shared" si="17"/>
        <v>3.460082788507175</v>
      </c>
      <c r="M54" s="39">
        <f t="shared" si="0"/>
        <v>1000.0000000000002</v>
      </c>
      <c r="N54" s="38">
        <f t="shared" si="18"/>
        <v>7.8048075632210203</v>
      </c>
      <c r="O54" s="37">
        <f t="shared" si="10"/>
        <v>6.2985502552846614E-2</v>
      </c>
      <c r="P54" s="36">
        <f>(uNES*G54+ uOCEX*H54+uEREX*'C - PH+UC'!I54+uHOEX*'C - PH+UC'!J54)/(1+oDR)^A$5:A$65536</f>
        <v>2.0031905736761495E-2</v>
      </c>
      <c r="Q54" s="33"/>
      <c r="R54" s="33"/>
    </row>
    <row r="55" spans="1:18" x14ac:dyDescent="0.25">
      <c r="A55" s="4">
        <v>49</v>
      </c>
      <c r="C55" s="41" t="e">
        <f t="shared" si="11"/>
        <v>#REF!</v>
      </c>
      <c r="E55" s="41">
        <f t="shared" si="2"/>
        <v>0.548458</v>
      </c>
      <c r="G55" s="111">
        <f t="shared" si="12"/>
        <v>2.3015388996282554E-2</v>
      </c>
      <c r="H55" s="112">
        <f t="shared" si="13"/>
        <v>5.1773911061795928E-3</v>
      </c>
      <c r="I55" s="39">
        <f t="shared" si="14"/>
        <v>1.1847823477764268E-4</v>
      </c>
      <c r="J55" s="39">
        <f t="shared" si="15"/>
        <v>1.1847823477764268E-4</v>
      </c>
      <c r="K55" s="112">
        <f t="shared" si="16"/>
        <v>996.51147661169932</v>
      </c>
      <c r="L55" s="112">
        <f t="shared" si="17"/>
        <v>3.460093651728875</v>
      </c>
      <c r="M55" s="39">
        <f t="shared" si="0"/>
        <v>1000.0000000000002</v>
      </c>
      <c r="N55" s="38">
        <f t="shared" si="18"/>
        <v>3.2936400772921277</v>
      </c>
      <c r="O55" s="37">
        <f t="shared" si="10"/>
        <v>2.8429736572017434E-2</v>
      </c>
      <c r="P55" s="36">
        <f>(uNES*G55+ uOCEX*H55+uEREX*'C - PH+UC'!I55+uHOEX*'C - PH+UC'!J55)/(1+oDR)^A$5:A$65536</f>
        <v>8.8955752333475802E-3</v>
      </c>
      <c r="Q55" s="33"/>
      <c r="R55" s="33"/>
    </row>
    <row r="56" spans="1:18" x14ac:dyDescent="0.25">
      <c r="A56" s="4">
        <v>50</v>
      </c>
      <c r="C56" s="41" t="e">
        <f t="shared" si="11"/>
        <v>#REF!</v>
      </c>
      <c r="E56" s="41">
        <f t="shared" si="2"/>
        <v>0.57588099999999998</v>
      </c>
      <c r="G56" s="111">
        <f t="shared" si="12"/>
        <v>9.6349060525780465E-3</v>
      </c>
      <c r="H56" s="112">
        <f t="shared" si="13"/>
        <v>2.311943993231889E-3</v>
      </c>
      <c r="I56" s="39">
        <f t="shared" si="14"/>
        <v>5.2905997944785547E-5</v>
      </c>
      <c r="J56" s="39">
        <f t="shared" si="15"/>
        <v>5.2905997944785547E-5</v>
      </c>
      <c r="K56" s="112">
        <f t="shared" si="16"/>
        <v>996.52784875682619</v>
      </c>
      <c r="L56" s="112">
        <f t="shared" si="17"/>
        <v>3.460098581132363</v>
      </c>
      <c r="M56" s="39">
        <f t="shared" si="0"/>
        <v>1000.0000000000002</v>
      </c>
      <c r="N56" s="38">
        <f t="shared" si="18"/>
        <v>1.3034465709445062</v>
      </c>
      <c r="O56" s="37">
        <f t="shared" si="10"/>
        <v>1.2052662041699505E-2</v>
      </c>
      <c r="P56" s="36">
        <f>(uNES*G56+ uOCEX*H56+uEREX*'C - PH+UC'!I56+uHOEX*'C - PH+UC'!J56)/(1+oDR)^A$5:A$65536</f>
        <v>3.7094000126870184E-3</v>
      </c>
      <c r="Q56" s="33"/>
      <c r="R56" s="33"/>
    </row>
    <row r="57" spans="1:18" x14ac:dyDescent="0.25">
      <c r="A57" s="4">
        <v>51</v>
      </c>
      <c r="C57" s="41" t="e">
        <f t="shared" si="11"/>
        <v>#REF!</v>
      </c>
      <c r="E57" s="41">
        <f t="shared" si="2"/>
        <v>0.60467499999999996</v>
      </c>
      <c r="G57" s="111">
        <f t="shared" si="12"/>
        <v>3.7504735544746232E-3</v>
      </c>
      <c r="H57" s="112">
        <f t="shared" si="13"/>
        <v>9.6784647772884928E-4</v>
      </c>
      <c r="I57" s="39">
        <f t="shared" si="14"/>
        <v>2.2147977594392597E-5</v>
      </c>
      <c r="J57" s="39">
        <f t="shared" si="15"/>
        <v>2.2147977594392597E-5</v>
      </c>
      <c r="K57" s="112">
        <f t="shared" si="16"/>
        <v>996.5351367002462</v>
      </c>
      <c r="L57" s="112">
        <f t="shared" si="17"/>
        <v>3.4601006837666057</v>
      </c>
      <c r="M57" s="39">
        <f t="shared" si="0"/>
        <v>1000.0000000000002</v>
      </c>
      <c r="N57" s="38">
        <f t="shared" si="18"/>
        <v>0.47984639321128075</v>
      </c>
      <c r="O57" s="37">
        <f t="shared" si="10"/>
        <v>4.7626159873922578E-3</v>
      </c>
      <c r="P57" s="36">
        <f>(uNES*G57+ uOCEX*H57+uEREX*'C - PH+UC'!I57+uHOEX*'C - PH+UC'!J57)/(1+oDR)^A$5:A$65536</f>
        <v>1.4413184790888765E-3</v>
      </c>
      <c r="Q57" s="33"/>
      <c r="R57" s="33"/>
    </row>
    <row r="58" spans="1:18" x14ac:dyDescent="0.25">
      <c r="A58" s="4">
        <v>52</v>
      </c>
      <c r="C58" s="41" t="e">
        <f t="shared" si="11"/>
        <v>#REF!</v>
      </c>
      <c r="E58" s="41">
        <f t="shared" si="2"/>
        <v>0.63490899999999995</v>
      </c>
      <c r="G58" s="111">
        <f t="shared" si="12"/>
        <v>1.3439659067246809E-3</v>
      </c>
      <c r="H58" s="112">
        <f t="shared" si="13"/>
        <v>3.7674291785566512E-4</v>
      </c>
      <c r="I58" s="39">
        <f t="shared" si="14"/>
        <v>8.6212988273652974E-6</v>
      </c>
      <c r="J58" s="39">
        <f t="shared" si="15"/>
        <v>8.6212988273652974E-6</v>
      </c>
      <c r="K58" s="112">
        <f t="shared" si="16"/>
        <v>996.53816052800016</v>
      </c>
      <c r="L58" s="112">
        <f t="shared" si="17"/>
        <v>3.4601015205778238</v>
      </c>
      <c r="M58" s="39">
        <f t="shared" si="0"/>
        <v>1000.0000000000002</v>
      </c>
      <c r="N58" s="38">
        <f t="shared" si="18"/>
        <v>0.1627114950933975</v>
      </c>
      <c r="O58" s="37">
        <f t="shared" si="10"/>
        <v>1.7379514222350767E-3</v>
      </c>
      <c r="P58" s="36">
        <f>(uNES*G58+ uOCEX*H58+uEREX*'C - PH+UC'!I58+uHOEX*'C - PH+UC'!J58)/(1+oDR)^A$5:A$65536</f>
        <v>5.1699267522069519E-4</v>
      </c>
      <c r="Q58" s="33"/>
      <c r="R58" s="33"/>
    </row>
    <row r="59" spans="1:18" x14ac:dyDescent="0.25">
      <c r="A59" s="4">
        <v>53</v>
      </c>
      <c r="C59" s="41" t="e">
        <f t="shared" si="11"/>
        <v>#REF!</v>
      </c>
      <c r="E59" s="41">
        <f t="shared" si="2"/>
        <v>0.666655</v>
      </c>
      <c r="G59" s="111">
        <f t="shared" si="12"/>
        <v>4.3784646911632698E-4</v>
      </c>
      <c r="H59" s="112">
        <f t="shared" si="13"/>
        <v>1.3500418809616669E-4</v>
      </c>
      <c r="I59" s="39">
        <f t="shared" si="14"/>
        <v>3.0894049850959508E-6</v>
      </c>
      <c r="J59" s="39">
        <f t="shared" si="15"/>
        <v>3.0894049850959508E-6</v>
      </c>
      <c r="K59" s="112">
        <f t="shared" si="16"/>
        <v>996.53931914200552</v>
      </c>
      <c r="L59" s="112">
        <f t="shared" si="17"/>
        <v>3.460101828527486</v>
      </c>
      <c r="M59" s="39">
        <f t="shared" si="0"/>
        <v>1000.0000000000002</v>
      </c>
      <c r="N59" s="38">
        <f t="shared" si="18"/>
        <v>5.0199693259180597E-2</v>
      </c>
      <c r="O59" s="37">
        <f t="shared" si="10"/>
        <v>5.7902946718268555E-4</v>
      </c>
      <c r="P59" s="36">
        <f>(uNES*G59+ uOCEX*H59+uEREX*'C - PH+UC'!I59+uHOEX*'C - PH+UC'!J59)/(1+oDR)^A$5:A$65536</f>
        <v>1.6922634543013843E-4</v>
      </c>
      <c r="Q59" s="33"/>
      <c r="R59" s="33"/>
    </row>
    <row r="60" spans="1:18" x14ac:dyDescent="0.25">
      <c r="A60" s="4">
        <v>54</v>
      </c>
      <c r="C60" s="41" t="e">
        <f t="shared" si="11"/>
        <v>#REF!</v>
      </c>
      <c r="E60" s="41">
        <f t="shared" si="2"/>
        <v>0.69998700000000003</v>
      </c>
      <c r="G60" s="111">
        <f t="shared" si="12"/>
        <v>1.2761715867960576E-4</v>
      </c>
      <c r="H60" s="112">
        <f t="shared" si="13"/>
        <v>4.3982594184907623E-5</v>
      </c>
      <c r="I60" s="39">
        <f t="shared" si="14"/>
        <v>1.0064876330763545E-6</v>
      </c>
      <c r="J60" s="39">
        <f t="shared" si="15"/>
        <v>1.0064876330763545E-6</v>
      </c>
      <c r="K60" s="112">
        <f t="shared" si="16"/>
        <v>996.53972445510522</v>
      </c>
      <c r="L60" s="112">
        <f t="shared" si="17"/>
        <v>3.4601019321668933</v>
      </c>
      <c r="M60" s="39">
        <f t="shared" si="0"/>
        <v>1000.0000000000002</v>
      </c>
      <c r="N60" s="38">
        <f t="shared" si="18"/>
        <v>1.3871330097783121E-2</v>
      </c>
      <c r="O60" s="37">
        <f t="shared" si="10"/>
        <v>1.7361272813066608E-4</v>
      </c>
      <c r="P60" s="36">
        <f>(uNES*G60+ uOCEX*H60+uEREX*'C - PH+UC'!I60+uHOEX*'C - PH+UC'!J60)/(1+oDR)^A$5:A$65536</f>
        <v>4.9817659080811826E-5</v>
      </c>
      <c r="Q60" s="33"/>
      <c r="R60" s="33"/>
    </row>
    <row r="61" spans="1:18" x14ac:dyDescent="0.25">
      <c r="A61" s="4">
        <v>55</v>
      </c>
      <c r="C61" s="41" t="e">
        <f t="shared" si="11"/>
        <v>#REF!</v>
      </c>
      <c r="E61" s="41">
        <f t="shared" si="2"/>
        <v>0.73498699999999995</v>
      </c>
      <c r="G61" s="111">
        <f t="shared" si="12"/>
        <v>3.2572047361906015E-5</v>
      </c>
      <c r="H61" s="112">
        <f t="shared" si="13"/>
        <v>1.2819410677364212E-5</v>
      </c>
      <c r="I61" s="39">
        <f t="shared" si="14"/>
        <v>2.9335646405599011E-7</v>
      </c>
      <c r="J61" s="39">
        <f t="shared" si="15"/>
        <v>2.9335646405599011E-7</v>
      </c>
      <c r="K61" s="112">
        <f t="shared" si="16"/>
        <v>996.53985205820345</v>
      </c>
      <c r="L61" s="112">
        <f t="shared" si="17"/>
        <v>3.4601019636258461</v>
      </c>
      <c r="M61" s="39">
        <f t="shared" si="0"/>
        <v>1000.0000000000003</v>
      </c>
      <c r="N61" s="38">
        <f t="shared" si="18"/>
        <v>3.362092201477374E-3</v>
      </c>
      <c r="O61" s="37">
        <f t="shared" si="10"/>
        <v>4.5978170967382205E-5</v>
      </c>
      <c r="P61" s="36">
        <f>(uNES*G61+ uOCEX*H61+uEREX*'C - PH+UC'!I61+uHOEX*'C - PH+UC'!J61)/(1+oDR)^A$5:A$65536</f>
        <v>1.2941569130025698E-5</v>
      </c>
      <c r="Q61" s="33"/>
      <c r="R61" s="33"/>
    </row>
    <row r="62" spans="1:18" x14ac:dyDescent="0.25">
      <c r="A62" s="4">
        <v>56</v>
      </c>
      <c r="C62" s="41" t="e">
        <f t="shared" si="11"/>
        <v>#REF!</v>
      </c>
      <c r="E62" s="41">
        <f t="shared" si="2"/>
        <v>0.77173599999999998</v>
      </c>
      <c r="G62" s="111">
        <f t="shared" si="12"/>
        <v>7.0650228523533673E-6</v>
      </c>
      <c r="H62" s="112">
        <f t="shared" si="13"/>
        <v>3.2719303270427641E-6</v>
      </c>
      <c r="I62" s="39">
        <f t="shared" si="14"/>
        <v>7.4874105802200324E-8</v>
      </c>
      <c r="J62" s="39">
        <f t="shared" si="15"/>
        <v>7.4874105802200324E-8</v>
      </c>
      <c r="K62" s="112">
        <f t="shared" si="16"/>
        <v>996.53988754121315</v>
      </c>
      <c r="L62" s="112">
        <f t="shared" si="17"/>
        <v>3.4601019720856727</v>
      </c>
      <c r="M62" s="39">
        <f t="shared" si="0"/>
        <v>1000.0000000000002</v>
      </c>
      <c r="N62" s="38">
        <f t="shared" si="18"/>
        <v>6.9439631616115987E-4</v>
      </c>
      <c r="O62" s="37">
        <f t="shared" si="10"/>
        <v>1.0486701391000532E-5</v>
      </c>
      <c r="P62" s="36">
        <f>(uNES*G62+ uOCEX*H62+uEREX*'C - PH+UC'!I62+uHOEX*'C - PH+UC'!J62)/(1+oDR)^A$5:A$65536</f>
        <v>2.8914762972100253E-6</v>
      </c>
      <c r="Q62" s="33"/>
      <c r="R62" s="33"/>
    </row>
    <row r="63" spans="1:18" x14ac:dyDescent="0.25">
      <c r="A63" s="4">
        <v>57</v>
      </c>
      <c r="C63" s="41" t="e">
        <f t="shared" si="11"/>
        <v>#REF!</v>
      </c>
      <c r="E63" s="41">
        <f t="shared" si="2"/>
        <v>0.81032300000000002</v>
      </c>
      <c r="G63" s="111">
        <f t="shared" si="12"/>
        <v>1.2449409717932508E-6</v>
      </c>
      <c r="H63" s="112">
        <f t="shared" si="13"/>
        <v>7.096963317970707E-7</v>
      </c>
      <c r="I63" s="39">
        <f t="shared" si="14"/>
        <v>1.6240528655276842E-8</v>
      </c>
      <c r="J63" s="39">
        <f t="shared" si="15"/>
        <v>1.6240528655276842E-8</v>
      </c>
      <c r="K63" s="112">
        <f t="shared" si="16"/>
        <v>996.53989603882849</v>
      </c>
      <c r="L63" s="112">
        <f t="shared" si="17"/>
        <v>3.4601019740533716</v>
      </c>
      <c r="M63" s="39">
        <f t="shared" si="0"/>
        <v>1000.0000000000002</v>
      </c>
      <c r="N63" s="38">
        <f t="shared" si="18"/>
        <v>1.1707649761048124E-4</v>
      </c>
      <c r="O63" s="37">
        <f t="shared" si="10"/>
        <v>1.9871183609008751E-6</v>
      </c>
      <c r="P63" s="36">
        <f>(uNES*G63+ uOCEX*H63+uEREX*'C - PH+UC'!I63+uHOEX*'C - PH+UC'!J63)/(1+oDR)^A$5:A$65536</f>
        <v>5.355883543050405E-7</v>
      </c>
      <c r="Q63" s="33"/>
      <c r="R63" s="33"/>
    </row>
    <row r="64" spans="1:18" x14ac:dyDescent="0.25">
      <c r="A64" s="4">
        <v>58</v>
      </c>
      <c r="C64" s="41" t="e">
        <f t="shared" si="11"/>
        <v>#REF!</v>
      </c>
      <c r="E64" s="41">
        <f t="shared" si="2"/>
        <v>0.85083900000000001</v>
      </c>
      <c r="G64" s="111">
        <f t="shared" si="12"/>
        <v>1.652373900440086E-7</v>
      </c>
      <c r="H64" s="112">
        <f t="shared" si="13"/>
        <v>1.2505692613453411E-7</v>
      </c>
      <c r="I64" s="39">
        <f t="shared" si="14"/>
        <v>2.8617741158192694E-9</v>
      </c>
      <c r="J64" s="39">
        <f t="shared" si="15"/>
        <v>2.8617741158192694E-9</v>
      </c>
      <c r="K64" s="112">
        <f t="shared" si="16"/>
        <v>996.53989772954628</v>
      </c>
      <c r="L64" s="112">
        <f t="shared" si="17"/>
        <v>3.460101974436069</v>
      </c>
      <c r="M64" s="39">
        <f t="shared" si="0"/>
        <v>1000.0000000000002</v>
      </c>
      <c r="N64" s="38">
        <f t="shared" si="18"/>
        <v>1.5018631580748725E-5</v>
      </c>
      <c r="O64" s="37">
        <f t="shared" si="10"/>
        <v>2.9601786441018127E-7</v>
      </c>
      <c r="P64" s="36">
        <f>(uNES*G64+ uOCEX*H64+uEREX*'C - PH+UC'!I64+uHOEX*'C - PH+UC'!J64)/(1+oDR)^A$5:A$65536</f>
        <v>7.7710792226946623E-8</v>
      </c>
      <c r="Q64" s="33"/>
      <c r="R64" s="33"/>
    </row>
    <row r="65" spans="1:18" x14ac:dyDescent="0.25">
      <c r="A65" s="4">
        <v>59</v>
      </c>
      <c r="C65" s="41" t="e">
        <f t="shared" si="11"/>
        <v>#REF!</v>
      </c>
      <c r="E65" s="41">
        <f t="shared" si="2"/>
        <v>0.89338099999999998</v>
      </c>
      <c r="G65" s="111">
        <f t="shared" si="12"/>
        <v>1.4143886463379736E-8</v>
      </c>
      <c r="H65" s="112">
        <f t="shared" si="13"/>
        <v>1.6598441652724803E-8</v>
      </c>
      <c r="I65" s="39">
        <f t="shared" si="14"/>
        <v>3.7983494519610609E-10</v>
      </c>
      <c r="J65" s="39">
        <f t="shared" si="15"/>
        <v>3.7983494519610609E-10</v>
      </c>
      <c r="K65" s="112">
        <f t="shared" si="16"/>
        <v>996.53989799400301</v>
      </c>
      <c r="L65" s="112">
        <f t="shared" si="17"/>
        <v>3.4601019744951995</v>
      </c>
      <c r="M65" s="39">
        <f t="shared" si="0"/>
        <v>1000.0000000000002</v>
      </c>
      <c r="N65" s="38">
        <f t="shared" si="18"/>
        <v>1.2774675478379982E-6</v>
      </c>
      <c r="O65" s="37">
        <f t="shared" si="10"/>
        <v>3.1501998006496748E-8</v>
      </c>
      <c r="P65" s="36">
        <f>(uNES*G65+ uOCEX*H65+uEREX*'C - PH+UC'!I65+uHOEX*'C - PH+UC'!J65)/(1+oDR)^A$5:A$65536</f>
        <v>7.9975223913897958E-9</v>
      </c>
      <c r="Q65" s="33"/>
      <c r="R65" s="33"/>
    </row>
    <row r="66" spans="1:18" x14ac:dyDescent="0.25">
      <c r="A66" s="4">
        <v>60</v>
      </c>
      <c r="C66" s="41" t="e">
        <f t="shared" si="11"/>
        <v>#REF!</v>
      </c>
      <c r="E66" s="41">
        <f t="shared" si="2"/>
        <v>0.89338099999999998</v>
      </c>
      <c r="G66" s="111">
        <f t="shared" si="12"/>
        <v>1.8662492549556788E-9</v>
      </c>
      <c r="H66" s="112">
        <f t="shared" si="13"/>
        <v>1.4207829967699563E-9</v>
      </c>
      <c r="I66" s="39">
        <f t="shared" si="14"/>
        <v>3.2512873377187468E-11</v>
      </c>
      <c r="J66" s="39">
        <f t="shared" si="15"/>
        <v>3.2512873377187468E-11</v>
      </c>
      <c r="K66" s="112">
        <f t="shared" si="16"/>
        <v>996.5398980221463</v>
      </c>
      <c r="L66" s="112">
        <f t="shared" si="17"/>
        <v>3.4601019745018529</v>
      </c>
      <c r="M66" s="39">
        <f t="shared" si="0"/>
        <v>1000.0000000000002</v>
      </c>
      <c r="N66" s="38">
        <f t="shared" si="18"/>
        <v>1.5105268509097141E-7</v>
      </c>
      <c r="O66" s="37">
        <f t="shared" si="10"/>
        <v>3.35205799848001E-9</v>
      </c>
      <c r="P66" s="36">
        <f>(uNES*G66+ uOCEX*H66+uEREX*'C - PH+UC'!I66+uHOEX*'C - PH+UC'!J66)/(1+oDR)^A$5:A$65536</f>
        <v>8.5395760272777384E-10</v>
      </c>
      <c r="Q66" s="33"/>
      <c r="R66" s="33"/>
    </row>
    <row r="67" spans="1:18" x14ac:dyDescent="0.25">
      <c r="N67" s="114" t="s">
        <v>114</v>
      </c>
      <c r="O67" s="114" t="s">
        <v>115</v>
      </c>
      <c r="P67" s="114" t="s">
        <v>116</v>
      </c>
    </row>
    <row r="68" spans="1:18" x14ac:dyDescent="0.25">
      <c r="I68" s="33"/>
      <c r="N68" s="35">
        <f>SUM(N6:N66)/1000</f>
        <v>25923.124433621499</v>
      </c>
      <c r="O68" s="34">
        <f>SUM(O7:O66)/1000</f>
        <v>20.177717508639006</v>
      </c>
      <c r="P68" s="12">
        <f>SUM(P7:P66)/1000</f>
        <v>11.06698545684092</v>
      </c>
    </row>
    <row r="69" spans="1:18" x14ac:dyDescent="0.25">
      <c r="I69" s="33"/>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45</vt:i4>
      </vt:variant>
    </vt:vector>
  </HeadingPairs>
  <TitlesOfParts>
    <vt:vector size="55" baseType="lpstr">
      <vt:lpstr>Model Figure</vt:lpstr>
      <vt:lpstr>Analysis</vt:lpstr>
      <vt:lpstr>Parameters</vt:lpstr>
      <vt:lpstr>Life tables</vt:lpstr>
      <vt:lpstr>Probabilities</vt:lpstr>
      <vt:lpstr>Control</vt:lpstr>
      <vt:lpstr>A -UC UC</vt:lpstr>
      <vt:lpstr>B - UC C</vt:lpstr>
      <vt:lpstr>C - PH+UC</vt:lpstr>
      <vt:lpstr>D - PH+C</vt:lpstr>
      <vt:lpstr>_cNP1</vt:lpstr>
      <vt:lpstr>_cPH1</vt:lpstr>
      <vt:lpstr>amr</vt:lpstr>
      <vt:lpstr>amrHOEX</vt:lpstr>
      <vt:lpstr>amrrate</vt:lpstr>
      <vt:lpstr>cDR</vt:lpstr>
      <vt:lpstr>cEREX</vt:lpstr>
      <vt:lpstr>cHOEX</vt:lpstr>
      <vt:lpstr>cNES</vt:lpstr>
      <vt:lpstr>cOSEX</vt:lpstr>
      <vt:lpstr>cPH1_</vt:lpstr>
      <vt:lpstr>cPHr</vt:lpstr>
      <vt:lpstr>cPrimary</vt:lpstr>
      <vt:lpstr>cRevision</vt:lpstr>
      <vt:lpstr>cStandard</vt:lpstr>
      <vt:lpstr>cSuccess</vt:lpstr>
      <vt:lpstr>Probabilities!Lifetable</vt:lpstr>
      <vt:lpstr>Lifetable</vt:lpstr>
      <vt:lpstr>'B - UC C'!mr</vt:lpstr>
      <vt:lpstr>'C - PH+UC'!mr</vt:lpstr>
      <vt:lpstr>'D - PH+C'!mr</vt:lpstr>
      <vt:lpstr>mr</vt:lpstr>
      <vt:lpstr>oDR</vt:lpstr>
      <vt:lpstr>pCAPH</vt:lpstr>
      <vt:lpstr>pCAUC</vt:lpstr>
      <vt:lpstr>Parameters!Print_Area</vt:lpstr>
      <vt:lpstr>pUAPH</vt:lpstr>
      <vt:lpstr>pUAUC</vt:lpstr>
      <vt:lpstr>rrEREX</vt:lpstr>
      <vt:lpstr>rrEREXc</vt:lpstr>
      <vt:lpstr>rrHOEX</vt:lpstr>
      <vt:lpstr>rrHOEXc</vt:lpstr>
      <vt:lpstr>rrOSEX</vt:lpstr>
      <vt:lpstr>rrOSEXc</vt:lpstr>
      <vt:lpstr>'B - UC C'!standardRR</vt:lpstr>
      <vt:lpstr>'C - PH+UC'!standardRR</vt:lpstr>
      <vt:lpstr>'D - PH+C'!standardRR</vt:lpstr>
      <vt:lpstr>standardRR</vt:lpstr>
      <vt:lpstr>uEREX</vt:lpstr>
      <vt:lpstr>uHOEX</vt:lpstr>
      <vt:lpstr>uNES</vt:lpstr>
      <vt:lpstr>uOCEX</vt:lpstr>
      <vt:lpstr>uRevision</vt:lpstr>
      <vt:lpstr>uSuccessP</vt:lpstr>
      <vt:lpstr>uSuccessR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CEIT</dc:creator>
  <cp:lastModifiedBy>ck</cp:lastModifiedBy>
  <dcterms:created xsi:type="dcterms:W3CDTF">2016-10-29T00:03:04Z</dcterms:created>
  <dcterms:modified xsi:type="dcterms:W3CDTF">2016-11-04T13:51:17Z</dcterms:modified>
</cp:coreProperties>
</file>