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ilyl\Documents\travail\belle vie\D4\"/>
    </mc:Choice>
  </mc:AlternateContent>
  <xr:revisionPtr revIDLastSave="0" documentId="13_ncr:1_{2322EBE3-C15D-4E1C-BE44-8E08905797BE}" xr6:coauthVersionLast="47" xr6:coauthVersionMax="47" xr10:uidLastSave="{00000000-0000-0000-0000-000000000000}"/>
  <bookViews>
    <workbookView xWindow="-110" yWindow="-110" windowWidth="19420" windowHeight="10300" tabRatio="693" firstSheet="2" activeTab="8" xr2:uid="{00000000-000D-0000-FFFF-FFFF00000000}"/>
  </bookViews>
  <sheets>
    <sheet name="metadata" sheetId="1" r:id="rId1"/>
    <sheet name="legende" sheetId="2" r:id="rId2"/>
    <sheet name="patch1" sheetId="3" r:id="rId3"/>
    <sheet name="patch2" sheetId="4" r:id="rId4"/>
    <sheet name="patch3" sheetId="5" r:id="rId5"/>
    <sheet name="patch4" sheetId="6" r:id="rId6"/>
    <sheet name="patch5" sheetId="7" r:id="rId7"/>
    <sheet name="patch6" sheetId="8" r:id="rId8"/>
    <sheet name="heightsalicornia" sheetId="10" r:id="rId9"/>
    <sheet name="heighthalimione" sheetId="11" r:id="rId10"/>
    <sheet name="heightcarex" sheetId="15" r:id="rId11"/>
  </sheets>
  <calcPr calcId="191029"/>
  <extLst>
    <ext uri="GoogleSheetsCustomDataVersion2">
      <go:sheetsCustomData xmlns:go="http://customooxmlschemas.google.com/" r:id="rId15" roundtripDataChecksum="IFTjEr+jk5JJWyUnwuhUsYb4dslpRRql4FqIMjQ/bDk="/>
    </ext>
  </extLst>
</workbook>
</file>

<file path=xl/calcChain.xml><?xml version="1.0" encoding="utf-8"?>
<calcChain xmlns="http://schemas.openxmlformats.org/spreadsheetml/2006/main">
  <c r="E8" i="15" l="1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A3" i="8" l="1"/>
  <c r="A4" i="8"/>
  <c r="A2" i="8"/>
  <c r="A4" i="7"/>
  <c r="A3" i="7"/>
  <c r="A2" i="7"/>
  <c r="A3" i="6"/>
  <c r="A4" i="6"/>
  <c r="A2" i="6"/>
  <c r="A3" i="5"/>
  <c r="A4" i="5"/>
  <c r="A2" i="5"/>
  <c r="A3" i="4"/>
  <c r="A4" i="4"/>
  <c r="A2" i="4"/>
  <c r="A3" i="3"/>
  <c r="A4" i="3"/>
  <c r="A2" i="3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I4" i="11"/>
  <c r="I5" i="11" s="1"/>
  <c r="I6" i="11" s="1"/>
  <c r="I7" i="11" s="1"/>
  <c r="I8" i="11" s="1"/>
  <c r="I9" i="11" s="1"/>
  <c r="I10" i="11" s="1"/>
  <c r="I3" i="11"/>
  <c r="F11" i="11" l="1"/>
  <c r="E12" i="11"/>
  <c r="D12" i="11"/>
  <c r="E11" i="11"/>
  <c r="D11" i="11"/>
  <c r="E10" i="11"/>
  <c r="F10" i="11" s="1"/>
  <c r="D10" i="11"/>
  <c r="E7" i="11"/>
  <c r="F7" i="11" s="1"/>
  <c r="D7" i="11"/>
  <c r="E4" i="10"/>
  <c r="D4" i="10"/>
  <c r="E2" i="10"/>
  <c r="D2" i="10"/>
  <c r="E9" i="11"/>
  <c r="D9" i="11"/>
  <c r="E8" i="11"/>
  <c r="D8" i="11"/>
  <c r="E6" i="11"/>
  <c r="D6" i="11"/>
  <c r="E5" i="11"/>
  <c r="D5" i="11"/>
  <c r="E4" i="11"/>
  <c r="D4" i="11"/>
  <c r="F4" i="11" s="1"/>
  <c r="E3" i="11"/>
  <c r="D3" i="11"/>
  <c r="E2" i="11"/>
  <c r="D2" i="11"/>
  <c r="F2" i="11" s="1"/>
  <c r="E10" i="10"/>
  <c r="D10" i="10"/>
  <c r="E9" i="10"/>
  <c r="D9" i="10"/>
  <c r="E8" i="10"/>
  <c r="D8" i="10"/>
  <c r="E7" i="10"/>
  <c r="D7" i="10"/>
  <c r="E6" i="10"/>
  <c r="D6" i="10"/>
  <c r="E5" i="10"/>
  <c r="D5" i="10"/>
  <c r="E3" i="10"/>
  <c r="D3" i="10"/>
  <c r="L4" i="8"/>
  <c r="K4" i="8"/>
  <c r="D4" i="8"/>
  <c r="L3" i="8"/>
  <c r="K3" i="8"/>
  <c r="D3" i="8"/>
  <c r="L2" i="8"/>
  <c r="K2" i="8"/>
  <c r="D2" i="8"/>
  <c r="O4" i="7"/>
  <c r="N4" i="7"/>
  <c r="L4" i="7"/>
  <c r="K4" i="7"/>
  <c r="D4" i="7"/>
  <c r="L3" i="7"/>
  <c r="K3" i="7"/>
  <c r="D3" i="7"/>
  <c r="O2" i="7"/>
  <c r="N2" i="7"/>
  <c r="L2" i="7"/>
  <c r="K2" i="7"/>
  <c r="D2" i="7"/>
  <c r="O4" i="6"/>
  <c r="N4" i="6"/>
  <c r="L4" i="6"/>
  <c r="K4" i="6"/>
  <c r="D4" i="6"/>
  <c r="O3" i="6"/>
  <c r="N3" i="6"/>
  <c r="L3" i="6"/>
  <c r="K3" i="6"/>
  <c r="D3" i="6"/>
  <c r="U2" i="6"/>
  <c r="T2" i="6"/>
  <c r="R2" i="6"/>
  <c r="Q2" i="6"/>
  <c r="O2" i="6"/>
  <c r="N2" i="6"/>
  <c r="L2" i="6"/>
  <c r="K2" i="6"/>
  <c r="D2" i="6"/>
  <c r="O4" i="5"/>
  <c r="N4" i="5"/>
  <c r="L4" i="5"/>
  <c r="K4" i="5"/>
  <c r="D4" i="5"/>
  <c r="L3" i="5"/>
  <c r="K3" i="5"/>
  <c r="D3" i="5"/>
  <c r="O2" i="5"/>
  <c r="N2" i="5"/>
  <c r="L2" i="5"/>
  <c r="K2" i="5"/>
  <c r="D2" i="5"/>
  <c r="O4" i="4"/>
  <c r="N4" i="4"/>
  <c r="L4" i="4"/>
  <c r="K4" i="4"/>
  <c r="D4" i="4"/>
  <c r="L3" i="4"/>
  <c r="K3" i="4"/>
  <c r="D3" i="4"/>
  <c r="L2" i="4"/>
  <c r="K2" i="4"/>
  <c r="D2" i="4"/>
  <c r="O4" i="3"/>
  <c r="N4" i="3"/>
  <c r="L4" i="3"/>
  <c r="K4" i="3"/>
  <c r="D4" i="3"/>
  <c r="N3" i="3"/>
  <c r="L3" i="3"/>
  <c r="K3" i="3"/>
  <c r="D3" i="3"/>
  <c r="R2" i="3"/>
  <c r="Q2" i="3"/>
  <c r="O2" i="3"/>
  <c r="N2" i="3"/>
  <c r="L2" i="3"/>
  <c r="K2" i="3"/>
  <c r="D2" i="3"/>
</calcChain>
</file>

<file path=xl/sharedStrings.xml><?xml version="1.0" encoding="utf-8"?>
<sst xmlns="http://schemas.openxmlformats.org/spreadsheetml/2006/main" count="331" uniqueCount="122">
  <si>
    <t>GPS X</t>
  </si>
  <si>
    <t>GPS Y</t>
  </si>
  <si>
    <t>43.129148</t>
  </si>
  <si>
    <t>3.036467</t>
  </si>
  <si>
    <t>43.129282</t>
  </si>
  <si>
    <t>3.036431</t>
  </si>
  <si>
    <t>43.129130</t>
  </si>
  <si>
    <t>3.036532</t>
  </si>
  <si>
    <t>43.129193</t>
  </si>
  <si>
    <t>3.036751</t>
  </si>
  <si>
    <t>43.129167</t>
  </si>
  <si>
    <t>3.036796</t>
  </si>
  <si>
    <t>43.129181</t>
  </si>
  <si>
    <t>3.036778</t>
  </si>
  <si>
    <t>43.129436</t>
  </si>
  <si>
    <t>3.036754</t>
  </si>
  <si>
    <t>43.129426</t>
  </si>
  <si>
    <t>3.036783</t>
  </si>
  <si>
    <t>43.129379</t>
  </si>
  <si>
    <t>3.036733</t>
  </si>
  <si>
    <t>43.129390</t>
  </si>
  <si>
    <t>3.037315</t>
  </si>
  <si>
    <t>43.129387</t>
  </si>
  <si>
    <t>3.037359</t>
  </si>
  <si>
    <t>43.129329</t>
  </si>
  <si>
    <t>3.037327</t>
  </si>
  <si>
    <t>43.129562</t>
  </si>
  <si>
    <t>3.037712</t>
  </si>
  <si>
    <t>43.129567</t>
  </si>
  <si>
    <t>3.037704</t>
  </si>
  <si>
    <t>43.129580</t>
  </si>
  <si>
    <t>3.037663</t>
  </si>
  <si>
    <t>43.128805</t>
  </si>
  <si>
    <t>3.037902</t>
  </si>
  <si>
    <t>43.128764</t>
  </si>
  <si>
    <t>3.037877</t>
  </si>
  <si>
    <t>43.128851</t>
  </si>
  <si>
    <t>3.037749</t>
  </si>
  <si>
    <t>latitude</t>
  </si>
  <si>
    <t xml:space="preserve">GPS Y </t>
  </si>
  <si>
    <t>longitude</t>
  </si>
  <si>
    <t>%vegetCover</t>
  </si>
  <si>
    <t xml:space="preserve">% covered by vegetation, determined by sight </t>
  </si>
  <si>
    <t>canopyHeight</t>
  </si>
  <si>
    <t>distance between the highest photosynthetic tissue of the patch and the ground level</t>
  </si>
  <si>
    <t>nbSpecies_q1</t>
  </si>
  <si>
    <t>Number of species in a quadrat of 20cm2</t>
  </si>
  <si>
    <t>nbSpecies_q2</t>
  </si>
  <si>
    <t>Number of species in a quadrat of 40cm2</t>
  </si>
  <si>
    <t>nbSpecies_q3</t>
  </si>
  <si>
    <t>Number of species in a quadrat of 60cm2</t>
  </si>
  <si>
    <t>nbSpecies_q4</t>
  </si>
  <si>
    <t>Number of species in a quadrat of 80cm2</t>
  </si>
  <si>
    <t>nbSpecies_q5</t>
  </si>
  <si>
    <t>Number of species in a quadrat of 1m2</t>
  </si>
  <si>
    <t>dominantSpecies1</t>
  </si>
  <si>
    <t>Most common species</t>
  </si>
  <si>
    <t>%Species1Cover</t>
  </si>
  <si>
    <t>% of the vegetation covered by 1st species</t>
  </si>
  <si>
    <t>dominantSpecies2</t>
  </si>
  <si>
    <t>2nd most common species</t>
  </si>
  <si>
    <t>%Species2Cover</t>
  </si>
  <si>
    <t>% of the vegetation covered by 2nd species</t>
  </si>
  <si>
    <t>dominantSpecies3</t>
  </si>
  <si>
    <t>3rd most commmon species</t>
  </si>
  <si>
    <t>%Species3Cover</t>
  </si>
  <si>
    <t>% of the vegetation covered by 3rd species</t>
  </si>
  <si>
    <t>id</t>
  </si>
  <si>
    <t>quadrat 20cm</t>
  </si>
  <si>
    <t>quadrat 40 cm</t>
  </si>
  <si>
    <t>quadrat 60 cm</t>
  </si>
  <si>
    <t>quadrat 80 cm</t>
  </si>
  <si>
    <t>quadrat 100 cm</t>
  </si>
  <si>
    <t>mean height dominant Species 1</t>
  </si>
  <si>
    <t>mean height dominant Species 2</t>
  </si>
  <si>
    <t>mean height dominant Species 3</t>
  </si>
  <si>
    <t>arroche faux pourpier</t>
  </si>
  <si>
    <t>roseau</t>
  </si>
  <si>
    <t>carex</t>
  </si>
  <si>
    <t>Carex</t>
  </si>
  <si>
    <t>(roseau)</t>
  </si>
  <si>
    <t>salicorne</t>
  </si>
  <si>
    <t>dominantSpecies4</t>
  </si>
  <si>
    <t>%Species4Cover</t>
  </si>
  <si>
    <t>meanheight4</t>
  </si>
  <si>
    <t>roseaux</t>
  </si>
  <si>
    <t xml:space="preserve">roseau </t>
  </si>
  <si>
    <t>id_point</t>
  </si>
  <si>
    <t>Q1</t>
  </si>
  <si>
    <t>Q2</t>
  </si>
  <si>
    <t>Q3</t>
  </si>
  <si>
    <t>mean_height</t>
  </si>
  <si>
    <t>Species1Cover</t>
  </si>
  <si>
    <t>dominantSpecies</t>
  </si>
  <si>
    <t>meanSpeciesCover</t>
  </si>
  <si>
    <t>salicornia</t>
  </si>
  <si>
    <t>Id</t>
  </si>
  <si>
    <t>PA_Q1</t>
  </si>
  <si>
    <t>PA_Q2</t>
  </si>
  <si>
    <t>PA_Q3</t>
  </si>
  <si>
    <t>PB_Q1</t>
  </si>
  <si>
    <t>PB_Q2</t>
  </si>
  <si>
    <t>PB_Q3</t>
  </si>
  <si>
    <t>PC_Q1</t>
  </si>
  <si>
    <t>PC_Q2</t>
  </si>
  <si>
    <t>PC_Q3</t>
  </si>
  <si>
    <t>PD_Q1</t>
  </si>
  <si>
    <t>PD_Q2</t>
  </si>
  <si>
    <t>PD_Q3</t>
  </si>
  <si>
    <t>PE_Q1</t>
  </si>
  <si>
    <t>PE_Q2</t>
  </si>
  <si>
    <t>PE_Q3</t>
  </si>
  <si>
    <t>PF_Q1</t>
  </si>
  <si>
    <t>PF_Q2</t>
  </si>
  <si>
    <t>PF_Q3</t>
  </si>
  <si>
    <t>PA</t>
  </si>
  <si>
    <t>PB</t>
  </si>
  <si>
    <t>PC</t>
  </si>
  <si>
    <t>PD</t>
  </si>
  <si>
    <t>PE</t>
  </si>
  <si>
    <t>PF</t>
  </si>
  <si>
    <t>ECsp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</si>
</sst>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1F1F1F"/>
      <name val="Arial"/>
      <family val="2"/>
    </font>
    <font>
      <sz val="9"/>
      <color rgb="FF1F1F1F"/>
      <name val="&quot;Google Sans&quot;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4" borderId="0" xfId="0" applyFont="1" applyFill="1"/>
    <xf numFmtId="0" fontId="5" fillId="4" borderId="0" xfId="0" applyFont="1" applyFill="1"/>
    <xf numFmtId="0" fontId="2" fillId="5" borderId="0" xfId="0" applyFont="1" applyFill="1"/>
    <xf numFmtId="0" fontId="1" fillId="0" borderId="0" xfId="0" applyFont="1"/>
    <xf numFmtId="0" fontId="6" fillId="6" borderId="0" xfId="0" applyFont="1" applyFill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cumulated species richness for point 2 patch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patch1!$E$1:$I$1</c:f>
              <c:strCache>
                <c:ptCount val="5"/>
                <c:pt idx="0">
                  <c:v>quadrat 20cm</c:v>
                </c:pt>
                <c:pt idx="1">
                  <c:v>quadrat 40 cm</c:v>
                </c:pt>
                <c:pt idx="2">
                  <c:v>quadrat 60 cm</c:v>
                </c:pt>
                <c:pt idx="3">
                  <c:v>quadrat 80 cm</c:v>
                </c:pt>
                <c:pt idx="4">
                  <c:v>quadrat 100 cm</c:v>
                </c:pt>
              </c:strCache>
            </c:strRef>
          </c:cat>
          <c:val>
            <c:numRef>
              <c:f>patch1!$E$3:$I$3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2C-4C9F-BDF2-BB374E85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2244"/>
        <c:axId val="332396904"/>
      </c:barChart>
      <c:catAx>
        <c:axId val="20317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32396904"/>
        <c:crosses val="autoZero"/>
        <c:auto val="1"/>
        <c:lblAlgn val="ctr"/>
        <c:lblOffset val="100"/>
        <c:noMultiLvlLbl val="1"/>
      </c:catAx>
      <c:valAx>
        <c:axId val="332396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number of 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31722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heightsalicornia!$F$1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heightsalicornia!$E$7:$E$15</c:f>
              <c:numCache>
                <c:formatCode>General</c:formatCode>
                <c:ptCount val="9"/>
                <c:pt idx="0">
                  <c:v>65.666666666666671</c:v>
                </c:pt>
                <c:pt idx="1">
                  <c:v>28.333333333333332</c:v>
                </c:pt>
                <c:pt idx="2">
                  <c:v>27.666666666666668</c:v>
                </c:pt>
                <c:pt idx="3">
                  <c:v>18.833333333333332</c:v>
                </c:pt>
              </c:numCache>
            </c:numRef>
          </c:xVal>
          <c:yVal>
            <c:numRef>
              <c:f>heightsalicornia!$F$7:$F$15</c:f>
              <c:numCache>
                <c:formatCode>General</c:formatCode>
                <c:ptCount val="9"/>
                <c:pt idx="0">
                  <c:v>55.955499999999994</c:v>
                </c:pt>
                <c:pt idx="1">
                  <c:v>97.439750000000004</c:v>
                </c:pt>
                <c:pt idx="2">
                  <c:v>77.047583299999999</c:v>
                </c:pt>
                <c:pt idx="3">
                  <c:v>87.659833300000003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A-47D2-A681-8EFDF60D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39872"/>
        <c:axId val="1847224672"/>
      </c:scatterChart>
      <c:valAx>
        <c:axId val="17780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224672"/>
        <c:crosses val="autoZero"/>
        <c:crossBetween val="midCat"/>
      </c:valAx>
      <c:valAx>
        <c:axId val="18472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039872"/>
        <c:crosses val="autoZero"/>
        <c:crossBetween val="midCat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heighthalimione!$G$1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heighthalimione!$E$2:$E$12</c:f>
              <c:numCache>
                <c:formatCode>General</c:formatCode>
                <c:ptCount val="11"/>
                <c:pt idx="0">
                  <c:v>21.666666666666668</c:v>
                </c:pt>
                <c:pt idx="1">
                  <c:v>18.166666666666668</c:v>
                </c:pt>
                <c:pt idx="2">
                  <c:v>16.833333333333332</c:v>
                </c:pt>
                <c:pt idx="3">
                  <c:v>18.166666666666668</c:v>
                </c:pt>
                <c:pt idx="4">
                  <c:v>19.166666666666668</c:v>
                </c:pt>
                <c:pt idx="5">
                  <c:v>19.666666666666668</c:v>
                </c:pt>
                <c:pt idx="6">
                  <c:v>22.666666666666668</c:v>
                </c:pt>
                <c:pt idx="7">
                  <c:v>19.5</c:v>
                </c:pt>
                <c:pt idx="8">
                  <c:v>28.333333333333332</c:v>
                </c:pt>
                <c:pt idx="9">
                  <c:v>31.166666666666668</c:v>
                </c:pt>
                <c:pt idx="10">
                  <c:v>31.5</c:v>
                </c:pt>
              </c:numCache>
            </c:numRef>
          </c:xVal>
          <c:yVal>
            <c:numRef>
              <c:f>heighthalimione!$G$2:$G$12</c:f>
              <c:numCache>
                <c:formatCode>General</c:formatCode>
                <c:ptCount val="11"/>
                <c:pt idx="0">
                  <c:v>22.33</c:v>
                </c:pt>
                <c:pt idx="1">
                  <c:v>31.25</c:v>
                </c:pt>
                <c:pt idx="2">
                  <c:v>36.520000000000003</c:v>
                </c:pt>
                <c:pt idx="3">
                  <c:v>45.11</c:v>
                </c:pt>
                <c:pt idx="4">
                  <c:v>41.07</c:v>
                </c:pt>
                <c:pt idx="5">
                  <c:v>42.54</c:v>
                </c:pt>
                <c:pt idx="6">
                  <c:v>45.14</c:v>
                </c:pt>
                <c:pt idx="7">
                  <c:v>43.68</c:v>
                </c:pt>
                <c:pt idx="8">
                  <c:v>20.75</c:v>
                </c:pt>
                <c:pt idx="9">
                  <c:v>52.55</c:v>
                </c:pt>
                <c:pt idx="10">
                  <c:v>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8-4EE5-B2EC-2EDD70E0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64912"/>
        <c:axId val="1974987328"/>
      </c:scatterChart>
      <c:valAx>
        <c:axId val="19808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987328"/>
        <c:crosses val="autoZero"/>
        <c:crossBetween val="midCat"/>
      </c:valAx>
      <c:valAx>
        <c:axId val="19749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heightcarex!$F$1</c:f>
              <c:strCache>
                <c:ptCount val="1"/>
                <c:pt idx="0">
                  <c:v>ECsp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heightcarex!$E$2:$E$8</c:f>
              <c:numCache>
                <c:formatCode>General</c:formatCode>
                <c:ptCount val="7"/>
                <c:pt idx="0">
                  <c:v>25</c:v>
                </c:pt>
                <c:pt idx="1">
                  <c:v>31.166666666666668</c:v>
                </c:pt>
                <c:pt idx="2">
                  <c:v>14.333333333333334</c:v>
                </c:pt>
                <c:pt idx="3">
                  <c:v>20.666666666666668</c:v>
                </c:pt>
                <c:pt idx="4">
                  <c:v>40.666666666666664</c:v>
                </c:pt>
                <c:pt idx="5">
                  <c:v>39.666666666666664</c:v>
                </c:pt>
                <c:pt idx="6">
                  <c:v>44.166666666666664</c:v>
                </c:pt>
              </c:numCache>
            </c:numRef>
          </c:xVal>
          <c:yVal>
            <c:numRef>
              <c:f>heightcarex!$F$2:$F$8</c:f>
              <c:numCache>
                <c:formatCode>General</c:formatCode>
                <c:ptCount val="7"/>
                <c:pt idx="0">
                  <c:v>22.333016666666666</c:v>
                </c:pt>
                <c:pt idx="1">
                  <c:v>19.336616666666668</c:v>
                </c:pt>
                <c:pt idx="2">
                  <c:v>31.250333333333334</c:v>
                </c:pt>
                <c:pt idx="3">
                  <c:v>41.071866666666665</c:v>
                </c:pt>
                <c:pt idx="4">
                  <c:v>20.745908333333333</c:v>
                </c:pt>
                <c:pt idx="5">
                  <c:v>24.224683333333331</c:v>
                </c:pt>
                <c:pt idx="6">
                  <c:v>21.073166666666665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ED7-8813-759FA0C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99984"/>
        <c:axId val="1854425712"/>
      </c:scatterChart>
      <c:valAx>
        <c:axId val="18438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425712"/>
        <c:crosses val="autoZero"/>
        <c:crossBetween val="midCat"/>
      </c:valAx>
      <c:valAx>
        <c:axId val="1854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8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5</xdr:row>
      <xdr:rowOff>104775</xdr:rowOff>
    </xdr:from>
    <xdr:ext cx="5048250" cy="2514600"/>
    <xdr:graphicFrame macro="">
      <xdr:nvGraphicFramePr>
        <xdr:cNvPr id="2101677728" name="Chart 1" title="Graphique">
          <a:extLst>
            <a:ext uri="{FF2B5EF4-FFF2-40B4-BE49-F238E27FC236}">
              <a16:creationId xmlns:a16="http://schemas.microsoft.com/office/drawing/2014/main" id="{00000000-0008-0000-0200-0000A00E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649552</xdr:colOff>
      <xdr:row>5</xdr:row>
      <xdr:rowOff>128058</xdr:rowOff>
    </xdr:from>
    <xdr:to>
      <xdr:col>12</xdr:col>
      <xdr:colOff>649553</xdr:colOff>
      <xdr:row>20</xdr:row>
      <xdr:rowOff>140493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133164-B4A7-9EE0-05C6-E4484FED6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133349</xdr:rowOff>
    </xdr:from>
    <xdr:to>
      <xdr:col>6</xdr:col>
      <xdr:colOff>447674</xdr:colOff>
      <xdr:row>22</xdr:row>
      <xdr:rowOff>98424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642666-43CB-2C8E-940E-BF49C689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479425</xdr:colOff>
      <xdr:row>3</xdr:row>
      <xdr:rowOff>136525</xdr:rowOff>
    </xdr:from>
    <xdr:to>
      <xdr:col>12</xdr:col>
      <xdr:colOff>479425</xdr:colOff>
      <xdr:row>18</xdr:row>
      <xdr:rowOff>117475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AC3974-C649-F1B9-88F9-CE330CB8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2" sqref="C2"/>
    </sheetView>
  </sheetViews>
  <sheetFormatPr baseColWidth="10" defaultColWidth="14.453125" defaultRowHeight="15" customHeight="1"/>
  <cols>
    <col min="2" max="23" width="10.7265625" customWidth="1"/>
  </cols>
  <sheetData>
    <row r="1" spans="1:3" ht="15" customHeight="1">
      <c r="A1" s="9" t="s">
        <v>96</v>
      </c>
      <c r="B1" s="9" t="s">
        <v>0</v>
      </c>
      <c r="C1" s="9" t="s">
        <v>1</v>
      </c>
    </row>
    <row r="2" spans="1:3" ht="14.25" customHeight="1">
      <c r="A2" s="8" t="s">
        <v>97</v>
      </c>
      <c r="B2" s="1">
        <v>43.129148000000001</v>
      </c>
      <c r="C2" s="1">
        <v>3.036467</v>
      </c>
    </row>
    <row r="3" spans="1:3" ht="14.25" customHeight="1">
      <c r="A3" s="8" t="s">
        <v>98</v>
      </c>
      <c r="B3" s="1">
        <v>43.129282000000003</v>
      </c>
      <c r="C3" s="1">
        <v>3.0364309999999999</v>
      </c>
    </row>
    <row r="4" spans="1:3" ht="14.25" customHeight="1">
      <c r="A4" s="8" t="s">
        <v>99</v>
      </c>
      <c r="B4" s="1">
        <v>43.129130000000004</v>
      </c>
      <c r="C4" s="1">
        <v>3.0365319999999998</v>
      </c>
    </row>
    <row r="5" spans="1:3" ht="14.25" customHeight="1">
      <c r="A5" s="8" t="s">
        <v>100</v>
      </c>
      <c r="B5" s="1">
        <v>43.129193000000001</v>
      </c>
      <c r="C5" s="1">
        <v>3.0367510000000002</v>
      </c>
    </row>
    <row r="6" spans="1:3" ht="14.25" customHeight="1">
      <c r="A6" s="8" t="s">
        <v>101</v>
      </c>
      <c r="B6" s="1">
        <v>43.129167000000002</v>
      </c>
      <c r="C6" s="1">
        <v>3.0367959999999998</v>
      </c>
    </row>
    <row r="7" spans="1:3" ht="14.25" customHeight="1">
      <c r="A7" s="8" t="s">
        <v>102</v>
      </c>
      <c r="B7" s="1">
        <v>43.129181000000003</v>
      </c>
      <c r="C7" s="1">
        <v>3.036778</v>
      </c>
    </row>
    <row r="8" spans="1:3" ht="14.25" customHeight="1">
      <c r="A8" s="8" t="s">
        <v>103</v>
      </c>
      <c r="B8" s="1">
        <v>43.129435999999998</v>
      </c>
      <c r="C8" s="1">
        <v>3.0367540000000002</v>
      </c>
    </row>
    <row r="9" spans="1:3" ht="14.25" customHeight="1">
      <c r="A9" s="8" t="s">
        <v>104</v>
      </c>
      <c r="B9" s="1">
        <v>43.129426000000002</v>
      </c>
      <c r="C9" s="1">
        <v>3.0367829999999998</v>
      </c>
    </row>
    <row r="10" spans="1:3" ht="14.25" customHeight="1">
      <c r="A10" s="8" t="s">
        <v>105</v>
      </c>
      <c r="B10" s="1">
        <v>43.129379</v>
      </c>
      <c r="C10" s="1">
        <v>3.0367329999999999</v>
      </c>
    </row>
    <row r="11" spans="1:3" ht="14.25" customHeight="1">
      <c r="A11" s="8" t="s">
        <v>106</v>
      </c>
      <c r="B11" s="1">
        <v>43.129390000000001</v>
      </c>
      <c r="C11" s="1">
        <v>3.037315</v>
      </c>
    </row>
    <row r="12" spans="1:3" ht="14.25" customHeight="1">
      <c r="A12" s="8" t="s">
        <v>107</v>
      </c>
      <c r="B12" s="1">
        <v>43.129387000000001</v>
      </c>
      <c r="C12" s="1">
        <v>3.0373589999999999</v>
      </c>
    </row>
    <row r="13" spans="1:3" ht="14.25" customHeight="1">
      <c r="A13" s="8" t="s">
        <v>108</v>
      </c>
      <c r="B13" s="1">
        <v>43.129328999999998</v>
      </c>
      <c r="C13" s="1">
        <v>3.0373269999999999</v>
      </c>
    </row>
    <row r="14" spans="1:3" ht="14.25" customHeight="1">
      <c r="A14" s="8" t="s">
        <v>109</v>
      </c>
      <c r="B14" s="1">
        <v>43.129562</v>
      </c>
      <c r="C14" s="1">
        <v>3.037712</v>
      </c>
    </row>
    <row r="15" spans="1:3" ht="14.25" customHeight="1">
      <c r="A15" s="8" t="s">
        <v>110</v>
      </c>
      <c r="B15" s="1">
        <v>43.129567000000002</v>
      </c>
      <c r="C15" s="1">
        <v>3.0377040000000002</v>
      </c>
    </row>
    <row r="16" spans="1:3" ht="14.25" customHeight="1">
      <c r="A16" s="8" t="s">
        <v>111</v>
      </c>
      <c r="B16" s="1">
        <v>43.129579999999997</v>
      </c>
      <c r="C16" s="1">
        <v>3.0376629999999998</v>
      </c>
    </row>
    <row r="17" spans="1:3" ht="14.25" customHeight="1">
      <c r="A17" s="8" t="s">
        <v>112</v>
      </c>
      <c r="B17" s="1">
        <v>43.128805</v>
      </c>
      <c r="C17" s="1">
        <v>3.0379019999999999</v>
      </c>
    </row>
    <row r="18" spans="1:3" ht="14.25" customHeight="1">
      <c r="A18" s="8" t="s">
        <v>113</v>
      </c>
      <c r="B18" s="1">
        <v>43.128763999999997</v>
      </c>
      <c r="C18" s="1">
        <v>3.0378769999999999</v>
      </c>
    </row>
    <row r="19" spans="1:3" ht="14.25" customHeight="1">
      <c r="A19" s="8" t="s">
        <v>114</v>
      </c>
      <c r="B19" s="1">
        <v>43.128850999999997</v>
      </c>
      <c r="C19" s="1">
        <v>3.0377489999999998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AB5D-2AD6-41D0-B1CA-200DE7FFD98D}">
  <dimension ref="A1:O12"/>
  <sheetViews>
    <sheetView workbookViewId="0">
      <selection activeCell="B16" sqref="B16"/>
    </sheetView>
  </sheetViews>
  <sheetFormatPr baseColWidth="10" defaultRowHeight="14.5"/>
  <sheetData>
    <row r="1" spans="1:15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94</v>
      </c>
      <c r="G1" s="4" t="s">
        <v>121</v>
      </c>
    </row>
    <row r="2" spans="1:15" ht="14.25" customHeight="1">
      <c r="A2" s="8" t="s">
        <v>115</v>
      </c>
      <c r="B2" s="1" t="s">
        <v>88</v>
      </c>
      <c r="C2" s="1" t="s">
        <v>76</v>
      </c>
      <c r="D2" s="1">
        <f>AVERAGE(60,80,85,80)</f>
        <v>76.25</v>
      </c>
      <c r="E2" s="1">
        <f>AVERAGE(20,27,22,27,18,16)</f>
        <v>21.666666666666668</v>
      </c>
      <c r="F2">
        <f>AVERAGE(D2:D3)</f>
        <v>58.125</v>
      </c>
      <c r="G2">
        <v>22.33</v>
      </c>
      <c r="I2" t="s">
        <v>95</v>
      </c>
      <c r="J2" s="1">
        <f>AVERAGE(70,75,60,70)</f>
        <v>68.75</v>
      </c>
      <c r="K2" s="1">
        <f>AVERAGE(37,39,38,42,35,47)</f>
        <v>39.666666666666664</v>
      </c>
    </row>
    <row r="3" spans="1:15" ht="14.25" customHeight="1">
      <c r="A3" s="8" t="s">
        <v>115</v>
      </c>
      <c r="B3" s="1" t="s">
        <v>90</v>
      </c>
      <c r="C3" s="1" t="s">
        <v>76</v>
      </c>
      <c r="D3" s="1">
        <f>AVERAGE(25,55,40,40)</f>
        <v>40</v>
      </c>
      <c r="E3" s="1">
        <f>AVERAGE(12,24,12,11,26,24)</f>
        <v>18.166666666666668</v>
      </c>
      <c r="G3">
        <v>31.25</v>
      </c>
      <c r="I3" t="str">
        <f>I2</f>
        <v>salicornia</v>
      </c>
      <c r="J3" s="1">
        <f>AVERAGE(25,20,25,20)</f>
        <v>22.5</v>
      </c>
      <c r="K3" s="1">
        <f>AVERAGE(40,52,41,35,33,40)</f>
        <v>40.166666666666664</v>
      </c>
    </row>
    <row r="4" spans="1:15" ht="14.25" customHeight="1">
      <c r="A4" s="8" t="s">
        <v>116</v>
      </c>
      <c r="B4" s="1" t="s">
        <v>88</v>
      </c>
      <c r="C4" s="1" t="s">
        <v>76</v>
      </c>
      <c r="D4" s="1">
        <f>AVERAGE(85,95,80,80)</f>
        <v>85</v>
      </c>
      <c r="E4" s="1">
        <f>AVERAGE(15,18,23,11,20,14)</f>
        <v>16.833333333333332</v>
      </c>
      <c r="F4" s="1">
        <f>AVERAGE(D4:D6)</f>
        <v>84</v>
      </c>
      <c r="G4" s="1">
        <v>36.520000000000003</v>
      </c>
      <c r="H4" s="1"/>
      <c r="I4" t="str">
        <f t="shared" ref="I4:I10" si="0">I3</f>
        <v>salicornia</v>
      </c>
      <c r="J4" s="1">
        <f>AVERAGE(25,12,20,15)</f>
        <v>18</v>
      </c>
      <c r="K4" s="1">
        <f>AVERAGE(25,38,31,35,38,40)</f>
        <v>34.5</v>
      </c>
      <c r="L4" s="1"/>
    </row>
    <row r="5" spans="1:15" ht="14.25" customHeight="1">
      <c r="A5" s="8" t="s">
        <v>116</v>
      </c>
      <c r="B5" t="s">
        <v>89</v>
      </c>
      <c r="C5" s="1" t="s">
        <v>76</v>
      </c>
      <c r="D5" s="1">
        <f>AVERAGE(90,78,95,82)</f>
        <v>86.25</v>
      </c>
      <c r="E5" s="1">
        <f>AVERAGE(22,18,17,21,16,15)</f>
        <v>18.166666666666668</v>
      </c>
      <c r="F5" s="1"/>
      <c r="G5" s="8">
        <v>45.11</v>
      </c>
      <c r="H5" s="1"/>
      <c r="I5" t="str">
        <f t="shared" si="0"/>
        <v>salicornia</v>
      </c>
      <c r="J5" s="1">
        <f>AVERAGE(70,65,85,65)</f>
        <v>71.25</v>
      </c>
      <c r="K5" s="1">
        <f>AVERAGE(52,48,45,40,43,48)</f>
        <v>46</v>
      </c>
      <c r="L5" s="1"/>
    </row>
    <row r="6" spans="1:15" ht="14.25" customHeight="1">
      <c r="A6" s="8" t="s">
        <v>116</v>
      </c>
      <c r="B6" t="s">
        <v>90</v>
      </c>
      <c r="C6" s="1" t="s">
        <v>76</v>
      </c>
      <c r="D6" s="1">
        <f>AVERAGE(83,80,80,80)</f>
        <v>80.75</v>
      </c>
      <c r="E6" s="1">
        <f>AVERAGE(27,18,20,18,16,16)</f>
        <v>19.166666666666668</v>
      </c>
      <c r="F6" s="1"/>
      <c r="G6" s="8">
        <v>41.07</v>
      </c>
      <c r="H6" s="1"/>
      <c r="I6" t="str">
        <f t="shared" si="0"/>
        <v>salicornia</v>
      </c>
      <c r="J6" s="1">
        <f>AVERAGE(99,90,97,90)</f>
        <v>94</v>
      </c>
      <c r="K6" s="1">
        <f>AVERAGE(33,48,33,39,24,38)</f>
        <v>35.833333333333336</v>
      </c>
      <c r="L6" s="1"/>
      <c r="M6" s="1"/>
      <c r="N6" s="1"/>
      <c r="O6" s="1"/>
    </row>
    <row r="7" spans="1:15">
      <c r="A7" s="8" t="s">
        <v>117</v>
      </c>
      <c r="B7" t="s">
        <v>88</v>
      </c>
      <c r="C7" s="1" t="s">
        <v>76</v>
      </c>
      <c r="D7" s="1">
        <f>AVERAGE(29,20,20,25)</f>
        <v>23.5</v>
      </c>
      <c r="E7" s="1">
        <f>AVERAGE(29,17,28,15,19,10)</f>
        <v>19.666666666666668</v>
      </c>
      <c r="F7">
        <f>AVERAGE(E7:E9)</f>
        <v>20.611111111111111</v>
      </c>
      <c r="G7" s="8">
        <v>42.54</v>
      </c>
      <c r="I7" t="str">
        <f t="shared" si="0"/>
        <v>salicornia</v>
      </c>
      <c r="J7" s="1">
        <f>AVERAGE(80,60,87,65)</f>
        <v>73</v>
      </c>
      <c r="K7" s="1">
        <f>AVERAGE(77,46,81,58,63,69)</f>
        <v>65.666666666666671</v>
      </c>
    </row>
    <row r="8" spans="1:15" ht="14.25" customHeight="1">
      <c r="A8" s="8" t="s">
        <v>117</v>
      </c>
      <c r="B8" t="s">
        <v>89</v>
      </c>
      <c r="C8" s="1" t="s">
        <v>76</v>
      </c>
      <c r="D8" s="1">
        <f>AVERAGE(100,100,100,100)</f>
        <v>100</v>
      </c>
      <c r="E8" s="1">
        <f>AVERAGE(21,23,24,13,12,43)</f>
        <v>22.666666666666668</v>
      </c>
      <c r="F8" s="1"/>
      <c r="G8" s="8">
        <v>45.14</v>
      </c>
      <c r="H8" s="1"/>
      <c r="I8" t="str">
        <f t="shared" si="0"/>
        <v>salicornia</v>
      </c>
      <c r="J8" s="1">
        <f>AVERAGE(98,63,99,70)</f>
        <v>82.5</v>
      </c>
      <c r="K8" s="1">
        <f>AVERAGE(10,18,30,27,31,54)</f>
        <v>28.333333333333332</v>
      </c>
      <c r="L8" s="1"/>
    </row>
    <row r="9" spans="1:15" ht="14.25" customHeight="1">
      <c r="A9" s="8" t="s">
        <v>117</v>
      </c>
      <c r="B9" t="s">
        <v>90</v>
      </c>
      <c r="C9" s="1" t="s">
        <v>76</v>
      </c>
      <c r="D9" s="1">
        <f>AVERAGE(70,50,65,60)</f>
        <v>61.25</v>
      </c>
      <c r="E9" s="1">
        <f>AVERAGE(17,17,21,16,26,20)</f>
        <v>19.5</v>
      </c>
      <c r="F9" s="1"/>
      <c r="G9" s="8">
        <v>43.68</v>
      </c>
      <c r="H9" s="1"/>
      <c r="I9" t="str">
        <f t="shared" si="0"/>
        <v>salicornia</v>
      </c>
      <c r="J9" s="1">
        <f>AVERAGE(97,95,99,95)</f>
        <v>96.5</v>
      </c>
      <c r="K9" s="1">
        <f>AVERAGE(24,22,36,31,26,27)</f>
        <v>27.666666666666668</v>
      </c>
      <c r="L9" s="1"/>
      <c r="M9" s="1"/>
      <c r="N9" s="1"/>
      <c r="O9" s="1"/>
    </row>
    <row r="10" spans="1:15">
      <c r="A10" s="8" t="s">
        <v>118</v>
      </c>
      <c r="B10" t="s">
        <v>88</v>
      </c>
      <c r="C10" s="1" t="s">
        <v>76</v>
      </c>
      <c r="D10" s="1">
        <f>AVERAGE(30,40,20,35)</f>
        <v>31.25</v>
      </c>
      <c r="E10" s="1">
        <f>AVERAGE(24,29,18,32,25,42)</f>
        <v>28.333333333333332</v>
      </c>
      <c r="F10">
        <f>AVERAGE(E10)</f>
        <v>28.333333333333332</v>
      </c>
      <c r="G10" s="8">
        <v>20.75</v>
      </c>
      <c r="I10" t="str">
        <f t="shared" si="0"/>
        <v>salicornia</v>
      </c>
      <c r="J10" s="1">
        <f>AVERAGE(99,98,99,98)</f>
        <v>98.5</v>
      </c>
      <c r="K10" s="1">
        <f>AVERAGE(19,16,17,21,17,23)</f>
        <v>18.833333333333332</v>
      </c>
    </row>
    <row r="11" spans="1:15">
      <c r="A11" s="8" t="s">
        <v>119</v>
      </c>
      <c r="B11" t="s">
        <v>88</v>
      </c>
      <c r="C11" s="1" t="s">
        <v>76</v>
      </c>
      <c r="D11" s="1">
        <f>AVERAGE(30,20,15,30)</f>
        <v>23.75</v>
      </c>
      <c r="E11" s="1">
        <f>AVERAGE(32,40,25,27,37,26)</f>
        <v>31.166666666666668</v>
      </c>
      <c r="F11">
        <f>AVERAGE(E11:E12)</f>
        <v>31.333333333333336</v>
      </c>
      <c r="G11" s="8">
        <v>52.55</v>
      </c>
    </row>
    <row r="12" spans="1:15">
      <c r="A12" s="8" t="s">
        <v>119</v>
      </c>
      <c r="B12" t="s">
        <v>90</v>
      </c>
      <c r="C12" s="1" t="s">
        <v>76</v>
      </c>
      <c r="D12" s="1">
        <f>AVERAGE(20,40,13,35)</f>
        <v>27</v>
      </c>
      <c r="E12" s="1">
        <f>AVERAGE(35,33,39,29,27,26)</f>
        <v>31.5</v>
      </c>
      <c r="G12" s="8">
        <v>55.95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1D03-4BD9-4CF9-B13C-C5314E88A701}">
  <dimension ref="A1:K8"/>
  <sheetViews>
    <sheetView topLeftCell="E1" workbookViewId="0">
      <selection activeCell="F2" sqref="F2"/>
    </sheetView>
  </sheetViews>
  <sheetFormatPr baseColWidth="10" defaultRowHeight="14.5"/>
  <sheetData>
    <row r="1" spans="1:11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121</v>
      </c>
      <c r="G1" s="4"/>
      <c r="H1" s="5"/>
      <c r="I1" s="4"/>
      <c r="J1" s="4"/>
      <c r="K1" s="6"/>
    </row>
    <row r="2" spans="1:11">
      <c r="A2" t="s">
        <v>115</v>
      </c>
      <c r="B2" t="s">
        <v>88</v>
      </c>
      <c r="C2" s="1" t="s">
        <v>78</v>
      </c>
      <c r="D2" s="1">
        <f>AVERAGE(12,15,8,10)</f>
        <v>11.25</v>
      </c>
      <c r="E2" s="1">
        <f>AVERAGE(23,23,28,26,26,24)</f>
        <v>25</v>
      </c>
      <c r="F2">
        <v>22.333016666666666</v>
      </c>
    </row>
    <row r="3" spans="1:11">
      <c r="A3" t="s">
        <v>115</v>
      </c>
      <c r="B3" t="s">
        <v>89</v>
      </c>
      <c r="C3" s="8" t="s">
        <v>78</v>
      </c>
      <c r="D3" s="1">
        <f>AVERAGE(70,85,85)</f>
        <v>80</v>
      </c>
      <c r="E3" s="1">
        <f>AVERAGE(38,31,20,32,26,40)</f>
        <v>31.166666666666668</v>
      </c>
      <c r="F3">
        <v>19.336616666666668</v>
      </c>
    </row>
    <row r="4" spans="1:11">
      <c r="A4" t="s">
        <v>115</v>
      </c>
      <c r="B4" t="s">
        <v>90</v>
      </c>
      <c r="C4" s="1" t="s">
        <v>78</v>
      </c>
      <c r="D4" s="1">
        <f>AVERAGE(60,40,15,35)</f>
        <v>37.5</v>
      </c>
      <c r="E4" s="1">
        <f>AVERAGE(23,21,7,7,13,15)</f>
        <v>14.333333333333334</v>
      </c>
      <c r="F4">
        <v>31.250333333333334</v>
      </c>
    </row>
    <row r="5" spans="1:11">
      <c r="A5" t="s">
        <v>116</v>
      </c>
      <c r="B5" t="s">
        <v>90</v>
      </c>
      <c r="C5" s="8" t="s">
        <v>78</v>
      </c>
      <c r="D5" s="1">
        <f>AVERAGE(15,10,15,15)</f>
        <v>13.75</v>
      </c>
      <c r="E5" s="1">
        <f>AVERAGE(16,11,12,24,20,41)</f>
        <v>20.666666666666668</v>
      </c>
      <c r="F5">
        <v>41.071866666666665</v>
      </c>
    </row>
    <row r="6" spans="1:11">
      <c r="A6" t="s">
        <v>118</v>
      </c>
      <c r="B6" t="s">
        <v>88</v>
      </c>
      <c r="C6" s="1" t="s">
        <v>78</v>
      </c>
      <c r="D6" s="1">
        <f>AVERAGE(33,40,50,40)</f>
        <v>40.75</v>
      </c>
      <c r="E6" s="1">
        <f>AVERAGE(51,41,44,46,25,37)</f>
        <v>40.666666666666664</v>
      </c>
      <c r="F6">
        <v>20.745908333333333</v>
      </c>
    </row>
    <row r="7" spans="1:11">
      <c r="A7" t="s">
        <v>118</v>
      </c>
      <c r="B7" t="s">
        <v>89</v>
      </c>
      <c r="C7" s="1" t="s">
        <v>78</v>
      </c>
      <c r="D7" s="1">
        <f>AVERAGE(70,80,85,70)</f>
        <v>76.25</v>
      </c>
      <c r="E7" s="1">
        <f>AVERAGE(43,37,27,42,37,52)</f>
        <v>39.666666666666664</v>
      </c>
      <c r="F7">
        <v>24.224683333333331</v>
      </c>
    </row>
    <row r="8" spans="1:11">
      <c r="A8" t="s">
        <v>118</v>
      </c>
      <c r="B8" t="s">
        <v>90</v>
      </c>
      <c r="C8" s="1" t="s">
        <v>78</v>
      </c>
      <c r="D8" s="1">
        <f>AVERAGE(50,75,85,70)</f>
        <v>70</v>
      </c>
      <c r="E8" s="1">
        <f>AVERAGE(63,37,33,49,39,44)</f>
        <v>44.166666666666664</v>
      </c>
      <c r="F8">
        <v>21.073166666666665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B18" sqref="B18"/>
    </sheetView>
  </sheetViews>
  <sheetFormatPr baseColWidth="10" defaultColWidth="14.453125" defaultRowHeight="15" customHeight="1"/>
  <cols>
    <col min="1" max="1" width="16.81640625" customWidth="1"/>
    <col min="2" max="2" width="70.81640625" customWidth="1"/>
    <col min="3" max="3" width="16.7265625" customWidth="1"/>
    <col min="4" max="26" width="10.7265625" customWidth="1"/>
  </cols>
  <sheetData>
    <row r="1" spans="1:4" ht="14.25" customHeight="1">
      <c r="A1" s="2" t="s">
        <v>0</v>
      </c>
      <c r="B1" s="3" t="s">
        <v>38</v>
      </c>
      <c r="C1" s="3"/>
      <c r="D1" s="3"/>
    </row>
    <row r="2" spans="1:4" ht="14.25" customHeight="1">
      <c r="A2" s="2" t="s">
        <v>39</v>
      </c>
      <c r="B2" s="3" t="s">
        <v>40</v>
      </c>
      <c r="C2" s="3"/>
      <c r="D2" s="3"/>
    </row>
    <row r="3" spans="1:4" ht="14.25" customHeight="1">
      <c r="A3" s="2" t="s">
        <v>41</v>
      </c>
      <c r="B3" s="3" t="s">
        <v>42</v>
      </c>
      <c r="C3" s="3"/>
      <c r="D3" s="3"/>
    </row>
    <row r="4" spans="1:4" ht="14.25" customHeight="1">
      <c r="A4" s="2" t="s">
        <v>43</v>
      </c>
      <c r="B4" s="3" t="s">
        <v>44</v>
      </c>
      <c r="C4" s="3"/>
      <c r="D4" s="3"/>
    </row>
    <row r="5" spans="1:4" ht="14.25" customHeight="1">
      <c r="A5" s="2" t="s">
        <v>45</v>
      </c>
      <c r="B5" s="3" t="s">
        <v>46</v>
      </c>
      <c r="C5" s="3"/>
      <c r="D5" s="3"/>
    </row>
    <row r="6" spans="1:4" ht="14.25" customHeight="1">
      <c r="A6" s="2" t="s">
        <v>47</v>
      </c>
      <c r="B6" s="3" t="s">
        <v>48</v>
      </c>
      <c r="C6" s="3"/>
      <c r="D6" s="3"/>
    </row>
    <row r="7" spans="1:4" ht="14.25" customHeight="1">
      <c r="A7" s="2" t="s">
        <v>49</v>
      </c>
      <c r="B7" s="3" t="s">
        <v>50</v>
      </c>
      <c r="C7" s="3"/>
      <c r="D7" s="3"/>
    </row>
    <row r="8" spans="1:4" ht="14.25" customHeight="1">
      <c r="A8" s="2" t="s">
        <v>51</v>
      </c>
      <c r="B8" s="3" t="s">
        <v>52</v>
      </c>
      <c r="C8" s="3"/>
      <c r="D8" s="3"/>
    </row>
    <row r="9" spans="1:4" ht="14.25" customHeight="1">
      <c r="A9" s="2" t="s">
        <v>53</v>
      </c>
      <c r="B9" s="3" t="s">
        <v>54</v>
      </c>
      <c r="C9" s="3"/>
      <c r="D9" s="3"/>
    </row>
    <row r="10" spans="1:4" ht="14.25" customHeight="1">
      <c r="A10" s="2" t="s">
        <v>55</v>
      </c>
      <c r="B10" s="3" t="s">
        <v>56</v>
      </c>
      <c r="C10" s="3"/>
      <c r="D10" s="3"/>
    </row>
    <row r="11" spans="1:4" ht="14.25" customHeight="1">
      <c r="A11" s="2" t="s">
        <v>57</v>
      </c>
      <c r="B11" s="3" t="s">
        <v>58</v>
      </c>
      <c r="C11" s="3"/>
      <c r="D11" s="3"/>
    </row>
    <row r="12" spans="1:4" ht="14.25" customHeight="1">
      <c r="A12" s="2" t="s">
        <v>59</v>
      </c>
      <c r="B12" s="3" t="s">
        <v>60</v>
      </c>
      <c r="C12" s="3"/>
      <c r="D12" s="3"/>
    </row>
    <row r="13" spans="1:4" ht="14.25" customHeight="1">
      <c r="A13" s="2" t="s">
        <v>61</v>
      </c>
      <c r="B13" s="3" t="s">
        <v>62</v>
      </c>
      <c r="C13" s="3"/>
      <c r="D13" s="3"/>
    </row>
    <row r="14" spans="1:4" ht="14.25" customHeight="1">
      <c r="A14" s="2" t="s">
        <v>63</v>
      </c>
      <c r="B14" s="3" t="s">
        <v>64</v>
      </c>
      <c r="C14" s="3"/>
      <c r="D14" s="3"/>
    </row>
    <row r="15" spans="1:4" ht="14.25" customHeight="1">
      <c r="A15" s="2" t="s">
        <v>65</v>
      </c>
      <c r="B15" s="3" t="s">
        <v>66</v>
      </c>
      <c r="C15" s="3"/>
      <c r="D15" s="3"/>
    </row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="49" workbookViewId="0">
      <selection activeCell="M4" sqref="M4:O4"/>
    </sheetView>
  </sheetViews>
  <sheetFormatPr baseColWidth="10" defaultColWidth="14.453125" defaultRowHeight="15" customHeight="1"/>
  <cols>
    <col min="1" max="2" width="10.7265625" customWidth="1"/>
    <col min="3" max="4" width="13.26953125" customWidth="1"/>
    <col min="5" max="5" width="13.7265625" customWidth="1"/>
    <col min="6" max="6" width="14.08984375" customWidth="1"/>
    <col min="7" max="7" width="13.7265625" customWidth="1"/>
    <col min="8" max="8" width="14" customWidth="1"/>
    <col min="9" max="9" width="13" customWidth="1"/>
    <col min="10" max="10" width="17.08984375" customWidth="1"/>
    <col min="11" max="12" width="15.26953125" customWidth="1"/>
    <col min="13" max="13" width="17.08984375" customWidth="1"/>
    <col min="14" max="15" width="14.54296875" customWidth="1"/>
    <col min="16" max="16" width="16.26953125" customWidth="1"/>
    <col min="17" max="17" width="15.26953125" customWidth="1"/>
    <col min="18" max="18" width="27.08984375" customWidth="1"/>
    <col min="19" max="28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metadata!A2</f>
        <v>PA_Q1</v>
      </c>
      <c r="B2" s="1" t="s">
        <v>2</v>
      </c>
      <c r="C2" s="1" t="s">
        <v>3</v>
      </c>
      <c r="D2" s="1">
        <f>AVERAGE(100,95,100,95)</f>
        <v>97.5</v>
      </c>
      <c r="E2" s="1">
        <v>3</v>
      </c>
      <c r="F2" s="1">
        <v>3</v>
      </c>
      <c r="G2" s="1">
        <v>5</v>
      </c>
      <c r="H2" s="1">
        <v>5</v>
      </c>
      <c r="I2" s="1">
        <v>5</v>
      </c>
      <c r="J2" s="1" t="s">
        <v>76</v>
      </c>
      <c r="K2" s="1">
        <f>AVERAGE(60,80,85,80)</f>
        <v>76.25</v>
      </c>
      <c r="L2" s="1">
        <f>AVERAGE(20,27,22,27,18,16)</f>
        <v>21.666666666666668</v>
      </c>
      <c r="M2" s="1" t="s">
        <v>77</v>
      </c>
      <c r="N2" s="1">
        <f>AVERAGE(20,5,5,5)</f>
        <v>8.75</v>
      </c>
      <c r="O2" s="1">
        <f>AVERAGE(50,67,62,54,74,38)</f>
        <v>57.5</v>
      </c>
      <c r="P2" s="1" t="s">
        <v>78</v>
      </c>
      <c r="Q2" s="1">
        <f>AVERAGE(12,15,8,10)</f>
        <v>11.25</v>
      </c>
      <c r="R2" s="1">
        <f>AVERAGE(23,23,28,26,26,24)</f>
        <v>25</v>
      </c>
    </row>
    <row r="3" spans="1:18" ht="14.25" customHeight="1">
      <c r="A3" s="1" t="str">
        <f>metadata!A3</f>
        <v>PA_Q2</v>
      </c>
      <c r="B3" s="1" t="s">
        <v>4</v>
      </c>
      <c r="C3" s="1" t="s">
        <v>5</v>
      </c>
      <c r="D3" s="1">
        <f>AVERAGE(100,100,100,100)</f>
        <v>100</v>
      </c>
      <c r="E3" s="1">
        <v>1</v>
      </c>
      <c r="F3" s="1">
        <v>3</v>
      </c>
      <c r="G3" s="1">
        <v>5</v>
      </c>
      <c r="H3" s="1">
        <v>6</v>
      </c>
      <c r="I3" s="1">
        <v>6</v>
      </c>
      <c r="J3" s="1" t="s">
        <v>79</v>
      </c>
      <c r="K3" s="1">
        <f>AVERAGE(70,85,85)</f>
        <v>80</v>
      </c>
      <c r="L3" s="1">
        <f>AVERAGE(38,31,20,32,26,40)</f>
        <v>31.166666666666668</v>
      </c>
      <c r="M3" s="1" t="s">
        <v>80</v>
      </c>
      <c r="N3" s="1">
        <f>AVERAGE(10,4)</f>
        <v>7</v>
      </c>
      <c r="O3" s="1"/>
    </row>
    <row r="4" spans="1:18" ht="14.25" customHeight="1">
      <c r="A4" s="1" t="str">
        <f>metadata!A4</f>
        <v>PA_Q3</v>
      </c>
      <c r="B4" s="1" t="s">
        <v>6</v>
      </c>
      <c r="C4" s="1" t="s">
        <v>7</v>
      </c>
      <c r="D4" s="1">
        <f>AVERAGE(75,70,55,75)</f>
        <v>68.75</v>
      </c>
      <c r="E4" s="1">
        <v>2</v>
      </c>
      <c r="F4" s="1">
        <v>3</v>
      </c>
      <c r="G4" s="1">
        <v>4</v>
      </c>
      <c r="H4" s="1">
        <v>4</v>
      </c>
      <c r="I4" s="1">
        <v>4</v>
      </c>
      <c r="J4" s="1" t="s">
        <v>76</v>
      </c>
      <c r="K4" s="1">
        <f>AVERAGE(25,55,40,40)</f>
        <v>40</v>
      </c>
      <c r="L4" s="1">
        <f>AVERAGE(12,24,12,11,26,24)</f>
        <v>18.166666666666668</v>
      </c>
      <c r="M4" s="1" t="s">
        <v>78</v>
      </c>
      <c r="N4" s="1">
        <f>AVERAGE(60,40,15,35)</f>
        <v>37.5</v>
      </c>
      <c r="O4" s="1">
        <f>AVERAGE(23,21,7,7,13,15)</f>
        <v>14.333333333333334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topLeftCell="F1" workbookViewId="0">
      <selection activeCell="M4" sqref="M4:O4"/>
    </sheetView>
  </sheetViews>
  <sheetFormatPr baseColWidth="10" defaultColWidth="14.453125" defaultRowHeight="15" customHeight="1"/>
  <cols>
    <col min="1" max="2" width="10.7265625" customWidth="1"/>
    <col min="3" max="4" width="13.453125" customWidth="1"/>
    <col min="5" max="6" width="14.453125" customWidth="1"/>
    <col min="7" max="7" width="13.453125" customWidth="1"/>
    <col min="8" max="8" width="13.7265625" customWidth="1"/>
    <col min="9" max="9" width="12.26953125" customWidth="1"/>
    <col min="10" max="10" width="16.7265625" customWidth="1"/>
    <col min="11" max="11" width="15.54296875" customWidth="1"/>
    <col min="12" max="12" width="16.26953125" customWidth="1"/>
    <col min="13" max="13" width="15.7265625" customWidth="1"/>
    <col min="14" max="14" width="16.81640625" customWidth="1"/>
    <col min="15" max="15" width="15.0898437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39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metadata!A5</f>
        <v>PB_Q1</v>
      </c>
      <c r="B2" s="1" t="s">
        <v>8</v>
      </c>
      <c r="C2" s="1" t="s">
        <v>9</v>
      </c>
      <c r="D2" s="1">
        <f>AVERAGE(99,85,93,98)</f>
        <v>93.75</v>
      </c>
      <c r="E2" s="1">
        <v>2</v>
      </c>
      <c r="F2" s="1">
        <v>3</v>
      </c>
      <c r="G2" s="1">
        <v>3</v>
      </c>
      <c r="H2" s="1">
        <v>4</v>
      </c>
      <c r="I2" s="1">
        <v>4</v>
      </c>
      <c r="J2" s="1" t="s">
        <v>76</v>
      </c>
      <c r="K2" s="1">
        <f>AVERAGE(85,95,80,80)</f>
        <v>85</v>
      </c>
      <c r="L2" s="1">
        <f>AVERAGE(15,18,23,11,20,14)</f>
        <v>16.833333333333332</v>
      </c>
    </row>
    <row r="3" spans="1:18" ht="14.25" customHeight="1">
      <c r="A3" s="1" t="str">
        <f>metadata!A6</f>
        <v>PB_Q2</v>
      </c>
      <c r="B3" s="1" t="s">
        <v>10</v>
      </c>
      <c r="C3" s="1" t="s">
        <v>11</v>
      </c>
      <c r="D3" s="1">
        <f>AVERAGE(95,93,80,90)</f>
        <v>89.5</v>
      </c>
      <c r="E3" s="1">
        <v>2</v>
      </c>
      <c r="F3" s="1">
        <v>2</v>
      </c>
      <c r="G3" s="1">
        <v>3</v>
      </c>
      <c r="H3" s="1">
        <v>3</v>
      </c>
      <c r="I3" s="1">
        <v>4</v>
      </c>
      <c r="J3" s="1" t="s">
        <v>76</v>
      </c>
      <c r="K3" s="1">
        <f>AVERAGE(90,78,95,82)</f>
        <v>86.25</v>
      </c>
      <c r="L3" s="1">
        <f>AVERAGE(22,18,17,21,16,15)</f>
        <v>18.166666666666668</v>
      </c>
    </row>
    <row r="4" spans="1:18" ht="14.25" customHeight="1">
      <c r="A4" s="1" t="str">
        <f>metadata!A7</f>
        <v>PB_Q3</v>
      </c>
      <c r="B4" s="1" t="s">
        <v>12</v>
      </c>
      <c r="C4" s="1" t="s">
        <v>13</v>
      </c>
      <c r="D4" s="1">
        <f>AVERAGE(95,80,90,95)</f>
        <v>90</v>
      </c>
      <c r="E4" s="1">
        <v>1</v>
      </c>
      <c r="F4" s="1">
        <v>2</v>
      </c>
      <c r="G4" s="1">
        <v>2</v>
      </c>
      <c r="H4" s="1">
        <v>2</v>
      </c>
      <c r="I4" s="1">
        <v>3</v>
      </c>
      <c r="J4" s="1" t="s">
        <v>76</v>
      </c>
      <c r="K4" s="1">
        <f>AVERAGE(83,80,80,80)</f>
        <v>80.75</v>
      </c>
      <c r="L4" s="1">
        <f>AVERAGE(27,18,20,18,16,16)</f>
        <v>19.166666666666668</v>
      </c>
      <c r="M4" s="1" t="s">
        <v>79</v>
      </c>
      <c r="N4" s="1">
        <f>AVERAGE(15,10,15,15)</f>
        <v>13.75</v>
      </c>
      <c r="O4" s="1">
        <f>AVERAGE(16,11,12,24,20,41)</f>
        <v>20.666666666666668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opLeftCell="H1" workbookViewId="0">
      <selection activeCell="F12" sqref="F12"/>
    </sheetView>
  </sheetViews>
  <sheetFormatPr baseColWidth="10" defaultColWidth="14.453125" defaultRowHeight="15" customHeight="1"/>
  <cols>
    <col min="1" max="2" width="10.7265625" customWidth="1"/>
    <col min="3" max="4" width="11.7265625" customWidth="1"/>
    <col min="5" max="9" width="12" customWidth="1"/>
    <col min="10" max="10" width="15.7265625" customWidth="1"/>
    <col min="11" max="11" width="14.26953125" customWidth="1"/>
    <col min="12" max="12" width="15.7265625" customWidth="1"/>
    <col min="13" max="13" width="14.26953125" customWidth="1"/>
    <col min="14" max="14" width="15.7265625" customWidth="1"/>
    <col min="15" max="15" width="14.2695312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metadata!A8</f>
        <v>PC_Q1</v>
      </c>
      <c r="B2" s="1" t="s">
        <v>14</v>
      </c>
      <c r="C2" s="1" t="s">
        <v>15</v>
      </c>
      <c r="D2" s="1">
        <f>AVERAGE(100,80,92,95)</f>
        <v>91.75</v>
      </c>
      <c r="E2" s="1">
        <v>1</v>
      </c>
      <c r="F2" s="1">
        <v>1</v>
      </c>
      <c r="G2" s="1">
        <v>2</v>
      </c>
      <c r="H2" s="1">
        <v>3</v>
      </c>
      <c r="I2" s="1">
        <v>3</v>
      </c>
      <c r="J2" s="1" t="s">
        <v>81</v>
      </c>
      <c r="K2" s="1">
        <f>AVERAGE(70,75,60,70)</f>
        <v>68.75</v>
      </c>
      <c r="L2" s="1">
        <f>AVERAGE(37,39,38,42,35,47)</f>
        <v>39.666666666666664</v>
      </c>
      <c r="M2" s="1" t="s">
        <v>76</v>
      </c>
      <c r="N2" s="1">
        <f>AVERAGE(29,20,20,25)</f>
        <v>23.5</v>
      </c>
      <c r="O2" s="1">
        <f>AVERAGE(29,17,28,15,19,10)</f>
        <v>19.666666666666668</v>
      </c>
    </row>
    <row r="3" spans="1:18" ht="14.25" customHeight="1">
      <c r="A3" s="1" t="str">
        <f>metadata!A9</f>
        <v>PC_Q2</v>
      </c>
      <c r="B3" s="1" t="s">
        <v>16</v>
      </c>
      <c r="C3" s="1" t="s">
        <v>17</v>
      </c>
      <c r="D3" s="1">
        <f>AVERAGE(98,90,93,95)</f>
        <v>94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 t="s">
        <v>76</v>
      </c>
      <c r="K3" s="1">
        <f>AVERAGE(100,100,100,100)</f>
        <v>100</v>
      </c>
      <c r="L3" s="1">
        <f>AVERAGE(21,23,24,13,12,43)</f>
        <v>22.666666666666668</v>
      </c>
    </row>
    <row r="4" spans="1:18" ht="14.25" customHeight="1">
      <c r="A4" s="1" t="str">
        <f>metadata!A10</f>
        <v>PC_Q3</v>
      </c>
      <c r="B4" s="1" t="s">
        <v>18</v>
      </c>
      <c r="C4" s="1" t="s">
        <v>19</v>
      </c>
      <c r="D4" s="1">
        <f>AVERAGE(92,85,70,80)</f>
        <v>81.75</v>
      </c>
      <c r="E4" s="1">
        <v>1</v>
      </c>
      <c r="F4" s="1">
        <v>2</v>
      </c>
      <c r="G4" s="1">
        <v>3</v>
      </c>
      <c r="H4" s="1">
        <v>3</v>
      </c>
      <c r="I4" s="1">
        <v>3</v>
      </c>
      <c r="J4" s="1" t="s">
        <v>76</v>
      </c>
      <c r="K4" s="1">
        <f>AVERAGE(70,50,65,60)</f>
        <v>61.25</v>
      </c>
      <c r="L4" s="1">
        <f>AVERAGE(17,17,21,16,26,20)</f>
        <v>19.5</v>
      </c>
      <c r="M4" s="1" t="s">
        <v>81</v>
      </c>
      <c r="N4" s="1">
        <f>AVERAGE(25,20,25,20)</f>
        <v>22.5</v>
      </c>
      <c r="O4" s="1">
        <f>AVERAGE(40,52,41,35,33,40)</f>
        <v>40.166666666666664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H1" workbookViewId="0">
      <selection activeCell="N22" sqref="N22"/>
    </sheetView>
  </sheetViews>
  <sheetFormatPr baseColWidth="10" defaultColWidth="14.453125" defaultRowHeight="15" customHeight="1"/>
  <cols>
    <col min="1" max="4" width="10.7265625" customWidth="1"/>
    <col min="5" max="5" width="12.7265625" customWidth="1"/>
    <col min="6" max="6" width="14.7265625" customWidth="1"/>
    <col min="7" max="7" width="13.453125" customWidth="1"/>
    <col min="8" max="8" width="14.81640625" customWidth="1"/>
    <col min="9" max="9" width="14.26953125" customWidth="1"/>
    <col min="10" max="10" width="16.81640625" customWidth="1"/>
    <col min="11" max="12" width="14.26953125" customWidth="1"/>
    <col min="13" max="13" width="15.08984375" customWidth="1"/>
    <col min="14" max="14" width="15.81640625" customWidth="1"/>
    <col min="15" max="15" width="14.26953125" customWidth="1"/>
    <col min="16" max="17" width="10.7265625" customWidth="1"/>
    <col min="18" max="18" width="12" customWidth="1"/>
    <col min="19" max="26" width="10.7265625" customWidth="1"/>
  </cols>
  <sheetData>
    <row r="1" spans="1:21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  <c r="S1" s="7" t="s">
        <v>82</v>
      </c>
      <c r="T1" s="7" t="s">
        <v>83</v>
      </c>
      <c r="U1" s="7" t="s">
        <v>84</v>
      </c>
    </row>
    <row r="2" spans="1:21" ht="14.25" customHeight="1">
      <c r="A2" s="1" t="str">
        <f>metadata!A11</f>
        <v>PD_Q1</v>
      </c>
      <c r="B2" s="1" t="s">
        <v>20</v>
      </c>
      <c r="C2" s="1" t="s">
        <v>21</v>
      </c>
      <c r="D2" s="1">
        <f>AVERAGE(98,95,100,100)</f>
        <v>98.25</v>
      </c>
      <c r="E2" s="1">
        <v>3</v>
      </c>
      <c r="F2" s="1">
        <v>4</v>
      </c>
      <c r="G2" s="1">
        <v>4</v>
      </c>
      <c r="H2" s="1">
        <v>5</v>
      </c>
      <c r="I2" s="1">
        <v>6</v>
      </c>
      <c r="J2" s="1" t="s">
        <v>78</v>
      </c>
      <c r="K2" s="1">
        <f>AVERAGE(33,40,50,40)</f>
        <v>40.75</v>
      </c>
      <c r="L2" s="1">
        <f>AVERAGE(51,41,44,46,25,37)</f>
        <v>40.666666666666664</v>
      </c>
      <c r="M2" s="1" t="s">
        <v>76</v>
      </c>
      <c r="N2" s="1">
        <f>AVERAGE(30,40,20,35)</f>
        <v>31.25</v>
      </c>
      <c r="O2" s="1">
        <f>AVERAGE(24,29,18,32,25,42)</f>
        <v>28.333333333333332</v>
      </c>
      <c r="P2" s="1" t="s">
        <v>81</v>
      </c>
      <c r="Q2" s="1">
        <f>AVERAGE(25,12,20,15)</f>
        <v>18</v>
      </c>
      <c r="R2" s="1">
        <f>AVERAGE(25,38,31,35,38,40)</f>
        <v>34.5</v>
      </c>
      <c r="S2" s="1" t="s">
        <v>85</v>
      </c>
      <c r="T2" s="1">
        <f>AVERAGE(8,8,10)</f>
        <v>8.6666666666666661</v>
      </c>
      <c r="U2" s="1">
        <f>AVERAGE(74,142,129,73,99,133)</f>
        <v>108.33333333333333</v>
      </c>
    </row>
    <row r="3" spans="1:21" ht="14.25" customHeight="1">
      <c r="A3" s="1" t="str">
        <f>metadata!A12</f>
        <v>PD_Q2</v>
      </c>
      <c r="B3" s="1" t="s">
        <v>22</v>
      </c>
      <c r="C3" s="1" t="s">
        <v>23</v>
      </c>
      <c r="D3" s="1">
        <f t="shared" ref="D3:D4" si="0">AVERAGE(100,100,97,100)</f>
        <v>99.25</v>
      </c>
      <c r="E3" s="1">
        <v>2</v>
      </c>
      <c r="F3" s="1">
        <v>3</v>
      </c>
      <c r="G3" s="1">
        <v>4</v>
      </c>
      <c r="H3" s="1">
        <v>4</v>
      </c>
      <c r="I3" s="1">
        <v>4</v>
      </c>
      <c r="J3" s="1" t="s">
        <v>78</v>
      </c>
      <c r="K3" s="1">
        <f>AVERAGE(70,80,85,70)</f>
        <v>76.25</v>
      </c>
      <c r="L3" s="1">
        <f>AVERAGE(43,37,27,42,37,52)</f>
        <v>39.666666666666664</v>
      </c>
      <c r="M3" s="1" t="s">
        <v>86</v>
      </c>
      <c r="N3" s="1">
        <f>AVERAGE(28,20,12,25)</f>
        <v>21.25</v>
      </c>
      <c r="O3" s="1">
        <f>AVERAGE(132,120,128,106,95,129)</f>
        <v>118.33333333333333</v>
      </c>
    </row>
    <row r="4" spans="1:21" ht="14.25" customHeight="1">
      <c r="A4" s="1" t="str">
        <f>metadata!A13</f>
        <v>PD_Q3</v>
      </c>
      <c r="B4" s="1" t="s">
        <v>24</v>
      </c>
      <c r="C4" s="1" t="s">
        <v>25</v>
      </c>
      <c r="D4" s="1">
        <f t="shared" si="0"/>
        <v>99.25</v>
      </c>
      <c r="E4" s="1">
        <v>2</v>
      </c>
      <c r="F4" s="1">
        <v>4</v>
      </c>
      <c r="G4" s="1">
        <v>4</v>
      </c>
      <c r="H4" s="1">
        <v>5</v>
      </c>
      <c r="I4" s="1">
        <v>5</v>
      </c>
      <c r="J4" s="1" t="s">
        <v>78</v>
      </c>
      <c r="K4" s="1">
        <f>AVERAGE(50,75,85,70)</f>
        <v>70</v>
      </c>
      <c r="L4" s="1">
        <f>AVERAGE(63,37,33,49,39,44)</f>
        <v>44.166666666666664</v>
      </c>
      <c r="M4" s="1" t="s">
        <v>86</v>
      </c>
      <c r="N4" s="1">
        <f>AVERAGE(40,25,12,25)</f>
        <v>25.5</v>
      </c>
      <c r="O4" s="1">
        <f>AVERAGE(112,134,121,152,129,130)</f>
        <v>129.66666666666666</v>
      </c>
    </row>
    <row r="5" spans="1:21" ht="14.25" customHeight="1"/>
    <row r="6" spans="1:21" ht="14.25" customHeight="1"/>
    <row r="7" spans="1:21" ht="14.25" customHeight="1"/>
    <row r="8" spans="1:21" ht="14.25" customHeight="1"/>
    <row r="9" spans="1:21" ht="14.25" customHeight="1"/>
    <row r="10" spans="1:21" ht="14.25" customHeight="1"/>
    <row r="11" spans="1:21" ht="14.25" customHeight="1"/>
    <row r="12" spans="1:21" ht="14.25" customHeight="1"/>
    <row r="13" spans="1:21" ht="14.25" customHeight="1"/>
    <row r="14" spans="1:21" ht="14.25" customHeight="1"/>
    <row r="15" spans="1:21" ht="14.25" customHeight="1"/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topLeftCell="I1" workbookViewId="0">
      <selection activeCell="A2" sqref="A2:A4"/>
    </sheetView>
  </sheetViews>
  <sheetFormatPr baseColWidth="10" defaultColWidth="14.453125" defaultRowHeight="15" customHeight="1"/>
  <cols>
    <col min="1" max="2" width="10.7265625" customWidth="1"/>
    <col min="3" max="4" width="12.54296875" customWidth="1"/>
    <col min="5" max="5" width="13.54296875" customWidth="1"/>
    <col min="6" max="7" width="14.26953125" customWidth="1"/>
    <col min="8" max="8" width="13.08984375" customWidth="1"/>
    <col min="9" max="9" width="13.7265625" customWidth="1"/>
    <col min="10" max="10" width="16.08984375" customWidth="1"/>
    <col min="11" max="11" width="15" customWidth="1"/>
    <col min="12" max="12" width="17.453125" customWidth="1"/>
    <col min="13" max="13" width="14.81640625" customWidth="1"/>
    <col min="14" max="14" width="15.81640625" customWidth="1"/>
    <col min="15" max="15" width="14.08984375" customWidth="1"/>
    <col min="16" max="17" width="10.7265625" customWidth="1"/>
    <col min="18" max="18" width="29.54296875" customWidth="1"/>
    <col min="19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metadata!A14</f>
        <v>PE_Q1</v>
      </c>
      <c r="B2" s="1" t="s">
        <v>26</v>
      </c>
      <c r="C2" s="1" t="s">
        <v>27</v>
      </c>
      <c r="D2" s="1">
        <f>AVERAGE(98,85,97,95)</f>
        <v>93.75</v>
      </c>
      <c r="E2" s="1">
        <v>1</v>
      </c>
      <c r="F2" s="1">
        <v>2</v>
      </c>
      <c r="G2" s="1">
        <v>2</v>
      </c>
      <c r="H2" s="1">
        <v>2</v>
      </c>
      <c r="I2" s="1">
        <v>2</v>
      </c>
      <c r="J2" s="1" t="s">
        <v>81</v>
      </c>
      <c r="K2" s="1">
        <f>AVERAGE(70,65,85,65)</f>
        <v>71.25</v>
      </c>
      <c r="L2" s="1">
        <f>AVERAGE(52,48,45,40,43,48)</f>
        <v>46</v>
      </c>
      <c r="M2" s="1" t="s">
        <v>76</v>
      </c>
      <c r="N2" s="1">
        <f>AVERAGE(30,20,15,30)</f>
        <v>23.75</v>
      </c>
      <c r="O2" s="1">
        <f>AVERAGE(32,40,25,27,37,26)</f>
        <v>31.166666666666668</v>
      </c>
    </row>
    <row r="3" spans="1:18" ht="14.25" customHeight="1">
      <c r="A3" s="1" t="str">
        <f>metadata!A15</f>
        <v>PE_Q2</v>
      </c>
      <c r="B3" s="1" t="s">
        <v>28</v>
      </c>
      <c r="C3" s="1" t="s">
        <v>29</v>
      </c>
      <c r="D3" s="1">
        <f>AVERAGE(95,90,94,90)</f>
        <v>92.25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 t="s">
        <v>81</v>
      </c>
      <c r="K3" s="1">
        <f>AVERAGE(99,90,97,90)</f>
        <v>94</v>
      </c>
      <c r="L3" s="1">
        <f>AVERAGE(33,48,33,39,24,38)</f>
        <v>35.833333333333336</v>
      </c>
    </row>
    <row r="4" spans="1:18" ht="14.25" customHeight="1">
      <c r="A4" s="1" t="str">
        <f>metadata!A16</f>
        <v>PE_Q3</v>
      </c>
      <c r="B4" s="1" t="s">
        <v>30</v>
      </c>
      <c r="C4" s="1" t="s">
        <v>31</v>
      </c>
      <c r="D4" s="1">
        <f>AVERAGE(100,95,100,100)</f>
        <v>98.75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 t="s">
        <v>81</v>
      </c>
      <c r="K4" s="1">
        <f>AVERAGE(80,60,87,65)</f>
        <v>73</v>
      </c>
      <c r="L4" s="1">
        <f>AVERAGE(77,46,81,58,63,69)</f>
        <v>65.666666666666671</v>
      </c>
      <c r="M4" s="1" t="s">
        <v>76</v>
      </c>
      <c r="N4" s="1">
        <f>AVERAGE(20,40,13,35)</f>
        <v>27</v>
      </c>
      <c r="O4" s="1">
        <f>AVERAGE(35,33,39,29,27,26)</f>
        <v>31.5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opLeftCell="I1" workbookViewId="0">
      <selection activeCell="E13" sqref="E13"/>
    </sheetView>
  </sheetViews>
  <sheetFormatPr baseColWidth="10" defaultColWidth="14.453125" defaultRowHeight="15" customHeight="1"/>
  <cols>
    <col min="1" max="2" width="10.7265625" customWidth="1"/>
    <col min="3" max="4" width="12.26953125" customWidth="1"/>
    <col min="5" max="5" width="13.54296875" customWidth="1"/>
    <col min="6" max="6" width="12.81640625" customWidth="1"/>
    <col min="7" max="7" width="13.26953125" customWidth="1"/>
    <col min="8" max="8" width="12.81640625" customWidth="1"/>
    <col min="9" max="9" width="13.453125" customWidth="1"/>
    <col min="10" max="10" width="14.81640625" customWidth="1"/>
    <col min="11" max="11" width="15.08984375" customWidth="1"/>
    <col min="12" max="12" width="16.81640625" customWidth="1"/>
    <col min="13" max="13" width="16.7265625" customWidth="1"/>
    <col min="14" max="14" width="16.81640625" customWidth="1"/>
    <col min="15" max="15" width="15" customWidth="1"/>
    <col min="16" max="26" width="10.7265625" customWidth="1"/>
  </cols>
  <sheetData>
    <row r="1" spans="1:18" ht="14.25" customHeight="1">
      <c r="A1" s="4" t="s">
        <v>67</v>
      </c>
      <c r="B1" s="4" t="s">
        <v>0</v>
      </c>
      <c r="C1" s="4" t="s">
        <v>1</v>
      </c>
      <c r="D1" s="4" t="s">
        <v>41</v>
      </c>
      <c r="E1" s="4" t="s">
        <v>45</v>
      </c>
      <c r="F1" s="4" t="s">
        <v>47</v>
      </c>
      <c r="G1" s="4" t="s">
        <v>49</v>
      </c>
      <c r="H1" s="4" t="s">
        <v>51</v>
      </c>
      <c r="I1" s="4" t="s">
        <v>53</v>
      </c>
      <c r="J1" s="4" t="s">
        <v>55</v>
      </c>
      <c r="K1" s="4" t="s">
        <v>57</v>
      </c>
      <c r="L1" s="4" t="s">
        <v>73</v>
      </c>
      <c r="M1" s="4" t="s">
        <v>59</v>
      </c>
      <c r="N1" s="4" t="s">
        <v>61</v>
      </c>
      <c r="O1" s="5" t="s">
        <v>74</v>
      </c>
      <c r="P1" s="4" t="s">
        <v>63</v>
      </c>
      <c r="Q1" s="4" t="s">
        <v>65</v>
      </c>
      <c r="R1" s="6" t="s">
        <v>75</v>
      </c>
    </row>
    <row r="2" spans="1:18" ht="14.25" customHeight="1">
      <c r="A2" s="1" t="str">
        <f>metadata!A17</f>
        <v>PF_Q1</v>
      </c>
      <c r="B2" s="1" t="s">
        <v>32</v>
      </c>
      <c r="C2" s="1" t="s">
        <v>33</v>
      </c>
      <c r="D2" s="1">
        <f>AVERAGE(80,65,75,75)</f>
        <v>73.75</v>
      </c>
      <c r="E2" s="1">
        <v>1</v>
      </c>
      <c r="F2" s="1">
        <v>1</v>
      </c>
      <c r="G2" s="1">
        <v>1</v>
      </c>
      <c r="H2" s="1">
        <v>2</v>
      </c>
      <c r="I2" s="1">
        <v>2</v>
      </c>
      <c r="J2" s="1" t="s">
        <v>81</v>
      </c>
      <c r="K2" s="1">
        <f>AVERAGE(98,63,99,70)</f>
        <v>82.5</v>
      </c>
      <c r="L2" s="1">
        <f>AVERAGE(10,18,30,27,31,54)</f>
        <v>28.333333333333332</v>
      </c>
    </row>
    <row r="3" spans="1:18" ht="14.25" customHeight="1">
      <c r="A3" s="1" t="str">
        <f>metadata!A18</f>
        <v>PF_Q2</v>
      </c>
      <c r="B3" s="1" t="s">
        <v>34</v>
      </c>
      <c r="C3" s="1" t="s">
        <v>35</v>
      </c>
      <c r="D3" s="1">
        <f>AVERAGE(40,50,35,40)</f>
        <v>41.25</v>
      </c>
      <c r="E3" s="1">
        <v>1</v>
      </c>
      <c r="F3" s="1">
        <v>2</v>
      </c>
      <c r="G3" s="1">
        <v>2</v>
      </c>
      <c r="H3" s="1">
        <v>2</v>
      </c>
      <c r="I3" s="1">
        <v>2</v>
      </c>
      <c r="J3" s="1" t="s">
        <v>81</v>
      </c>
      <c r="K3" s="1">
        <f>AVERAGE(97,95,99,95)</f>
        <v>96.5</v>
      </c>
      <c r="L3" s="1">
        <f>AVERAGE(24,22,36,31,26,27)</f>
        <v>27.666666666666668</v>
      </c>
    </row>
    <row r="4" spans="1:18" ht="14.25" customHeight="1">
      <c r="A4" s="1" t="str">
        <f>metadata!A19</f>
        <v>PF_Q3</v>
      </c>
      <c r="B4" s="1" t="s">
        <v>36</v>
      </c>
      <c r="C4" s="1" t="s">
        <v>37</v>
      </c>
      <c r="D4" s="1">
        <f>AVERAGE(50,50,30,50)</f>
        <v>45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 t="s">
        <v>81</v>
      </c>
      <c r="K4" s="1">
        <f>AVERAGE(99,98,99,98)</f>
        <v>98.5</v>
      </c>
      <c r="L4" s="1">
        <f>AVERAGE(19,16,17,21,17,23)</f>
        <v>18.833333333333332</v>
      </c>
    </row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23C5-7489-4A1E-A0AD-0B8FE453DEB8}">
  <dimension ref="A1:K10"/>
  <sheetViews>
    <sheetView tabSelected="1" zoomScale="96" workbookViewId="0">
      <selection activeCell="D17" sqref="D17"/>
    </sheetView>
  </sheetViews>
  <sheetFormatPr baseColWidth="10" defaultRowHeight="14.5"/>
  <sheetData>
    <row r="1" spans="1:11" ht="14.25" customHeight="1">
      <c r="A1" s="4" t="s">
        <v>67</v>
      </c>
      <c r="B1" s="4" t="s">
        <v>87</v>
      </c>
      <c r="C1" s="4" t="s">
        <v>93</v>
      </c>
      <c r="D1" s="4" t="s">
        <v>92</v>
      </c>
      <c r="E1" s="4" t="s">
        <v>91</v>
      </c>
      <c r="F1" s="4" t="s">
        <v>121</v>
      </c>
      <c r="G1" s="4"/>
      <c r="H1" s="5"/>
      <c r="I1" s="4"/>
      <c r="J1" s="4"/>
      <c r="K1" s="6"/>
    </row>
    <row r="2" spans="1:11">
      <c r="A2" s="8" t="s">
        <v>117</v>
      </c>
      <c r="B2" t="s">
        <v>90</v>
      </c>
      <c r="C2" s="1" t="s">
        <v>81</v>
      </c>
      <c r="D2" s="1">
        <f>AVERAGE(25,20,25,20)</f>
        <v>22.5</v>
      </c>
      <c r="E2" s="1">
        <f>AVERAGE(40,52,41,35,33,40)</f>
        <v>40.166666666666664</v>
      </c>
      <c r="F2">
        <v>43.678583333333336</v>
      </c>
    </row>
    <row r="3" spans="1:11" ht="14.25" customHeight="1">
      <c r="A3" s="8" t="s">
        <v>117</v>
      </c>
      <c r="B3" s="1" t="s">
        <v>88</v>
      </c>
      <c r="C3" s="1" t="s">
        <v>81</v>
      </c>
      <c r="D3" s="1">
        <f>AVERAGE(70,75,60,70)</f>
        <v>68.75</v>
      </c>
      <c r="E3" s="1">
        <f>AVERAGE(37,39,38,42,35,47)</f>
        <v>39.666666666666664</v>
      </c>
      <c r="F3" s="1">
        <v>42.543583333333338</v>
      </c>
      <c r="G3" s="1"/>
      <c r="H3" s="1"/>
    </row>
    <row r="4" spans="1:11">
      <c r="A4" s="8" t="s">
        <v>118</v>
      </c>
      <c r="B4" t="s">
        <v>88</v>
      </c>
      <c r="C4" s="1" t="s">
        <v>81</v>
      </c>
      <c r="D4" s="1">
        <f>AVERAGE(25,12,20,15)</f>
        <v>18</v>
      </c>
      <c r="E4" s="1">
        <f>AVERAGE(25,38,31,35,38,40)</f>
        <v>34.5</v>
      </c>
      <c r="F4">
        <v>20.745908333333333</v>
      </c>
    </row>
    <row r="5" spans="1:11" ht="14.25" customHeight="1">
      <c r="A5" s="8" t="s">
        <v>119</v>
      </c>
      <c r="B5" s="1" t="s">
        <v>88</v>
      </c>
      <c r="C5" s="1" t="s">
        <v>81</v>
      </c>
      <c r="D5" s="1">
        <f>AVERAGE(70,65,85,65)</f>
        <v>71.25</v>
      </c>
      <c r="E5" s="1">
        <f>AVERAGE(52,48,45,40,43,48)</f>
        <v>46</v>
      </c>
      <c r="F5">
        <v>52.5505</v>
      </c>
      <c r="G5" s="1"/>
      <c r="H5" s="1"/>
    </row>
    <row r="6" spans="1:11" ht="14.25" customHeight="1">
      <c r="A6" s="8" t="s">
        <v>119</v>
      </c>
      <c r="B6" s="1" t="s">
        <v>89</v>
      </c>
      <c r="C6" s="1" t="s">
        <v>81</v>
      </c>
      <c r="D6" s="1">
        <f>AVERAGE(99,90,97,90)</f>
        <v>94</v>
      </c>
      <c r="E6" s="1">
        <f>AVERAGE(33,48,33,39,24,38)</f>
        <v>35.833333333333336</v>
      </c>
      <c r="F6" s="1">
        <v>66.605583333333342</v>
      </c>
    </row>
    <row r="7" spans="1:11" ht="14.25" customHeight="1">
      <c r="A7" s="8" t="s">
        <v>119</v>
      </c>
      <c r="B7" t="s">
        <v>90</v>
      </c>
      <c r="C7" s="1" t="s">
        <v>81</v>
      </c>
      <c r="D7" s="1">
        <f>AVERAGE(80,60,87,65)</f>
        <v>73</v>
      </c>
      <c r="E7" s="1">
        <f>AVERAGE(77,46,81,58,63,69)</f>
        <v>65.666666666666671</v>
      </c>
      <c r="F7">
        <v>55.955499999999994</v>
      </c>
      <c r="G7" s="1"/>
      <c r="H7" s="1"/>
    </row>
    <row r="8" spans="1:11" ht="14.25" customHeight="1">
      <c r="A8" s="8" t="s">
        <v>120</v>
      </c>
      <c r="B8" t="s">
        <v>88</v>
      </c>
      <c r="C8" s="1" t="s">
        <v>81</v>
      </c>
      <c r="D8" s="1">
        <f>AVERAGE(98,63,99,70)</f>
        <v>82.5</v>
      </c>
      <c r="E8" s="1">
        <f>AVERAGE(10,18,30,27,31,54)</f>
        <v>28.333333333333332</v>
      </c>
      <c r="F8" s="10">
        <v>97.439750000000004</v>
      </c>
    </row>
    <row r="9" spans="1:11" ht="14.25" customHeight="1">
      <c r="A9" s="8" t="s">
        <v>120</v>
      </c>
      <c r="B9" t="s">
        <v>89</v>
      </c>
      <c r="C9" s="1" t="s">
        <v>81</v>
      </c>
      <c r="D9" s="1">
        <f>AVERAGE(97,95,99,95)</f>
        <v>96.5</v>
      </c>
      <c r="E9" s="1">
        <f>AVERAGE(24,22,36,31,26,27)</f>
        <v>27.666666666666668</v>
      </c>
      <c r="F9" s="10">
        <v>77.047583299999999</v>
      </c>
    </row>
    <row r="10" spans="1:11" ht="14.25" customHeight="1">
      <c r="A10" s="8" t="s">
        <v>120</v>
      </c>
      <c r="B10" t="s">
        <v>90</v>
      </c>
      <c r="C10" s="1" t="s">
        <v>81</v>
      </c>
      <c r="D10" s="1">
        <f>AVERAGE(99,98,99,98)</f>
        <v>98.5</v>
      </c>
      <c r="E10" s="1">
        <f>AVERAGE(19,16,17,21,17,23)</f>
        <v>18.833333333333332</v>
      </c>
      <c r="F10" s="10">
        <v>87.659833300000003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metadata</vt:lpstr>
      <vt:lpstr>legende</vt:lpstr>
      <vt:lpstr>patch1</vt:lpstr>
      <vt:lpstr>patch2</vt:lpstr>
      <vt:lpstr>patch3</vt:lpstr>
      <vt:lpstr>patch4</vt:lpstr>
      <vt:lpstr>patch5</vt:lpstr>
      <vt:lpstr>patch6</vt:lpstr>
      <vt:lpstr>heightsalicornia</vt:lpstr>
      <vt:lpstr>heighthalimione</vt:lpstr>
      <vt:lpstr>heightcarex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Cléo Salvia</dc:creator>
  <cp:lastModifiedBy>Lucie Lavergne</cp:lastModifiedBy>
  <dcterms:created xsi:type="dcterms:W3CDTF">2023-10-19T21:58:50Z</dcterms:created>
  <dcterms:modified xsi:type="dcterms:W3CDTF">2023-12-18T20:22:13Z</dcterms:modified>
</cp:coreProperties>
</file>