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lilyl\Documents\travail\belle vie\D4\"/>
    </mc:Choice>
  </mc:AlternateContent>
  <xr:revisionPtr revIDLastSave="0" documentId="13_ncr:1_{D7482F66-1F8E-47A2-B71F-241C8BA93A43}" xr6:coauthVersionLast="47" xr6:coauthVersionMax="47" xr10:uidLastSave="{00000000-0000-0000-0000-000000000000}"/>
  <bookViews>
    <workbookView xWindow="-110" yWindow="-110" windowWidth="19420" windowHeight="10300" tabRatio="693" firstSheet="6" activeTab="13" xr2:uid="{00000000-000D-0000-FFFF-FFFF00000000}"/>
  </bookViews>
  <sheets>
    <sheet name="metadata" sheetId="1" r:id="rId1"/>
    <sheet name="legende" sheetId="2" r:id="rId2"/>
    <sheet name="patch1" sheetId="3" r:id="rId3"/>
    <sheet name="patch2" sheetId="4" r:id="rId4"/>
    <sheet name="patch3" sheetId="5" r:id="rId5"/>
    <sheet name="patch4" sheetId="6" r:id="rId6"/>
    <sheet name="patch5" sheetId="7" r:id="rId7"/>
    <sheet name="patch6" sheetId="8" r:id="rId8"/>
    <sheet name="heightsalicornia" sheetId="10" r:id="rId9"/>
    <sheet name="heighthalimione" sheetId="11" r:id="rId10"/>
    <sheet name="heightcarex" sheetId="15" r:id="rId11"/>
    <sheet name="genus_quadrat" sheetId="16" r:id="rId12"/>
    <sheet name="genus_patch" sheetId="17" r:id="rId13"/>
    <sheet name="data_acp" sheetId="18" r:id="rId14"/>
  </sheets>
  <calcPr calcId="191029"/>
  <extLst>
    <ext uri="GoogleSheetsCustomDataVersion2">
      <go:sheetsCustomData xmlns:go="http://customooxmlschemas.google.com/" r:id="rId15" roundtripDataChecksum="IFTjEr+jk5JJWyUnwuhUsYb4dslpRRql4FqIMjQ/bDk="/>
    </ext>
  </extLst>
</workbook>
</file>

<file path=xl/calcChain.xml><?xml version="1.0" encoding="utf-8"?>
<calcChain xmlns="http://schemas.openxmlformats.org/spreadsheetml/2006/main">
  <c r="E8" i="15" l="1"/>
  <c r="D8" i="15"/>
  <c r="E7" i="15"/>
  <c r="D7" i="15"/>
  <c r="E6" i="15"/>
  <c r="D6" i="15"/>
  <c r="E5" i="15"/>
  <c r="D5" i="15"/>
  <c r="E4" i="15"/>
  <c r="D4" i="15"/>
  <c r="E3" i="15"/>
  <c r="D3" i="15"/>
  <c r="E2" i="15"/>
  <c r="D2" i="15"/>
  <c r="A3" i="8" l="1"/>
  <c r="A4" i="8"/>
  <c r="A2" i="8"/>
  <c r="A4" i="7"/>
  <c r="A3" i="7"/>
  <c r="A2" i="7"/>
  <c r="A3" i="6"/>
  <c r="A4" i="6"/>
  <c r="A2" i="6"/>
  <c r="A3" i="5"/>
  <c r="A4" i="5"/>
  <c r="A2" i="5"/>
  <c r="A3" i="4"/>
  <c r="A4" i="4"/>
  <c r="A2" i="4"/>
  <c r="A3" i="3"/>
  <c r="A4" i="3"/>
  <c r="A2" i="3"/>
  <c r="K10" i="11"/>
  <c r="J10" i="11"/>
  <c r="K9" i="11"/>
  <c r="J9" i="11"/>
  <c r="K8" i="11"/>
  <c r="J8" i="11"/>
  <c r="K7" i="11"/>
  <c r="J7" i="11"/>
  <c r="K6" i="11"/>
  <c r="J6" i="11"/>
  <c r="K5" i="11"/>
  <c r="J5" i="11"/>
  <c r="K4" i="11"/>
  <c r="J4" i="11"/>
  <c r="K3" i="11"/>
  <c r="J3" i="11"/>
  <c r="K2" i="11"/>
  <c r="J2" i="11"/>
  <c r="I4" i="11"/>
  <c r="I5" i="11" s="1"/>
  <c r="I6" i="11" s="1"/>
  <c r="I7" i="11" s="1"/>
  <c r="I8" i="11" s="1"/>
  <c r="I9" i="11" s="1"/>
  <c r="I10" i="11" s="1"/>
  <c r="I3" i="11"/>
  <c r="F11" i="11" l="1"/>
  <c r="E12" i="11"/>
  <c r="D12" i="11"/>
  <c r="E11" i="11"/>
  <c r="D11" i="11"/>
  <c r="E10" i="11"/>
  <c r="F10" i="11" s="1"/>
  <c r="D10" i="11"/>
  <c r="E7" i="11"/>
  <c r="F7" i="11" s="1"/>
  <c r="D7" i="11"/>
  <c r="E4" i="10"/>
  <c r="D4" i="10"/>
  <c r="E2" i="10"/>
  <c r="D2" i="10"/>
  <c r="E9" i="11"/>
  <c r="D9" i="11"/>
  <c r="E8" i="11"/>
  <c r="D8" i="11"/>
  <c r="E6" i="11"/>
  <c r="D6" i="11"/>
  <c r="E5" i="11"/>
  <c r="D5" i="11"/>
  <c r="E4" i="11"/>
  <c r="D4" i="11"/>
  <c r="F4" i="11" s="1"/>
  <c r="E3" i="11"/>
  <c r="D3" i="11"/>
  <c r="E2" i="11"/>
  <c r="D2" i="11"/>
  <c r="F2" i="11" s="1"/>
  <c r="E10" i="10"/>
  <c r="D10" i="10"/>
  <c r="E9" i="10"/>
  <c r="D9" i="10"/>
  <c r="E8" i="10"/>
  <c r="D8" i="10"/>
  <c r="E7" i="10"/>
  <c r="D7" i="10"/>
  <c r="E6" i="10"/>
  <c r="D6" i="10"/>
  <c r="E5" i="10"/>
  <c r="D5" i="10"/>
  <c r="E3" i="10"/>
  <c r="D3" i="10"/>
  <c r="L4" i="8"/>
  <c r="K4" i="8"/>
  <c r="D4" i="8"/>
  <c r="L3" i="8"/>
  <c r="K3" i="8"/>
  <c r="D3" i="8"/>
  <c r="L2" i="8"/>
  <c r="K2" i="8"/>
  <c r="D2" i="8"/>
  <c r="O4" i="7"/>
  <c r="N4" i="7"/>
  <c r="L4" i="7"/>
  <c r="K4" i="7"/>
  <c r="D4" i="7"/>
  <c r="L3" i="7"/>
  <c r="K3" i="7"/>
  <c r="D3" i="7"/>
  <c r="O2" i="7"/>
  <c r="N2" i="7"/>
  <c r="L2" i="7"/>
  <c r="K2" i="7"/>
  <c r="D2" i="7"/>
  <c r="O4" i="6"/>
  <c r="N4" i="6"/>
  <c r="L4" i="6"/>
  <c r="K4" i="6"/>
  <c r="D4" i="6"/>
  <c r="O3" i="6"/>
  <c r="N3" i="6"/>
  <c r="L3" i="6"/>
  <c r="K3" i="6"/>
  <c r="D3" i="6"/>
  <c r="U2" i="6"/>
  <c r="T2" i="6"/>
  <c r="R2" i="6"/>
  <c r="Q2" i="6"/>
  <c r="O2" i="6"/>
  <c r="N2" i="6"/>
  <c r="L2" i="6"/>
  <c r="K2" i="6"/>
  <c r="D2" i="6"/>
  <c r="O4" i="5"/>
  <c r="N4" i="5"/>
  <c r="L4" i="5"/>
  <c r="K4" i="5"/>
  <c r="D4" i="5"/>
  <c r="L3" i="5"/>
  <c r="K3" i="5"/>
  <c r="D3" i="5"/>
  <c r="O2" i="5"/>
  <c r="N2" i="5"/>
  <c r="L2" i="5"/>
  <c r="K2" i="5"/>
  <c r="D2" i="5"/>
  <c r="O4" i="4"/>
  <c r="N4" i="4"/>
  <c r="L4" i="4"/>
  <c r="K4" i="4"/>
  <c r="D4" i="4"/>
  <c r="L3" i="4"/>
  <c r="K3" i="4"/>
  <c r="D3" i="4"/>
  <c r="L2" i="4"/>
  <c r="K2" i="4"/>
  <c r="D2" i="4"/>
  <c r="O4" i="3"/>
  <c r="N4" i="3"/>
  <c r="L4" i="3"/>
  <c r="K4" i="3"/>
  <c r="D4" i="3"/>
  <c r="N3" i="3"/>
  <c r="L3" i="3"/>
  <c r="K3" i="3"/>
  <c r="D3" i="3"/>
  <c r="R2" i="3"/>
  <c r="Q2" i="3"/>
  <c r="O2" i="3"/>
  <c r="N2" i="3"/>
  <c r="L2" i="3"/>
  <c r="K2" i="3"/>
  <c r="D2" i="3"/>
</calcChain>
</file>

<file path=xl/sharedStrings.xml><?xml version="1.0" encoding="utf-8"?>
<sst xmlns="http://schemas.openxmlformats.org/spreadsheetml/2006/main" count="478" uniqueCount="214">
  <si>
    <t>GPS X</t>
  </si>
  <si>
    <t>GPS Y</t>
  </si>
  <si>
    <t>43.129148</t>
  </si>
  <si>
    <t>3.036467</t>
  </si>
  <si>
    <t>43.129282</t>
  </si>
  <si>
    <t>3.036431</t>
  </si>
  <si>
    <t>43.129130</t>
  </si>
  <si>
    <t>3.036532</t>
  </si>
  <si>
    <t>43.129193</t>
  </si>
  <si>
    <t>3.036751</t>
  </si>
  <si>
    <t>43.129167</t>
  </si>
  <si>
    <t>3.036796</t>
  </si>
  <si>
    <t>43.129181</t>
  </si>
  <si>
    <t>3.036778</t>
  </si>
  <si>
    <t>43.129436</t>
  </si>
  <si>
    <t>3.036754</t>
  </si>
  <si>
    <t>43.129426</t>
  </si>
  <si>
    <t>3.036783</t>
  </si>
  <si>
    <t>43.129379</t>
  </si>
  <si>
    <t>3.036733</t>
  </si>
  <si>
    <t>43.129390</t>
  </si>
  <si>
    <t>3.037315</t>
  </si>
  <si>
    <t>43.129387</t>
  </si>
  <si>
    <t>3.037359</t>
  </si>
  <si>
    <t>43.129329</t>
  </si>
  <si>
    <t>3.037327</t>
  </si>
  <si>
    <t>43.129562</t>
  </si>
  <si>
    <t>3.037712</t>
  </si>
  <si>
    <t>43.129567</t>
  </si>
  <si>
    <t>3.037704</t>
  </si>
  <si>
    <t>43.129580</t>
  </si>
  <si>
    <t>3.037663</t>
  </si>
  <si>
    <t>43.128805</t>
  </si>
  <si>
    <t>3.037902</t>
  </si>
  <si>
    <t>43.128764</t>
  </si>
  <si>
    <t>3.037877</t>
  </si>
  <si>
    <t>43.128851</t>
  </si>
  <si>
    <t>3.037749</t>
  </si>
  <si>
    <t>latitude</t>
  </si>
  <si>
    <t xml:space="preserve">GPS Y </t>
  </si>
  <si>
    <t>longitude</t>
  </si>
  <si>
    <t>%vegetCover</t>
  </si>
  <si>
    <t xml:space="preserve">% covered by vegetation, determined by sight </t>
  </si>
  <si>
    <t>canopyHeight</t>
  </si>
  <si>
    <t>distance between the highest photosynthetic tissue of the patch and the ground level</t>
  </si>
  <si>
    <t>nbSpecies_q1</t>
  </si>
  <si>
    <t>Number of species in a quadrat of 20cm2</t>
  </si>
  <si>
    <t>nbSpecies_q2</t>
  </si>
  <si>
    <t>Number of species in a quadrat of 40cm2</t>
  </si>
  <si>
    <t>nbSpecies_q3</t>
  </si>
  <si>
    <t>Number of species in a quadrat of 60cm2</t>
  </si>
  <si>
    <t>nbSpecies_q4</t>
  </si>
  <si>
    <t>Number of species in a quadrat of 80cm2</t>
  </si>
  <si>
    <t>nbSpecies_q5</t>
  </si>
  <si>
    <t>Number of species in a quadrat of 1m2</t>
  </si>
  <si>
    <t>dominantSpecies1</t>
  </si>
  <si>
    <t>Most common species</t>
  </si>
  <si>
    <t>%Species1Cover</t>
  </si>
  <si>
    <t>% of the vegetation covered by 1st species</t>
  </si>
  <si>
    <t>dominantSpecies2</t>
  </si>
  <si>
    <t>2nd most common species</t>
  </si>
  <si>
    <t>%Species2Cover</t>
  </si>
  <si>
    <t>% of the vegetation covered by 2nd species</t>
  </si>
  <si>
    <t>dominantSpecies3</t>
  </si>
  <si>
    <t>3rd most commmon species</t>
  </si>
  <si>
    <t>%Species3Cover</t>
  </si>
  <si>
    <t>% of the vegetation covered by 3rd species</t>
  </si>
  <si>
    <t>id</t>
  </si>
  <si>
    <t>quadrat 20cm</t>
  </si>
  <si>
    <t>quadrat 40 cm</t>
  </si>
  <si>
    <t>quadrat 60 cm</t>
  </si>
  <si>
    <t>quadrat 80 cm</t>
  </si>
  <si>
    <t>quadrat 100 cm</t>
  </si>
  <si>
    <t>mean height dominant Species 1</t>
  </si>
  <si>
    <t>mean height dominant Species 2</t>
  </si>
  <si>
    <t>mean height dominant Species 3</t>
  </si>
  <si>
    <t>arroche faux pourpier</t>
  </si>
  <si>
    <t>roseau</t>
  </si>
  <si>
    <t>carex</t>
  </si>
  <si>
    <t>Carex</t>
  </si>
  <si>
    <t>(roseau)</t>
  </si>
  <si>
    <t>salicorne</t>
  </si>
  <si>
    <t>dominantSpecies4</t>
  </si>
  <si>
    <t>%Species4Cover</t>
  </si>
  <si>
    <t>meanheight4</t>
  </si>
  <si>
    <t>roseaux</t>
  </si>
  <si>
    <t xml:space="preserve">roseau </t>
  </si>
  <si>
    <t>id_point</t>
  </si>
  <si>
    <t>Q1</t>
  </si>
  <si>
    <t>Q2</t>
  </si>
  <si>
    <t>Q3</t>
  </si>
  <si>
    <t>mean_height</t>
  </si>
  <si>
    <t>Species1Cover</t>
  </si>
  <si>
    <t>dominantSpecies</t>
  </si>
  <si>
    <t>meanSpeciesCover</t>
  </si>
  <si>
    <t>salicornia</t>
  </si>
  <si>
    <t>Id</t>
  </si>
  <si>
    <t>PA_Q1</t>
  </si>
  <si>
    <t>PA_Q2</t>
  </si>
  <si>
    <t>PA_Q3</t>
  </si>
  <si>
    <t>PB_Q1</t>
  </si>
  <si>
    <t>PB_Q2</t>
  </si>
  <si>
    <t>PB_Q3</t>
  </si>
  <si>
    <t>PC_Q1</t>
  </si>
  <si>
    <t>PC_Q2</t>
  </si>
  <si>
    <t>PC_Q3</t>
  </si>
  <si>
    <t>PD_Q1</t>
  </si>
  <si>
    <t>PD_Q2</t>
  </si>
  <si>
    <t>PD_Q3</t>
  </si>
  <si>
    <t>PE_Q1</t>
  </si>
  <si>
    <t>PE_Q2</t>
  </si>
  <si>
    <t>PE_Q3</t>
  </si>
  <si>
    <t>PF_Q1</t>
  </si>
  <si>
    <t>PF_Q2</t>
  </si>
  <si>
    <t>PF_Q3</t>
  </si>
  <si>
    <t>PA</t>
  </si>
  <si>
    <t>PB</t>
  </si>
  <si>
    <t>PC</t>
  </si>
  <si>
    <t>PD</t>
  </si>
  <si>
    <t>PE</t>
  </si>
  <si>
    <t>PF</t>
  </si>
  <si>
    <t>ECsp</t>
  </si>
  <si>
    <t>Species</t>
  </si>
  <si>
    <t>Quadrat 1</t>
  </si>
  <si>
    <t>Quadrat 2</t>
  </si>
  <si>
    <t>Quadrat 3</t>
  </si>
  <si>
    <t>Halimione</t>
  </si>
  <si>
    <t>Salicornia</t>
  </si>
  <si>
    <t>Phragmites</t>
  </si>
  <si>
    <t>Other (non-dominant plants)</t>
  </si>
  <si>
    <t>Patch A</t>
  </si>
  <si>
    <t>Patch B</t>
  </si>
  <si>
    <t>Patch C</t>
  </si>
  <si>
    <t>Patch D</t>
  </si>
  <si>
    <t>Patch E</t>
  </si>
  <si>
    <t>Patch F</t>
  </si>
  <si>
    <t>dominant 1 S</t>
  </si>
  <si>
    <t>% cover 1 S</t>
  </si>
  <si>
    <t>height 1 S</t>
  </si>
  <si>
    <t>dominant 1 C</t>
  </si>
  <si>
    <t>% cover 1 C</t>
  </si>
  <si>
    <t>height 1 C</t>
  </si>
  <si>
    <t>dominant 1 A</t>
  </si>
  <si>
    <t>% cover 1 A</t>
  </si>
  <si>
    <t>height 1 A</t>
  </si>
  <si>
    <t>dominant 1 R</t>
  </si>
  <si>
    <t>% cover 1 R</t>
  </si>
  <si>
    <t>height 1 R</t>
  </si>
  <si>
    <t>dominant 2 S</t>
  </si>
  <si>
    <t>% cover 2 S</t>
  </si>
  <si>
    <t>height 2 S</t>
  </si>
  <si>
    <t>dominant 2 C</t>
  </si>
  <si>
    <t>% cover 2 C</t>
  </si>
  <si>
    <t>height 2 C</t>
  </si>
  <si>
    <t>dominant 2 A</t>
  </si>
  <si>
    <t>% cover 2 A</t>
  </si>
  <si>
    <t>height 2 A</t>
  </si>
  <si>
    <t>dominant 2 R</t>
  </si>
  <si>
    <t>% cover 2 R</t>
  </si>
  <si>
    <t>height 2 R</t>
  </si>
  <si>
    <t>dominant 3 S</t>
  </si>
  <si>
    <t>% cover 3 S</t>
  </si>
  <si>
    <t>height 3 S</t>
  </si>
  <si>
    <t>dominant 3 C</t>
  </si>
  <si>
    <t>% cover 3 C</t>
  </si>
  <si>
    <t>height 3 C</t>
  </si>
  <si>
    <t>dominant 3 A</t>
  </si>
  <si>
    <t>% cover 3 A</t>
  </si>
  <si>
    <t>height 3 A</t>
  </si>
  <si>
    <t>dominant 3 R</t>
  </si>
  <si>
    <t>% cover 3 R</t>
  </si>
  <si>
    <t>height 3 R</t>
  </si>
  <si>
    <t>dominant 4 S</t>
  </si>
  <si>
    <t>% cover 4 S</t>
  </si>
  <si>
    <t>height 4 S</t>
  </si>
  <si>
    <t>dominant 4 C</t>
  </si>
  <si>
    <t>% cover 4 C</t>
  </si>
  <si>
    <t>height 4 C</t>
  </si>
  <si>
    <t>dominant 4 A</t>
  </si>
  <si>
    <t>% cover 4 A</t>
  </si>
  <si>
    <t>height 4 A</t>
  </si>
  <si>
    <t>dominant 4 R</t>
  </si>
  <si>
    <t>% cover 4 R</t>
  </si>
  <si>
    <t>height 4 R</t>
  </si>
  <si>
    <t>P1_Q1</t>
  </si>
  <si>
    <t>P1_Q2</t>
  </si>
  <si>
    <t>P1_Q3</t>
  </si>
  <si>
    <t>P2_Q1</t>
  </si>
  <si>
    <t>P2_Q2</t>
  </si>
  <si>
    <t>P2_Q3</t>
  </si>
  <si>
    <t>P3_Q1</t>
  </si>
  <si>
    <t>P3_Q2</t>
  </si>
  <si>
    <t>P3_Q3</t>
  </si>
  <si>
    <t>P4_Q1</t>
  </si>
  <si>
    <t>P4_Q2</t>
  </si>
  <si>
    <t>P4_Q3</t>
  </si>
  <si>
    <t>P5_Q1</t>
  </si>
  <si>
    <t>P5_Q2</t>
  </si>
  <si>
    <t>P5_Q3</t>
  </si>
  <si>
    <t>P6_Q1</t>
  </si>
  <si>
    <t>P6_Q2</t>
  </si>
  <si>
    <t>P6_Q3</t>
  </si>
  <si>
    <t>vegetCover</t>
  </si>
  <si>
    <t>id_localisation</t>
  </si>
  <si>
    <t>id_quadrat</t>
  </si>
  <si>
    <t>P1</t>
  </si>
  <si>
    <t>P2</t>
  </si>
  <si>
    <t>P3</t>
  </si>
  <si>
    <t>P4</t>
  </si>
  <si>
    <t>P5</t>
  </si>
  <si>
    <t>P6</t>
  </si>
  <si>
    <t>Q4</t>
  </si>
  <si>
    <t>Q5</t>
  </si>
  <si>
    <t>Q6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</si>
</sst>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9"/>
      <color rgb="FF1F1F1F"/>
      <name val="Arial"/>
      <family val="2"/>
    </font>
    <font>
      <sz val="9"/>
      <color rgb="FF1F1F1F"/>
      <name val="&quot;Google Sans&quot;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Arial"/>
      <family val="2"/>
    </font>
    <font>
      <i/>
      <sz val="10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8EAADB"/>
        <bgColor rgb="FF8EAADB"/>
      </patternFill>
    </fill>
    <fill>
      <patternFill patternType="solid">
        <fgColor rgb="FFD9E2F3"/>
        <bgColor rgb="FFD9E2F3"/>
      </patternFill>
    </fill>
    <fill>
      <patternFill patternType="solid">
        <fgColor rgb="FFC5E0B3"/>
        <bgColor rgb="FFC5E0B3"/>
      </patternFill>
    </fill>
    <fill>
      <patternFill patternType="solid">
        <fgColor rgb="FFB6D7A8"/>
        <bgColor rgb="FFB6D7A8"/>
      </patternFill>
    </fill>
    <fill>
      <patternFill patternType="solid">
        <fgColor theme="7"/>
        <bgColor indexed="64"/>
      </patternFill>
    </fill>
    <fill>
      <patternFill patternType="solid">
        <fgColor rgb="FFC5E0B3"/>
        <bgColor indexed="64"/>
      </patternFill>
    </fill>
    <fill>
      <patternFill patternType="solid">
        <fgColor rgb="FFC6E0B4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3" fillId="0" borderId="0" xfId="0" applyFont="1"/>
    <xf numFmtId="0" fontId="4" fillId="2" borderId="1" xfId="0" applyFont="1" applyFill="1" applyBorder="1"/>
    <xf numFmtId="0" fontId="4" fillId="3" borderId="1" xfId="0" applyFont="1" applyFill="1" applyBorder="1"/>
    <xf numFmtId="0" fontId="4" fillId="4" borderId="1" xfId="0" applyFont="1" applyFill="1" applyBorder="1"/>
    <xf numFmtId="0" fontId="5" fillId="4" borderId="0" xfId="0" applyFont="1" applyFill="1"/>
    <xf numFmtId="0" fontId="6" fillId="4" borderId="0" xfId="0" applyFont="1" applyFill="1"/>
    <xf numFmtId="0" fontId="3" fillId="5" borderId="0" xfId="0" applyFont="1" applyFill="1"/>
    <xf numFmtId="0" fontId="2" fillId="0" borderId="0" xfId="0" applyFont="1"/>
    <xf numFmtId="0" fontId="7" fillId="6" borderId="0" xfId="0" applyFont="1" applyFill="1"/>
    <xf numFmtId="0" fontId="8" fillId="0" borderId="1" xfId="0" applyFont="1" applyBorder="1"/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9" fillId="0" borderId="2" xfId="0" applyFont="1" applyBorder="1" applyAlignment="1">
      <alignment horizontal="right" wrapText="1"/>
    </xf>
    <xf numFmtId="0" fontId="9" fillId="0" borderId="0" xfId="0" applyFont="1"/>
    <xf numFmtId="0" fontId="4" fillId="0" borderId="2" xfId="0" applyFont="1" applyBorder="1" applyAlignment="1">
      <alignment wrapText="1"/>
    </xf>
    <xf numFmtId="0" fontId="4" fillId="0" borderId="2" xfId="0" applyFont="1" applyBorder="1" applyAlignment="1">
      <alignment horizontal="right" wrapText="1"/>
    </xf>
    <xf numFmtId="0" fontId="1" fillId="7" borderId="2" xfId="0" applyFont="1" applyFill="1" applyBorder="1" applyAlignment="1">
      <alignment wrapText="1"/>
    </xf>
    <xf numFmtId="0" fontId="1" fillId="8" borderId="2" xfId="0" applyFont="1" applyFill="1" applyBorder="1" applyAlignment="1">
      <alignment wrapText="1"/>
    </xf>
    <xf numFmtId="0" fontId="1" fillId="0" borderId="2" xfId="0" applyFont="1" applyBorder="1" applyAlignment="1">
      <alignment wrapText="1"/>
    </xf>
    <xf numFmtId="0" fontId="1" fillId="0" borderId="2" xfId="0" applyFont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customschemas.google.com/relationships/workbookmetadata" Target="metadata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fr-FR" b="0">
                <a:solidFill>
                  <a:srgbClr val="757575"/>
                </a:solidFill>
                <a:latin typeface="+mn-lt"/>
              </a:rPr>
              <a:t>cumulated species richness for point 2 patch 1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patch1!$E$1:$I$1</c:f>
              <c:strCache>
                <c:ptCount val="5"/>
                <c:pt idx="0">
                  <c:v>quadrat 20cm</c:v>
                </c:pt>
                <c:pt idx="1">
                  <c:v>quadrat 40 cm</c:v>
                </c:pt>
                <c:pt idx="2">
                  <c:v>quadrat 60 cm</c:v>
                </c:pt>
                <c:pt idx="3">
                  <c:v>quadrat 80 cm</c:v>
                </c:pt>
                <c:pt idx="4">
                  <c:v>quadrat 100 cm</c:v>
                </c:pt>
              </c:strCache>
            </c:strRef>
          </c:cat>
          <c:val>
            <c:numRef>
              <c:f>patch1!$E$3:$I$3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6</c:v>
                </c:pt>
                <c:pt idx="4">
                  <c:v>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7F2C-4C9F-BDF2-BB374E8509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172244"/>
        <c:axId val="332396904"/>
      </c:barChart>
      <c:catAx>
        <c:axId val="2031722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fr-FR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fr-FR"/>
          </a:p>
        </c:txPr>
        <c:crossAx val="332396904"/>
        <c:crosses val="autoZero"/>
        <c:auto val="1"/>
        <c:lblAlgn val="ctr"/>
        <c:lblOffset val="100"/>
        <c:noMultiLvlLbl val="1"/>
      </c:catAx>
      <c:valAx>
        <c:axId val="33239690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fr-FR" b="0">
                    <a:solidFill>
                      <a:srgbClr val="000000"/>
                    </a:solidFill>
                    <a:latin typeface="+mn-lt"/>
                  </a:rPr>
                  <a:t>number of species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fr-FR"/>
          </a:p>
        </c:txPr>
        <c:crossAx val="203172244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fr-FR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heightsalicornia!$F$1</c:f>
              <c:strCache>
                <c:ptCount val="1"/>
                <c:pt idx="0">
                  <c:v>ECsp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heightsalicornia!$E$7:$E$15</c:f>
              <c:numCache>
                <c:formatCode>General</c:formatCode>
                <c:ptCount val="9"/>
                <c:pt idx="0">
                  <c:v>65.666666666666671</c:v>
                </c:pt>
                <c:pt idx="1">
                  <c:v>28.333333333333332</c:v>
                </c:pt>
                <c:pt idx="2">
                  <c:v>27.666666666666668</c:v>
                </c:pt>
                <c:pt idx="3">
                  <c:v>18.833333333333332</c:v>
                </c:pt>
              </c:numCache>
            </c:numRef>
          </c:xVal>
          <c:yVal>
            <c:numRef>
              <c:f>heightsalicornia!$F$7:$F$15</c:f>
              <c:numCache>
                <c:formatCode>General</c:formatCode>
                <c:ptCount val="9"/>
                <c:pt idx="0">
                  <c:v>55.955499999999994</c:v>
                </c:pt>
                <c:pt idx="1">
                  <c:v>97.439750000000004</c:v>
                </c:pt>
                <c:pt idx="2">
                  <c:v>77.047583299999999</c:v>
                </c:pt>
                <c:pt idx="3">
                  <c:v>87.659833300000003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2A-47D2-A681-8EFDF60DCB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8039872"/>
        <c:axId val="1847224672"/>
      </c:scatterChart>
      <c:valAx>
        <c:axId val="1778039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47224672"/>
        <c:crosses val="autoZero"/>
        <c:crossBetween val="midCat"/>
      </c:valAx>
      <c:valAx>
        <c:axId val="184722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78039872"/>
        <c:crosses val="autoZero"/>
        <c:crossBetween val="midCat"/>
      </c:valAx>
      <c:spPr>
        <a:noFill/>
        <a:ln>
          <a:solidFill>
            <a:schemeClr val="accent1">
              <a:alpha val="94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heighthalimione!$G$1</c:f>
              <c:strCache>
                <c:ptCount val="1"/>
                <c:pt idx="0">
                  <c:v>ECsp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heighthalimione!$E$2:$E$12</c:f>
              <c:numCache>
                <c:formatCode>General</c:formatCode>
                <c:ptCount val="11"/>
                <c:pt idx="0">
                  <c:v>21.666666666666668</c:v>
                </c:pt>
                <c:pt idx="1">
                  <c:v>18.166666666666668</c:v>
                </c:pt>
                <c:pt idx="2">
                  <c:v>16.833333333333332</c:v>
                </c:pt>
                <c:pt idx="3">
                  <c:v>18.166666666666668</c:v>
                </c:pt>
                <c:pt idx="4">
                  <c:v>19.166666666666668</c:v>
                </c:pt>
                <c:pt idx="5">
                  <c:v>19.666666666666668</c:v>
                </c:pt>
                <c:pt idx="6">
                  <c:v>22.666666666666668</c:v>
                </c:pt>
                <c:pt idx="7">
                  <c:v>19.5</c:v>
                </c:pt>
                <c:pt idx="8">
                  <c:v>28.333333333333332</c:v>
                </c:pt>
                <c:pt idx="9">
                  <c:v>31.166666666666668</c:v>
                </c:pt>
                <c:pt idx="10">
                  <c:v>31.5</c:v>
                </c:pt>
              </c:numCache>
            </c:numRef>
          </c:xVal>
          <c:yVal>
            <c:numRef>
              <c:f>heighthalimione!$G$2:$G$12</c:f>
              <c:numCache>
                <c:formatCode>General</c:formatCode>
                <c:ptCount val="11"/>
                <c:pt idx="0">
                  <c:v>22.33</c:v>
                </c:pt>
                <c:pt idx="1">
                  <c:v>31.25</c:v>
                </c:pt>
                <c:pt idx="2">
                  <c:v>36.520000000000003</c:v>
                </c:pt>
                <c:pt idx="3">
                  <c:v>45.11</c:v>
                </c:pt>
                <c:pt idx="4">
                  <c:v>41.07</c:v>
                </c:pt>
                <c:pt idx="5">
                  <c:v>42.54</c:v>
                </c:pt>
                <c:pt idx="6">
                  <c:v>45.14</c:v>
                </c:pt>
                <c:pt idx="7">
                  <c:v>43.68</c:v>
                </c:pt>
                <c:pt idx="8">
                  <c:v>20.75</c:v>
                </c:pt>
                <c:pt idx="9">
                  <c:v>52.55</c:v>
                </c:pt>
                <c:pt idx="10">
                  <c:v>55.95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E8-4EE5-B2EC-2EDD70E0FC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0864912"/>
        <c:axId val="1974987328"/>
      </c:scatterChart>
      <c:valAx>
        <c:axId val="1980864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74987328"/>
        <c:crosses val="autoZero"/>
        <c:crossBetween val="midCat"/>
      </c:valAx>
      <c:valAx>
        <c:axId val="197498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80864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heightcarex!$F$1</c:f>
              <c:strCache>
                <c:ptCount val="1"/>
                <c:pt idx="0">
                  <c:v>ECsp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heightcarex!$E$2:$E$8</c:f>
              <c:numCache>
                <c:formatCode>General</c:formatCode>
                <c:ptCount val="7"/>
                <c:pt idx="0">
                  <c:v>25</c:v>
                </c:pt>
                <c:pt idx="1">
                  <c:v>31.166666666666668</c:v>
                </c:pt>
                <c:pt idx="2">
                  <c:v>14.333333333333334</c:v>
                </c:pt>
                <c:pt idx="3">
                  <c:v>20.666666666666668</c:v>
                </c:pt>
                <c:pt idx="4">
                  <c:v>40.666666666666664</c:v>
                </c:pt>
                <c:pt idx="5">
                  <c:v>39.666666666666664</c:v>
                </c:pt>
                <c:pt idx="6">
                  <c:v>44.166666666666664</c:v>
                </c:pt>
              </c:numCache>
            </c:numRef>
          </c:xVal>
          <c:yVal>
            <c:numRef>
              <c:f>heightcarex!$F$2:$F$8</c:f>
              <c:numCache>
                <c:formatCode>General</c:formatCode>
                <c:ptCount val="7"/>
                <c:pt idx="0">
                  <c:v>22.333016666666666</c:v>
                </c:pt>
                <c:pt idx="1">
                  <c:v>19.336616666666668</c:v>
                </c:pt>
                <c:pt idx="2">
                  <c:v>31.250333333333334</c:v>
                </c:pt>
                <c:pt idx="3">
                  <c:v>41.071866666666665</c:v>
                </c:pt>
                <c:pt idx="4">
                  <c:v>20.745908333333333</c:v>
                </c:pt>
                <c:pt idx="5">
                  <c:v>24.224683333333331</c:v>
                </c:pt>
                <c:pt idx="6">
                  <c:v>21.073166666666665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45-4ED7-8813-759FA0CB8B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3899984"/>
        <c:axId val="1854425712"/>
      </c:scatterChart>
      <c:valAx>
        <c:axId val="1843899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54425712"/>
        <c:crosses val="autoZero"/>
        <c:crossBetween val="midCat"/>
      </c:valAx>
      <c:valAx>
        <c:axId val="185442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43899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552450</xdr:colOff>
      <xdr:row>5</xdr:row>
      <xdr:rowOff>104775</xdr:rowOff>
    </xdr:from>
    <xdr:ext cx="5048250" cy="2514600"/>
    <xdr:graphicFrame macro="">
      <xdr:nvGraphicFramePr>
        <xdr:cNvPr id="2101677728" name="Chart 1" title="Graphique">
          <a:extLst>
            <a:ext uri="{FF2B5EF4-FFF2-40B4-BE49-F238E27FC236}">
              <a16:creationId xmlns:a16="http://schemas.microsoft.com/office/drawing/2014/main" id="{00000000-0008-0000-0200-0000A00E45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649552</xdr:colOff>
      <xdr:row>5</xdr:row>
      <xdr:rowOff>128058</xdr:rowOff>
    </xdr:from>
    <xdr:to>
      <xdr:col>12</xdr:col>
      <xdr:colOff>649553</xdr:colOff>
      <xdr:row>20</xdr:row>
      <xdr:rowOff>140493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9133164-B4A7-9EE0-05C6-E4484FED64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228599</xdr:colOff>
      <xdr:row>13</xdr:row>
      <xdr:rowOff>133349</xdr:rowOff>
    </xdr:from>
    <xdr:to>
      <xdr:col>6</xdr:col>
      <xdr:colOff>447674</xdr:colOff>
      <xdr:row>22</xdr:row>
      <xdr:rowOff>98424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4B642666-43CB-2C8E-940E-BF49C689C7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479425</xdr:colOff>
      <xdr:row>3</xdr:row>
      <xdr:rowOff>136525</xdr:rowOff>
    </xdr:from>
    <xdr:to>
      <xdr:col>12</xdr:col>
      <xdr:colOff>479425</xdr:colOff>
      <xdr:row>18</xdr:row>
      <xdr:rowOff>117475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1FAC3974-C649-F1B9-88F9-CE330CB828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00"/>
  <sheetViews>
    <sheetView workbookViewId="0">
      <selection activeCell="C2" sqref="C2"/>
    </sheetView>
  </sheetViews>
  <sheetFormatPr baseColWidth="10" defaultColWidth="14.453125" defaultRowHeight="15" customHeight="1"/>
  <cols>
    <col min="2" max="23" width="10.7265625" customWidth="1"/>
  </cols>
  <sheetData>
    <row r="1" spans="1:3" ht="15" customHeight="1">
      <c r="A1" s="9" t="s">
        <v>96</v>
      </c>
      <c r="B1" s="9" t="s">
        <v>0</v>
      </c>
      <c r="C1" s="9" t="s">
        <v>1</v>
      </c>
    </row>
    <row r="2" spans="1:3" ht="14.25" customHeight="1">
      <c r="A2" s="8" t="s">
        <v>97</v>
      </c>
      <c r="B2" s="1">
        <v>43.129148000000001</v>
      </c>
      <c r="C2" s="1">
        <v>3.036467</v>
      </c>
    </row>
    <row r="3" spans="1:3" ht="14.25" customHeight="1">
      <c r="A3" s="8" t="s">
        <v>98</v>
      </c>
      <c r="B3" s="1">
        <v>43.129282000000003</v>
      </c>
      <c r="C3" s="1">
        <v>3.0364309999999999</v>
      </c>
    </row>
    <row r="4" spans="1:3" ht="14.25" customHeight="1">
      <c r="A4" s="8" t="s">
        <v>99</v>
      </c>
      <c r="B4" s="1">
        <v>43.129130000000004</v>
      </c>
      <c r="C4" s="1">
        <v>3.0365319999999998</v>
      </c>
    </row>
    <row r="5" spans="1:3" ht="14.25" customHeight="1">
      <c r="A5" s="8" t="s">
        <v>100</v>
      </c>
      <c r="B5" s="1">
        <v>43.129193000000001</v>
      </c>
      <c r="C5" s="1">
        <v>3.0367510000000002</v>
      </c>
    </row>
    <row r="6" spans="1:3" ht="14.25" customHeight="1">
      <c r="A6" s="8" t="s">
        <v>101</v>
      </c>
      <c r="B6" s="1">
        <v>43.129167000000002</v>
      </c>
      <c r="C6" s="1">
        <v>3.0367959999999998</v>
      </c>
    </row>
    <row r="7" spans="1:3" ht="14.25" customHeight="1">
      <c r="A7" s="8" t="s">
        <v>102</v>
      </c>
      <c r="B7" s="1">
        <v>43.129181000000003</v>
      </c>
      <c r="C7" s="1">
        <v>3.036778</v>
      </c>
    </row>
    <row r="8" spans="1:3" ht="14.25" customHeight="1">
      <c r="A8" s="8" t="s">
        <v>103</v>
      </c>
      <c r="B8" s="1">
        <v>43.129435999999998</v>
      </c>
      <c r="C8" s="1">
        <v>3.0367540000000002</v>
      </c>
    </row>
    <row r="9" spans="1:3" ht="14.25" customHeight="1">
      <c r="A9" s="8" t="s">
        <v>104</v>
      </c>
      <c r="B9" s="1">
        <v>43.129426000000002</v>
      </c>
      <c r="C9" s="1">
        <v>3.0367829999999998</v>
      </c>
    </row>
    <row r="10" spans="1:3" ht="14.25" customHeight="1">
      <c r="A10" s="8" t="s">
        <v>105</v>
      </c>
      <c r="B10" s="1">
        <v>43.129379</v>
      </c>
      <c r="C10" s="1">
        <v>3.0367329999999999</v>
      </c>
    </row>
    <row r="11" spans="1:3" ht="14.25" customHeight="1">
      <c r="A11" s="8" t="s">
        <v>106</v>
      </c>
      <c r="B11" s="1">
        <v>43.129390000000001</v>
      </c>
      <c r="C11" s="1">
        <v>3.037315</v>
      </c>
    </row>
    <row r="12" spans="1:3" ht="14.25" customHeight="1">
      <c r="A12" s="8" t="s">
        <v>107</v>
      </c>
      <c r="B12" s="1">
        <v>43.129387000000001</v>
      </c>
      <c r="C12" s="1">
        <v>3.0373589999999999</v>
      </c>
    </row>
    <row r="13" spans="1:3" ht="14.25" customHeight="1">
      <c r="A13" s="8" t="s">
        <v>108</v>
      </c>
      <c r="B13" s="1">
        <v>43.129328999999998</v>
      </c>
      <c r="C13" s="1">
        <v>3.0373269999999999</v>
      </c>
    </row>
    <row r="14" spans="1:3" ht="14.25" customHeight="1">
      <c r="A14" s="8" t="s">
        <v>109</v>
      </c>
      <c r="B14" s="1">
        <v>43.129562</v>
      </c>
      <c r="C14" s="1">
        <v>3.037712</v>
      </c>
    </row>
    <row r="15" spans="1:3" ht="14.25" customHeight="1">
      <c r="A15" s="8" t="s">
        <v>110</v>
      </c>
      <c r="B15" s="1">
        <v>43.129567000000002</v>
      </c>
      <c r="C15" s="1">
        <v>3.0377040000000002</v>
      </c>
    </row>
    <row r="16" spans="1:3" ht="14.25" customHeight="1">
      <c r="A16" s="8" t="s">
        <v>111</v>
      </c>
      <c r="B16" s="1">
        <v>43.129579999999997</v>
      </c>
      <c r="C16" s="1">
        <v>3.0376629999999998</v>
      </c>
    </row>
    <row r="17" spans="1:3" ht="14.25" customHeight="1">
      <c r="A17" s="8" t="s">
        <v>112</v>
      </c>
      <c r="B17" s="1">
        <v>43.128805</v>
      </c>
      <c r="C17" s="1">
        <v>3.0379019999999999</v>
      </c>
    </row>
    <row r="18" spans="1:3" ht="14.25" customHeight="1">
      <c r="A18" s="8" t="s">
        <v>113</v>
      </c>
      <c r="B18" s="1">
        <v>43.128763999999997</v>
      </c>
      <c r="C18" s="1">
        <v>3.0378769999999999</v>
      </c>
    </row>
    <row r="19" spans="1:3" ht="14.25" customHeight="1">
      <c r="A19" s="8" t="s">
        <v>114</v>
      </c>
      <c r="B19" s="1">
        <v>43.128850999999997</v>
      </c>
      <c r="C19" s="1">
        <v>3.0377489999999998</v>
      </c>
    </row>
    <row r="20" spans="1:3" ht="14.25" customHeight="1"/>
    <row r="21" spans="1:3" ht="14.25" customHeight="1"/>
    <row r="22" spans="1:3" ht="14.25" customHeight="1"/>
    <row r="23" spans="1:3" ht="14.25" customHeight="1"/>
    <row r="24" spans="1:3" ht="14.25" customHeight="1"/>
    <row r="25" spans="1:3" ht="14.25" customHeight="1"/>
    <row r="26" spans="1:3" ht="14.25" customHeight="1"/>
    <row r="27" spans="1:3" ht="14.25" customHeight="1"/>
    <row r="28" spans="1:3" ht="14.25" customHeight="1"/>
    <row r="29" spans="1:3" ht="14.25" customHeight="1"/>
    <row r="30" spans="1:3" ht="14.25" customHeight="1"/>
    <row r="31" spans="1:3" ht="14.25" customHeight="1"/>
    <row r="32" spans="1:3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8AB5D-2AD6-41D0-B1CA-200DE7FFD98D}">
  <dimension ref="A1:O12"/>
  <sheetViews>
    <sheetView workbookViewId="0">
      <selection activeCell="B16" sqref="B16"/>
    </sheetView>
  </sheetViews>
  <sheetFormatPr baseColWidth="10" defaultRowHeight="14.5"/>
  <sheetData>
    <row r="1" spans="1:15" ht="14.25" customHeight="1">
      <c r="A1" s="4" t="s">
        <v>67</v>
      </c>
      <c r="B1" s="4" t="s">
        <v>87</v>
      </c>
      <c r="C1" s="4" t="s">
        <v>93</v>
      </c>
      <c r="D1" s="4" t="s">
        <v>92</v>
      </c>
      <c r="E1" s="4" t="s">
        <v>91</v>
      </c>
      <c r="F1" s="4" t="s">
        <v>94</v>
      </c>
      <c r="G1" s="4" t="s">
        <v>121</v>
      </c>
    </row>
    <row r="2" spans="1:15" ht="14.25" customHeight="1">
      <c r="A2" s="8" t="s">
        <v>115</v>
      </c>
      <c r="B2" s="1" t="s">
        <v>88</v>
      </c>
      <c r="C2" s="1" t="s">
        <v>76</v>
      </c>
      <c r="D2" s="1">
        <f>AVERAGE(60,80,85,80)</f>
        <v>76.25</v>
      </c>
      <c r="E2" s="1">
        <f>AVERAGE(20,27,22,27,18,16)</f>
        <v>21.666666666666668</v>
      </c>
      <c r="F2">
        <f>AVERAGE(D2:D3)</f>
        <v>58.125</v>
      </c>
      <c r="G2">
        <v>22.33</v>
      </c>
      <c r="I2" t="s">
        <v>95</v>
      </c>
      <c r="J2" s="1">
        <f>AVERAGE(70,75,60,70)</f>
        <v>68.75</v>
      </c>
      <c r="K2" s="1">
        <f>AVERAGE(37,39,38,42,35,47)</f>
        <v>39.666666666666664</v>
      </c>
    </row>
    <row r="3" spans="1:15" ht="14.25" customHeight="1">
      <c r="A3" s="8" t="s">
        <v>115</v>
      </c>
      <c r="B3" s="1" t="s">
        <v>90</v>
      </c>
      <c r="C3" s="1" t="s">
        <v>76</v>
      </c>
      <c r="D3" s="1">
        <f>AVERAGE(25,55,40,40)</f>
        <v>40</v>
      </c>
      <c r="E3" s="1">
        <f>AVERAGE(12,24,12,11,26,24)</f>
        <v>18.166666666666668</v>
      </c>
      <c r="G3">
        <v>31.25</v>
      </c>
      <c r="I3" t="str">
        <f>I2</f>
        <v>salicornia</v>
      </c>
      <c r="J3" s="1">
        <f>AVERAGE(25,20,25,20)</f>
        <v>22.5</v>
      </c>
      <c r="K3" s="1">
        <f>AVERAGE(40,52,41,35,33,40)</f>
        <v>40.166666666666664</v>
      </c>
    </row>
    <row r="4" spans="1:15" ht="14.25" customHeight="1">
      <c r="A4" s="8" t="s">
        <v>116</v>
      </c>
      <c r="B4" s="1" t="s">
        <v>88</v>
      </c>
      <c r="C4" s="1" t="s">
        <v>76</v>
      </c>
      <c r="D4" s="1">
        <f>AVERAGE(85,95,80,80)</f>
        <v>85</v>
      </c>
      <c r="E4" s="1">
        <f>AVERAGE(15,18,23,11,20,14)</f>
        <v>16.833333333333332</v>
      </c>
      <c r="F4" s="1">
        <f>AVERAGE(D4:D6)</f>
        <v>84</v>
      </c>
      <c r="G4" s="1">
        <v>36.520000000000003</v>
      </c>
      <c r="H4" s="1"/>
      <c r="I4" t="str">
        <f t="shared" ref="I4:I10" si="0">I3</f>
        <v>salicornia</v>
      </c>
      <c r="J4" s="1">
        <f>AVERAGE(25,12,20,15)</f>
        <v>18</v>
      </c>
      <c r="K4" s="1">
        <f>AVERAGE(25,38,31,35,38,40)</f>
        <v>34.5</v>
      </c>
      <c r="L4" s="1"/>
    </row>
    <row r="5" spans="1:15" ht="14.25" customHeight="1">
      <c r="A5" s="8" t="s">
        <v>116</v>
      </c>
      <c r="B5" t="s">
        <v>89</v>
      </c>
      <c r="C5" s="1" t="s">
        <v>76</v>
      </c>
      <c r="D5" s="1">
        <f>AVERAGE(90,78,95,82)</f>
        <v>86.25</v>
      </c>
      <c r="E5" s="1">
        <f>AVERAGE(22,18,17,21,16,15)</f>
        <v>18.166666666666668</v>
      </c>
      <c r="F5" s="1"/>
      <c r="G5" s="8">
        <v>45.11</v>
      </c>
      <c r="H5" s="1"/>
      <c r="I5" t="str">
        <f t="shared" si="0"/>
        <v>salicornia</v>
      </c>
      <c r="J5" s="1">
        <f>AVERAGE(70,65,85,65)</f>
        <v>71.25</v>
      </c>
      <c r="K5" s="1">
        <f>AVERAGE(52,48,45,40,43,48)</f>
        <v>46</v>
      </c>
      <c r="L5" s="1"/>
    </row>
    <row r="6" spans="1:15" ht="14.25" customHeight="1">
      <c r="A6" s="8" t="s">
        <v>116</v>
      </c>
      <c r="B6" t="s">
        <v>90</v>
      </c>
      <c r="C6" s="1" t="s">
        <v>76</v>
      </c>
      <c r="D6" s="1">
        <f>AVERAGE(83,80,80,80)</f>
        <v>80.75</v>
      </c>
      <c r="E6" s="1">
        <f>AVERAGE(27,18,20,18,16,16)</f>
        <v>19.166666666666668</v>
      </c>
      <c r="F6" s="1"/>
      <c r="G6" s="8">
        <v>41.07</v>
      </c>
      <c r="H6" s="1"/>
      <c r="I6" t="str">
        <f t="shared" si="0"/>
        <v>salicornia</v>
      </c>
      <c r="J6" s="1">
        <f>AVERAGE(99,90,97,90)</f>
        <v>94</v>
      </c>
      <c r="K6" s="1">
        <f>AVERAGE(33,48,33,39,24,38)</f>
        <v>35.833333333333336</v>
      </c>
      <c r="L6" s="1"/>
      <c r="M6" s="1"/>
      <c r="N6" s="1"/>
      <c r="O6" s="1"/>
    </row>
    <row r="7" spans="1:15">
      <c r="A7" s="8" t="s">
        <v>117</v>
      </c>
      <c r="B7" t="s">
        <v>88</v>
      </c>
      <c r="C7" s="1" t="s">
        <v>76</v>
      </c>
      <c r="D7" s="1">
        <f>AVERAGE(29,20,20,25)</f>
        <v>23.5</v>
      </c>
      <c r="E7" s="1">
        <f>AVERAGE(29,17,28,15,19,10)</f>
        <v>19.666666666666668</v>
      </c>
      <c r="F7">
        <f>AVERAGE(E7:E9)</f>
        <v>20.611111111111111</v>
      </c>
      <c r="G7" s="8">
        <v>42.54</v>
      </c>
      <c r="I7" t="str">
        <f t="shared" si="0"/>
        <v>salicornia</v>
      </c>
      <c r="J7" s="1">
        <f>AVERAGE(80,60,87,65)</f>
        <v>73</v>
      </c>
      <c r="K7" s="1">
        <f>AVERAGE(77,46,81,58,63,69)</f>
        <v>65.666666666666671</v>
      </c>
    </row>
    <row r="8" spans="1:15" ht="14.25" customHeight="1">
      <c r="A8" s="8" t="s">
        <v>117</v>
      </c>
      <c r="B8" t="s">
        <v>89</v>
      </c>
      <c r="C8" s="1" t="s">
        <v>76</v>
      </c>
      <c r="D8" s="1">
        <f>AVERAGE(100,100,100,100)</f>
        <v>100</v>
      </c>
      <c r="E8" s="1">
        <f>AVERAGE(21,23,24,13,12,43)</f>
        <v>22.666666666666668</v>
      </c>
      <c r="F8" s="1"/>
      <c r="G8" s="8">
        <v>45.14</v>
      </c>
      <c r="H8" s="1"/>
      <c r="I8" t="str">
        <f t="shared" si="0"/>
        <v>salicornia</v>
      </c>
      <c r="J8" s="1">
        <f>AVERAGE(98,63,99,70)</f>
        <v>82.5</v>
      </c>
      <c r="K8" s="1">
        <f>AVERAGE(10,18,30,27,31,54)</f>
        <v>28.333333333333332</v>
      </c>
      <c r="L8" s="1"/>
    </row>
    <row r="9" spans="1:15" ht="14.25" customHeight="1">
      <c r="A9" s="8" t="s">
        <v>117</v>
      </c>
      <c r="B9" t="s">
        <v>90</v>
      </c>
      <c r="C9" s="1" t="s">
        <v>76</v>
      </c>
      <c r="D9" s="1">
        <f>AVERAGE(70,50,65,60)</f>
        <v>61.25</v>
      </c>
      <c r="E9" s="1">
        <f>AVERAGE(17,17,21,16,26,20)</f>
        <v>19.5</v>
      </c>
      <c r="F9" s="1"/>
      <c r="G9" s="8">
        <v>43.68</v>
      </c>
      <c r="H9" s="1"/>
      <c r="I9" t="str">
        <f t="shared" si="0"/>
        <v>salicornia</v>
      </c>
      <c r="J9" s="1">
        <f>AVERAGE(97,95,99,95)</f>
        <v>96.5</v>
      </c>
      <c r="K9" s="1">
        <f>AVERAGE(24,22,36,31,26,27)</f>
        <v>27.666666666666668</v>
      </c>
      <c r="L9" s="1"/>
      <c r="M9" s="1"/>
      <c r="N9" s="1"/>
      <c r="O9" s="1"/>
    </row>
    <row r="10" spans="1:15">
      <c r="A10" s="8" t="s">
        <v>118</v>
      </c>
      <c r="B10" t="s">
        <v>88</v>
      </c>
      <c r="C10" s="1" t="s">
        <v>76</v>
      </c>
      <c r="D10" s="1">
        <f>AVERAGE(30,40,20,35)</f>
        <v>31.25</v>
      </c>
      <c r="E10" s="1">
        <f>AVERAGE(24,29,18,32,25,42)</f>
        <v>28.333333333333332</v>
      </c>
      <c r="F10">
        <f>AVERAGE(E10)</f>
        <v>28.333333333333332</v>
      </c>
      <c r="G10" s="8">
        <v>20.75</v>
      </c>
      <c r="I10" t="str">
        <f t="shared" si="0"/>
        <v>salicornia</v>
      </c>
      <c r="J10" s="1">
        <f>AVERAGE(99,98,99,98)</f>
        <v>98.5</v>
      </c>
      <c r="K10" s="1">
        <f>AVERAGE(19,16,17,21,17,23)</f>
        <v>18.833333333333332</v>
      </c>
    </row>
    <row r="11" spans="1:15">
      <c r="A11" s="8" t="s">
        <v>119</v>
      </c>
      <c r="B11" t="s">
        <v>88</v>
      </c>
      <c r="C11" s="1" t="s">
        <v>76</v>
      </c>
      <c r="D11" s="1">
        <f>AVERAGE(30,20,15,30)</f>
        <v>23.75</v>
      </c>
      <c r="E11" s="1">
        <f>AVERAGE(32,40,25,27,37,26)</f>
        <v>31.166666666666668</v>
      </c>
      <c r="F11">
        <f>AVERAGE(E11:E12)</f>
        <v>31.333333333333336</v>
      </c>
      <c r="G11" s="8">
        <v>52.55</v>
      </c>
    </row>
    <row r="12" spans="1:15">
      <c r="A12" s="8" t="s">
        <v>119</v>
      </c>
      <c r="B12" t="s">
        <v>90</v>
      </c>
      <c r="C12" s="1" t="s">
        <v>76</v>
      </c>
      <c r="D12" s="1">
        <f>AVERAGE(20,40,13,35)</f>
        <v>27</v>
      </c>
      <c r="E12" s="1">
        <f>AVERAGE(35,33,39,29,27,26)</f>
        <v>31.5</v>
      </c>
      <c r="G12" s="8">
        <v>55.95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F1D03-4BD9-4CF9-B13C-C5314E88A701}">
  <dimension ref="A1:K8"/>
  <sheetViews>
    <sheetView topLeftCell="E1" workbookViewId="0">
      <selection activeCell="F2" sqref="F2"/>
    </sheetView>
  </sheetViews>
  <sheetFormatPr baseColWidth="10" defaultRowHeight="14.5"/>
  <sheetData>
    <row r="1" spans="1:11" ht="14.25" customHeight="1">
      <c r="A1" s="4" t="s">
        <v>67</v>
      </c>
      <c r="B1" s="4" t="s">
        <v>87</v>
      </c>
      <c r="C1" s="4" t="s">
        <v>93</v>
      </c>
      <c r="D1" s="4" t="s">
        <v>92</v>
      </c>
      <c r="E1" s="4" t="s">
        <v>91</v>
      </c>
      <c r="F1" s="4" t="s">
        <v>121</v>
      </c>
      <c r="G1" s="4"/>
      <c r="H1" s="5"/>
      <c r="I1" s="4"/>
      <c r="J1" s="4"/>
      <c r="K1" s="6"/>
    </row>
    <row r="2" spans="1:11">
      <c r="A2" t="s">
        <v>115</v>
      </c>
      <c r="B2" t="s">
        <v>88</v>
      </c>
      <c r="C2" s="1" t="s">
        <v>78</v>
      </c>
      <c r="D2" s="1">
        <f>AVERAGE(12,15,8,10)</f>
        <v>11.25</v>
      </c>
      <c r="E2" s="1">
        <f>AVERAGE(23,23,28,26,26,24)</f>
        <v>25</v>
      </c>
      <c r="F2">
        <v>22.333016666666666</v>
      </c>
    </row>
    <row r="3" spans="1:11">
      <c r="A3" t="s">
        <v>115</v>
      </c>
      <c r="B3" t="s">
        <v>89</v>
      </c>
      <c r="C3" s="8" t="s">
        <v>78</v>
      </c>
      <c r="D3" s="1">
        <f>AVERAGE(70,85,85)</f>
        <v>80</v>
      </c>
      <c r="E3" s="1">
        <f>AVERAGE(38,31,20,32,26,40)</f>
        <v>31.166666666666668</v>
      </c>
      <c r="F3">
        <v>19.336616666666668</v>
      </c>
    </row>
    <row r="4" spans="1:11">
      <c r="A4" t="s">
        <v>115</v>
      </c>
      <c r="B4" t="s">
        <v>90</v>
      </c>
      <c r="C4" s="1" t="s">
        <v>78</v>
      </c>
      <c r="D4" s="1">
        <f>AVERAGE(60,40,15,35)</f>
        <v>37.5</v>
      </c>
      <c r="E4" s="1">
        <f>AVERAGE(23,21,7,7,13,15)</f>
        <v>14.333333333333334</v>
      </c>
      <c r="F4">
        <v>31.250333333333334</v>
      </c>
    </row>
    <row r="5" spans="1:11">
      <c r="A5" t="s">
        <v>116</v>
      </c>
      <c r="B5" t="s">
        <v>90</v>
      </c>
      <c r="C5" s="8" t="s">
        <v>78</v>
      </c>
      <c r="D5" s="1">
        <f>AVERAGE(15,10,15,15)</f>
        <v>13.75</v>
      </c>
      <c r="E5" s="1">
        <f>AVERAGE(16,11,12,24,20,41)</f>
        <v>20.666666666666668</v>
      </c>
      <c r="F5">
        <v>41.071866666666665</v>
      </c>
    </row>
    <row r="6" spans="1:11">
      <c r="A6" t="s">
        <v>118</v>
      </c>
      <c r="B6" t="s">
        <v>88</v>
      </c>
      <c r="C6" s="1" t="s">
        <v>78</v>
      </c>
      <c r="D6" s="1">
        <f>AVERAGE(33,40,50,40)</f>
        <v>40.75</v>
      </c>
      <c r="E6" s="1">
        <f>AVERAGE(51,41,44,46,25,37)</f>
        <v>40.666666666666664</v>
      </c>
      <c r="F6">
        <v>20.745908333333333</v>
      </c>
    </row>
    <row r="7" spans="1:11">
      <c r="A7" t="s">
        <v>118</v>
      </c>
      <c r="B7" t="s">
        <v>89</v>
      </c>
      <c r="C7" s="1" t="s">
        <v>78</v>
      </c>
      <c r="D7" s="1">
        <f>AVERAGE(70,80,85,70)</f>
        <v>76.25</v>
      </c>
      <c r="E7" s="1">
        <f>AVERAGE(43,37,27,42,37,52)</f>
        <v>39.666666666666664</v>
      </c>
      <c r="F7">
        <v>24.224683333333331</v>
      </c>
    </row>
    <row r="8" spans="1:11">
      <c r="A8" t="s">
        <v>118</v>
      </c>
      <c r="B8" t="s">
        <v>90</v>
      </c>
      <c r="C8" s="1" t="s">
        <v>78</v>
      </c>
      <c r="D8" s="1">
        <f>AVERAGE(50,75,85,70)</f>
        <v>70</v>
      </c>
      <c r="E8" s="1">
        <f>AVERAGE(63,37,33,49,39,44)</f>
        <v>44.166666666666664</v>
      </c>
      <c r="F8">
        <v>21.073166666666665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AE9C5-4222-43F4-ADF6-F0A8B5FC0F33}">
  <dimension ref="A1:S6"/>
  <sheetViews>
    <sheetView workbookViewId="0">
      <selection activeCell="D10" sqref="D10"/>
    </sheetView>
  </sheetViews>
  <sheetFormatPr baseColWidth="10" defaultRowHeight="14.5"/>
  <sheetData>
    <row r="1" spans="1:19" ht="15" thickBot="1">
      <c r="A1" s="11" t="s">
        <v>122</v>
      </c>
      <c r="B1" s="11" t="s">
        <v>123</v>
      </c>
      <c r="C1" s="11" t="s">
        <v>124</v>
      </c>
      <c r="D1" s="11" t="s">
        <v>125</v>
      </c>
      <c r="E1" s="11" t="s">
        <v>123</v>
      </c>
      <c r="F1" s="11" t="s">
        <v>124</v>
      </c>
      <c r="G1" s="11" t="s">
        <v>125</v>
      </c>
      <c r="H1" s="11" t="s">
        <v>123</v>
      </c>
      <c r="I1" s="11" t="s">
        <v>124</v>
      </c>
      <c r="J1" s="11" t="s">
        <v>125</v>
      </c>
      <c r="K1" s="11" t="s">
        <v>123</v>
      </c>
      <c r="L1" s="11" t="s">
        <v>124</v>
      </c>
      <c r="M1" s="11" t="s">
        <v>125</v>
      </c>
      <c r="N1" s="11" t="s">
        <v>123</v>
      </c>
      <c r="O1" s="11" t="s">
        <v>124</v>
      </c>
      <c r="P1" s="11" t="s">
        <v>125</v>
      </c>
      <c r="Q1" s="11" t="s">
        <v>123</v>
      </c>
      <c r="R1" s="11" t="s">
        <v>124</v>
      </c>
      <c r="S1" s="11" t="s">
        <v>125</v>
      </c>
    </row>
    <row r="2" spans="1:19" ht="15" thickBot="1">
      <c r="A2" s="12" t="s">
        <v>126</v>
      </c>
      <c r="B2" s="13">
        <v>74.34375</v>
      </c>
      <c r="C2" s="13">
        <v>0</v>
      </c>
      <c r="D2" s="13">
        <v>27.5</v>
      </c>
      <c r="E2" s="13">
        <v>79.6875</v>
      </c>
      <c r="F2" s="13">
        <v>77.193749999999994</v>
      </c>
      <c r="G2" s="13">
        <v>72.674999999999997</v>
      </c>
      <c r="H2" s="13">
        <v>21.561250000000001</v>
      </c>
      <c r="I2" s="13">
        <v>94</v>
      </c>
      <c r="J2" s="13">
        <v>50.071874999999999</v>
      </c>
      <c r="K2" s="13">
        <v>30.703125</v>
      </c>
      <c r="L2" s="13">
        <v>0</v>
      </c>
      <c r="M2" s="13">
        <v>0</v>
      </c>
      <c r="N2" s="13">
        <v>22.265625</v>
      </c>
      <c r="O2" s="13">
        <v>0</v>
      </c>
      <c r="P2" s="13">
        <v>26.662500000000001</v>
      </c>
      <c r="Q2" s="13">
        <v>0</v>
      </c>
      <c r="R2" s="13">
        <v>0</v>
      </c>
      <c r="S2" s="13">
        <v>0</v>
      </c>
    </row>
    <row r="3" spans="1:19" ht="15" thickBot="1">
      <c r="A3" s="12" t="s">
        <v>127</v>
      </c>
      <c r="B3" s="13">
        <v>0</v>
      </c>
      <c r="C3" s="13">
        <v>0</v>
      </c>
      <c r="D3" s="13">
        <v>0</v>
      </c>
      <c r="E3" s="13">
        <v>0</v>
      </c>
      <c r="F3" s="13">
        <v>0</v>
      </c>
      <c r="G3" s="13">
        <v>0</v>
      </c>
      <c r="H3" s="13">
        <v>63.078125</v>
      </c>
      <c r="I3" s="13">
        <v>0</v>
      </c>
      <c r="J3" s="13">
        <v>18.393750000000001</v>
      </c>
      <c r="K3" s="13">
        <v>17.684999999999999</v>
      </c>
      <c r="L3" s="13">
        <v>0</v>
      </c>
      <c r="M3" s="13">
        <v>0</v>
      </c>
      <c r="N3" s="13">
        <v>66.796875</v>
      </c>
      <c r="O3" s="13">
        <v>86.715000000000003</v>
      </c>
      <c r="P3" s="13">
        <v>72.087500000000006</v>
      </c>
      <c r="Q3" s="13">
        <v>60.84375</v>
      </c>
      <c r="R3" s="13">
        <v>39.806249999999999</v>
      </c>
      <c r="S3" s="13">
        <v>44.325000000000003</v>
      </c>
    </row>
    <row r="4" spans="1:19" ht="15" thickBot="1">
      <c r="A4" s="12" t="s">
        <v>79</v>
      </c>
      <c r="B4" s="13">
        <v>10.96875</v>
      </c>
      <c r="C4" s="13">
        <v>80</v>
      </c>
      <c r="D4" s="13">
        <v>25.78125</v>
      </c>
      <c r="E4" s="13">
        <v>0</v>
      </c>
      <c r="F4" s="13">
        <v>0</v>
      </c>
      <c r="G4" s="13">
        <v>12.375</v>
      </c>
      <c r="H4" s="13">
        <v>0</v>
      </c>
      <c r="I4" s="13">
        <v>0</v>
      </c>
      <c r="J4" s="13">
        <v>0</v>
      </c>
      <c r="K4" s="13">
        <v>40.036875000000002</v>
      </c>
      <c r="L4" s="13">
        <v>75.678124999999994</v>
      </c>
      <c r="M4" s="13">
        <v>69.474999999999994</v>
      </c>
      <c r="N4" s="13">
        <v>0</v>
      </c>
      <c r="O4" s="13">
        <v>0</v>
      </c>
      <c r="P4" s="13">
        <v>0</v>
      </c>
      <c r="Q4" s="13">
        <v>0</v>
      </c>
      <c r="R4" s="13">
        <v>0</v>
      </c>
      <c r="S4" s="13">
        <v>0</v>
      </c>
    </row>
    <row r="5" spans="1:19" ht="15" thickBot="1">
      <c r="A5" s="12" t="s">
        <v>128</v>
      </c>
      <c r="B5" s="13">
        <v>8.53125</v>
      </c>
      <c r="C5" s="13">
        <v>7</v>
      </c>
      <c r="D5" s="13">
        <v>0</v>
      </c>
      <c r="E5" s="13">
        <v>0</v>
      </c>
      <c r="F5" s="13">
        <v>0</v>
      </c>
      <c r="G5" s="13">
        <v>0</v>
      </c>
      <c r="H5" s="13">
        <v>0</v>
      </c>
      <c r="I5" s="13">
        <v>0</v>
      </c>
      <c r="J5" s="13">
        <v>0</v>
      </c>
      <c r="K5" s="13">
        <v>8.5150000000000006</v>
      </c>
      <c r="L5" s="13">
        <v>21.090624999999999</v>
      </c>
      <c r="M5" s="13">
        <v>25.30875</v>
      </c>
      <c r="N5" s="13">
        <v>0</v>
      </c>
      <c r="O5" s="13">
        <v>0</v>
      </c>
      <c r="P5" s="13">
        <v>0</v>
      </c>
      <c r="Q5" s="13">
        <v>0</v>
      </c>
      <c r="R5" s="13">
        <v>0</v>
      </c>
      <c r="S5" s="13">
        <v>0</v>
      </c>
    </row>
    <row r="6" spans="1:19" ht="15" thickBot="1">
      <c r="A6" s="14" t="s">
        <v>129</v>
      </c>
      <c r="B6" s="13">
        <v>3.65625</v>
      </c>
      <c r="C6" s="13">
        <v>13</v>
      </c>
      <c r="D6" s="13">
        <v>15.46875</v>
      </c>
      <c r="E6" s="13">
        <v>14.0625</v>
      </c>
      <c r="F6" s="13">
        <v>12.30625</v>
      </c>
      <c r="G6" s="13">
        <v>4.95</v>
      </c>
      <c r="H6" s="13">
        <v>7.1106249999999998</v>
      </c>
      <c r="I6" s="13">
        <v>0</v>
      </c>
      <c r="J6" s="13">
        <v>13.284375000000001</v>
      </c>
      <c r="K6" s="13">
        <v>1.31</v>
      </c>
      <c r="L6" s="13">
        <v>2.4812500000000002</v>
      </c>
      <c r="M6" s="13">
        <v>4.4662499999999996</v>
      </c>
      <c r="N6" s="13">
        <v>4.6875</v>
      </c>
      <c r="O6" s="13">
        <v>5.5350000000000001</v>
      </c>
      <c r="P6" s="13">
        <v>0</v>
      </c>
      <c r="Q6" s="13">
        <v>12.90625</v>
      </c>
      <c r="R6" s="13">
        <v>1.4437500000000001</v>
      </c>
      <c r="S6" s="13">
        <v>0.67500000000000004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D893AE-38E2-4179-A377-DC3F96C968D4}">
  <dimension ref="A1:G6"/>
  <sheetViews>
    <sheetView workbookViewId="0">
      <selection activeCell="H13" sqref="H13"/>
    </sheetView>
  </sheetViews>
  <sheetFormatPr baseColWidth="10" defaultRowHeight="14.5"/>
  <sheetData>
    <row r="1" spans="1:7" ht="15" thickBot="1">
      <c r="A1" s="11" t="s">
        <v>122</v>
      </c>
      <c r="B1" s="15" t="s">
        <v>130</v>
      </c>
      <c r="C1" s="15" t="s">
        <v>131</v>
      </c>
      <c r="D1" s="15" t="s">
        <v>132</v>
      </c>
      <c r="E1" s="15" t="s">
        <v>133</v>
      </c>
      <c r="F1" s="15" t="s">
        <v>134</v>
      </c>
      <c r="G1" s="15" t="s">
        <v>135</v>
      </c>
    </row>
    <row r="2" spans="1:7" ht="15" thickBot="1">
      <c r="A2" s="12" t="s">
        <v>126</v>
      </c>
      <c r="B2" s="16">
        <v>33.9479167</v>
      </c>
      <c r="C2" s="16">
        <v>76.518749999999997</v>
      </c>
      <c r="D2" s="16">
        <v>55.211041700000003</v>
      </c>
      <c r="E2" s="16">
        <v>10.234375</v>
      </c>
      <c r="F2" s="16">
        <v>16.309374999999999</v>
      </c>
      <c r="G2" s="16">
        <v>0</v>
      </c>
    </row>
    <row r="3" spans="1:7" ht="15" thickBot="1">
      <c r="A3" s="12" t="s">
        <v>127</v>
      </c>
      <c r="B3" s="16">
        <v>0</v>
      </c>
      <c r="C3" s="16">
        <v>0</v>
      </c>
      <c r="D3" s="16">
        <v>27.157291699999998</v>
      </c>
      <c r="E3" s="16">
        <v>5.8949999999999996</v>
      </c>
      <c r="F3" s="16">
        <v>75.199791700000006</v>
      </c>
      <c r="G3" s="16">
        <v>48.325000000000003</v>
      </c>
    </row>
    <row r="4" spans="1:7" ht="15" thickBot="1">
      <c r="A4" s="12" t="s">
        <v>79</v>
      </c>
      <c r="B4" s="16">
        <v>38.9166667</v>
      </c>
      <c r="C4" s="16">
        <v>4.125</v>
      </c>
      <c r="D4" s="16">
        <v>0</v>
      </c>
      <c r="E4" s="16">
        <v>61.73</v>
      </c>
      <c r="F4" s="16">
        <v>0</v>
      </c>
      <c r="G4" s="16">
        <v>0</v>
      </c>
    </row>
    <row r="5" spans="1:7" ht="15" thickBot="1">
      <c r="A5" s="12" t="s">
        <v>128</v>
      </c>
      <c r="B5" s="16">
        <v>5.1770833300000003</v>
      </c>
      <c r="C5" s="16">
        <v>0</v>
      </c>
      <c r="D5" s="16">
        <v>0</v>
      </c>
      <c r="E5" s="16">
        <v>18.304791699999999</v>
      </c>
      <c r="F5" s="16">
        <v>0</v>
      </c>
      <c r="G5" s="16">
        <v>0</v>
      </c>
    </row>
    <row r="6" spans="1:7" ht="15" thickBot="1">
      <c r="A6" s="14" t="s">
        <v>129</v>
      </c>
      <c r="B6" s="16">
        <v>10.70833333</v>
      </c>
      <c r="C6" s="16">
        <v>10.43958333</v>
      </c>
      <c r="D6" s="16">
        <v>6.7983333330000004</v>
      </c>
      <c r="E6" s="16">
        <v>2.7524999999999999</v>
      </c>
      <c r="F6" s="16">
        <v>3.4075000000000002</v>
      </c>
      <c r="G6" s="16">
        <v>5.0083333330000004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56A6E-9494-4E7F-89EF-BABAC2156E55}">
  <dimension ref="A1:BE50"/>
  <sheetViews>
    <sheetView tabSelected="1" topLeftCell="A2" workbookViewId="0">
      <selection activeCell="C20" sqref="C20"/>
    </sheetView>
  </sheetViews>
  <sheetFormatPr baseColWidth="10" defaultRowHeight="14.5"/>
  <sheetData>
    <row r="1" spans="1:57" ht="29.5" thickBot="1">
      <c r="A1" s="17" t="s">
        <v>67</v>
      </c>
      <c r="B1" s="17" t="s">
        <v>203</v>
      </c>
      <c r="C1" s="17" t="s">
        <v>204</v>
      </c>
      <c r="D1" s="17" t="s">
        <v>202</v>
      </c>
      <c r="E1" s="17" t="s">
        <v>68</v>
      </c>
      <c r="F1" s="17" t="s">
        <v>69</v>
      </c>
      <c r="G1" s="17" t="s">
        <v>70</v>
      </c>
      <c r="H1" s="17" t="s">
        <v>71</v>
      </c>
      <c r="I1" s="17" t="s">
        <v>72</v>
      </c>
      <c r="J1" s="18" t="s">
        <v>136</v>
      </c>
      <c r="K1" s="18" t="s">
        <v>137</v>
      </c>
      <c r="L1" s="18" t="s">
        <v>138</v>
      </c>
      <c r="M1" s="18" t="s">
        <v>139</v>
      </c>
      <c r="N1" s="18" t="s">
        <v>140</v>
      </c>
      <c r="O1" s="18" t="s">
        <v>141</v>
      </c>
      <c r="P1" s="18" t="s">
        <v>142</v>
      </c>
      <c r="Q1" s="18" t="s">
        <v>143</v>
      </c>
      <c r="R1" s="18" t="s">
        <v>144</v>
      </c>
      <c r="S1" s="18" t="s">
        <v>145</v>
      </c>
      <c r="T1" s="18" t="s">
        <v>146</v>
      </c>
      <c r="U1" s="18" t="s">
        <v>147</v>
      </c>
      <c r="V1" s="18" t="s">
        <v>148</v>
      </c>
      <c r="W1" s="18" t="s">
        <v>149</v>
      </c>
      <c r="X1" s="18" t="s">
        <v>150</v>
      </c>
      <c r="Y1" s="18" t="s">
        <v>151</v>
      </c>
      <c r="Z1" s="18" t="s">
        <v>152</v>
      </c>
      <c r="AA1" s="18" t="s">
        <v>153</v>
      </c>
      <c r="AB1" s="18" t="s">
        <v>154</v>
      </c>
      <c r="AC1" s="18" t="s">
        <v>155</v>
      </c>
      <c r="AD1" s="18" t="s">
        <v>156</v>
      </c>
      <c r="AE1" s="18" t="s">
        <v>157</v>
      </c>
      <c r="AF1" s="18" t="s">
        <v>158</v>
      </c>
      <c r="AG1" s="18" t="s">
        <v>159</v>
      </c>
      <c r="AH1" s="18" t="s">
        <v>160</v>
      </c>
      <c r="AI1" s="18" t="s">
        <v>161</v>
      </c>
      <c r="AJ1" s="18" t="s">
        <v>162</v>
      </c>
      <c r="AK1" s="18" t="s">
        <v>163</v>
      </c>
      <c r="AL1" s="18" t="s">
        <v>164</v>
      </c>
      <c r="AM1" s="18" t="s">
        <v>165</v>
      </c>
      <c r="AN1" s="18" t="s">
        <v>166</v>
      </c>
      <c r="AO1" s="18" t="s">
        <v>167</v>
      </c>
      <c r="AP1" s="18" t="s">
        <v>168</v>
      </c>
      <c r="AQ1" s="18" t="s">
        <v>169</v>
      </c>
      <c r="AR1" s="18" t="s">
        <v>170</v>
      </c>
      <c r="AS1" s="18" t="s">
        <v>171</v>
      </c>
      <c r="AT1" s="18" t="s">
        <v>172</v>
      </c>
      <c r="AU1" s="18" t="s">
        <v>173</v>
      </c>
      <c r="AV1" s="18" t="s">
        <v>174</v>
      </c>
      <c r="AW1" s="18" t="s">
        <v>175</v>
      </c>
      <c r="AX1" s="18" t="s">
        <v>176</v>
      </c>
      <c r="AY1" s="18" t="s">
        <v>177</v>
      </c>
      <c r="AZ1" s="18" t="s">
        <v>178</v>
      </c>
      <c r="BA1" s="18" t="s">
        <v>179</v>
      </c>
      <c r="BB1" s="18" t="s">
        <v>180</v>
      </c>
      <c r="BC1" s="18" t="s">
        <v>181</v>
      </c>
      <c r="BD1" s="18" t="s">
        <v>182</v>
      </c>
      <c r="BE1" s="18" t="s">
        <v>183</v>
      </c>
    </row>
    <row r="2" spans="1:57" ht="15" thickBot="1">
      <c r="A2" s="19" t="s">
        <v>184</v>
      </c>
      <c r="B2" s="19" t="s">
        <v>205</v>
      </c>
      <c r="C2" s="19" t="s">
        <v>88</v>
      </c>
      <c r="D2" s="20">
        <v>97.5</v>
      </c>
      <c r="E2" s="20">
        <v>3</v>
      </c>
      <c r="F2" s="20">
        <v>3</v>
      </c>
      <c r="G2" s="20">
        <v>5</v>
      </c>
      <c r="H2" s="20">
        <v>5</v>
      </c>
      <c r="I2" s="20">
        <v>5</v>
      </c>
      <c r="J2" s="20">
        <v>0</v>
      </c>
      <c r="K2" s="20">
        <v>0</v>
      </c>
      <c r="L2" s="20">
        <v>0</v>
      </c>
      <c r="M2" s="20">
        <v>0</v>
      </c>
      <c r="N2" s="20">
        <v>0</v>
      </c>
      <c r="O2" s="20">
        <v>0</v>
      </c>
      <c r="P2" s="20">
        <v>1</v>
      </c>
      <c r="Q2" s="20">
        <v>76.25</v>
      </c>
      <c r="R2" s="20">
        <v>21.6666667</v>
      </c>
      <c r="S2" s="20">
        <v>0</v>
      </c>
      <c r="T2" s="20">
        <v>0</v>
      </c>
      <c r="U2" s="20">
        <v>0</v>
      </c>
      <c r="V2" s="20">
        <v>0</v>
      </c>
      <c r="W2" s="20">
        <v>0</v>
      </c>
      <c r="X2" s="20">
        <v>0</v>
      </c>
      <c r="Y2" s="20">
        <v>1</v>
      </c>
      <c r="Z2" s="20">
        <v>11.25</v>
      </c>
      <c r="AA2" s="20">
        <v>25</v>
      </c>
      <c r="AB2" s="20">
        <v>0</v>
      </c>
      <c r="AC2" s="20">
        <v>0</v>
      </c>
      <c r="AD2" s="20">
        <v>0</v>
      </c>
      <c r="AE2" s="20">
        <v>0</v>
      </c>
      <c r="AF2" s="20">
        <v>0</v>
      </c>
      <c r="AG2" s="20">
        <v>0</v>
      </c>
      <c r="AH2" s="20">
        <v>0</v>
      </c>
      <c r="AI2" s="20">
        <v>0</v>
      </c>
      <c r="AJ2" s="20">
        <v>0</v>
      </c>
      <c r="AK2" s="20">
        <v>0</v>
      </c>
      <c r="AL2" s="20">
        <v>0</v>
      </c>
      <c r="AM2" s="20">
        <v>0</v>
      </c>
      <c r="AN2" s="20">
        <v>0</v>
      </c>
      <c r="AO2" s="20">
        <v>0</v>
      </c>
      <c r="AP2" s="20">
        <v>0</v>
      </c>
      <c r="AQ2" s="20">
        <v>1</v>
      </c>
      <c r="AR2" s="20">
        <v>8.75</v>
      </c>
      <c r="AS2" s="20">
        <v>57.5</v>
      </c>
      <c r="AT2" s="20">
        <v>0</v>
      </c>
      <c r="AU2" s="20">
        <v>0</v>
      </c>
      <c r="AV2" s="20">
        <v>0</v>
      </c>
      <c r="AW2" s="20">
        <v>0</v>
      </c>
      <c r="AX2" s="20">
        <v>0</v>
      </c>
      <c r="AY2" s="20">
        <v>0</v>
      </c>
      <c r="AZ2" s="20">
        <v>0</v>
      </c>
      <c r="BA2" s="20">
        <v>0</v>
      </c>
      <c r="BB2" s="20">
        <v>0</v>
      </c>
      <c r="BC2" s="20">
        <v>0</v>
      </c>
      <c r="BD2" s="20">
        <v>0</v>
      </c>
      <c r="BE2" s="20">
        <v>0</v>
      </c>
    </row>
    <row r="3" spans="1:57" ht="15" thickBot="1">
      <c r="A3" s="19" t="s">
        <v>185</v>
      </c>
      <c r="B3" s="19" t="s">
        <v>205</v>
      </c>
      <c r="C3" s="19" t="s">
        <v>88</v>
      </c>
      <c r="D3" s="20">
        <v>100</v>
      </c>
      <c r="E3" s="20">
        <v>1</v>
      </c>
      <c r="F3" s="20">
        <v>3</v>
      </c>
      <c r="G3" s="20">
        <v>5</v>
      </c>
      <c r="H3" s="20">
        <v>6</v>
      </c>
      <c r="I3" s="20">
        <v>6</v>
      </c>
      <c r="J3" s="20">
        <v>0</v>
      </c>
      <c r="K3" s="20">
        <v>0</v>
      </c>
      <c r="L3" s="20">
        <v>0</v>
      </c>
      <c r="M3" s="20">
        <v>1</v>
      </c>
      <c r="N3" s="20">
        <v>80</v>
      </c>
      <c r="O3" s="20">
        <v>31.1666667</v>
      </c>
      <c r="P3" s="20">
        <v>0</v>
      </c>
      <c r="Q3" s="20">
        <v>0</v>
      </c>
      <c r="R3" s="20">
        <v>0</v>
      </c>
      <c r="S3" s="20">
        <v>0</v>
      </c>
      <c r="T3" s="20">
        <v>0</v>
      </c>
      <c r="U3" s="20">
        <v>0</v>
      </c>
      <c r="V3" s="20">
        <v>0</v>
      </c>
      <c r="W3" s="20">
        <v>0</v>
      </c>
      <c r="X3" s="20">
        <v>0</v>
      </c>
      <c r="Y3" s="20">
        <v>0</v>
      </c>
      <c r="Z3" s="20">
        <v>0</v>
      </c>
      <c r="AA3" s="20">
        <v>0</v>
      </c>
      <c r="AB3" s="20">
        <v>0</v>
      </c>
      <c r="AC3" s="20">
        <v>0</v>
      </c>
      <c r="AD3" s="20">
        <v>0</v>
      </c>
      <c r="AE3" s="20">
        <v>0</v>
      </c>
      <c r="AF3" s="20">
        <v>0</v>
      </c>
      <c r="AG3" s="20">
        <v>0</v>
      </c>
      <c r="AH3" s="20">
        <v>0</v>
      </c>
      <c r="AI3" s="20">
        <v>0</v>
      </c>
      <c r="AJ3" s="20">
        <v>0</v>
      </c>
      <c r="AK3" s="20">
        <v>0</v>
      </c>
      <c r="AL3" s="20">
        <v>0</v>
      </c>
      <c r="AM3" s="20">
        <v>0</v>
      </c>
      <c r="AN3" s="20">
        <v>0</v>
      </c>
      <c r="AO3" s="20">
        <v>0</v>
      </c>
      <c r="AP3" s="20">
        <v>0</v>
      </c>
      <c r="AQ3" s="20">
        <v>0</v>
      </c>
      <c r="AR3" s="20">
        <v>0</v>
      </c>
      <c r="AS3" s="20">
        <v>0</v>
      </c>
      <c r="AT3" s="20">
        <v>0</v>
      </c>
      <c r="AU3" s="20">
        <v>0</v>
      </c>
      <c r="AV3" s="20">
        <v>0</v>
      </c>
      <c r="AW3" s="20">
        <v>0</v>
      </c>
      <c r="AX3" s="20">
        <v>0</v>
      </c>
      <c r="AY3" s="20">
        <v>0</v>
      </c>
      <c r="AZ3" s="20">
        <v>0</v>
      </c>
      <c r="BA3" s="20">
        <v>0</v>
      </c>
      <c r="BB3" s="20">
        <v>0</v>
      </c>
      <c r="BC3" s="20">
        <v>0</v>
      </c>
      <c r="BD3" s="20">
        <v>0</v>
      </c>
      <c r="BE3" s="20">
        <v>0</v>
      </c>
    </row>
    <row r="4" spans="1:57" ht="15" thickBot="1">
      <c r="A4" s="19" t="s">
        <v>186</v>
      </c>
      <c r="B4" s="19" t="s">
        <v>205</v>
      </c>
      <c r="C4" s="19" t="s">
        <v>88</v>
      </c>
      <c r="D4" s="20">
        <v>68.75</v>
      </c>
      <c r="E4" s="20">
        <v>2</v>
      </c>
      <c r="F4" s="20">
        <v>3</v>
      </c>
      <c r="G4" s="20">
        <v>4</v>
      </c>
      <c r="H4" s="20">
        <v>4</v>
      </c>
      <c r="I4" s="20">
        <v>4</v>
      </c>
      <c r="J4" s="20">
        <v>0</v>
      </c>
      <c r="K4" s="20">
        <v>0</v>
      </c>
      <c r="L4" s="20">
        <v>0</v>
      </c>
      <c r="M4" s="20">
        <v>0</v>
      </c>
      <c r="N4" s="20">
        <v>0</v>
      </c>
      <c r="O4" s="20">
        <v>0</v>
      </c>
      <c r="P4" s="20">
        <v>1</v>
      </c>
      <c r="Q4" s="20">
        <v>40</v>
      </c>
      <c r="R4" s="20">
        <v>18.1666667</v>
      </c>
      <c r="S4" s="20">
        <v>0</v>
      </c>
      <c r="T4" s="20">
        <v>0</v>
      </c>
      <c r="U4" s="20">
        <v>0</v>
      </c>
      <c r="V4" s="20">
        <v>0</v>
      </c>
      <c r="W4" s="20">
        <v>0</v>
      </c>
      <c r="X4" s="20">
        <v>0</v>
      </c>
      <c r="Y4" s="20">
        <v>1</v>
      </c>
      <c r="Z4" s="20">
        <v>37.5</v>
      </c>
      <c r="AA4" s="20">
        <v>14.3333333</v>
      </c>
      <c r="AB4" s="20">
        <v>0</v>
      </c>
      <c r="AC4" s="20">
        <v>0</v>
      </c>
      <c r="AD4" s="20">
        <v>0</v>
      </c>
      <c r="AE4" s="20">
        <v>0</v>
      </c>
      <c r="AF4" s="20">
        <v>0</v>
      </c>
      <c r="AG4" s="20">
        <v>0</v>
      </c>
      <c r="AH4" s="20">
        <v>0</v>
      </c>
      <c r="AI4" s="20">
        <v>0</v>
      </c>
      <c r="AJ4" s="20">
        <v>0</v>
      </c>
      <c r="AK4" s="20">
        <v>0</v>
      </c>
      <c r="AL4" s="20">
        <v>0</v>
      </c>
      <c r="AM4" s="20">
        <v>0</v>
      </c>
      <c r="AN4" s="20">
        <v>0</v>
      </c>
      <c r="AO4" s="20">
        <v>0</v>
      </c>
      <c r="AP4" s="20">
        <v>0</v>
      </c>
      <c r="AQ4" s="20">
        <v>0</v>
      </c>
      <c r="AR4" s="20">
        <v>0</v>
      </c>
      <c r="AS4" s="20">
        <v>0</v>
      </c>
      <c r="AT4" s="20">
        <v>0</v>
      </c>
      <c r="AU4" s="20">
        <v>0</v>
      </c>
      <c r="AV4" s="20">
        <v>0</v>
      </c>
      <c r="AW4" s="20">
        <v>0</v>
      </c>
      <c r="AX4" s="20">
        <v>0</v>
      </c>
      <c r="AY4" s="20">
        <v>0</v>
      </c>
      <c r="AZ4" s="20">
        <v>0</v>
      </c>
      <c r="BA4" s="20">
        <v>0</v>
      </c>
      <c r="BB4" s="20">
        <v>0</v>
      </c>
      <c r="BC4" s="20">
        <v>0</v>
      </c>
      <c r="BD4" s="20">
        <v>0</v>
      </c>
      <c r="BE4" s="20">
        <v>0</v>
      </c>
    </row>
    <row r="5" spans="1:57" ht="15" thickBot="1">
      <c r="A5" s="19" t="s">
        <v>187</v>
      </c>
      <c r="B5" s="19" t="s">
        <v>206</v>
      </c>
      <c r="C5" s="19" t="s">
        <v>89</v>
      </c>
      <c r="D5" s="20">
        <v>93.75</v>
      </c>
      <c r="E5" s="20">
        <v>2</v>
      </c>
      <c r="F5" s="20">
        <v>3</v>
      </c>
      <c r="G5" s="20">
        <v>3</v>
      </c>
      <c r="H5" s="20">
        <v>4</v>
      </c>
      <c r="I5" s="20">
        <v>4</v>
      </c>
      <c r="J5" s="20">
        <v>0</v>
      </c>
      <c r="K5" s="20">
        <v>0</v>
      </c>
      <c r="L5" s="20">
        <v>0</v>
      </c>
      <c r="M5" s="20">
        <v>0</v>
      </c>
      <c r="N5" s="20">
        <v>0</v>
      </c>
      <c r="O5" s="20">
        <v>0</v>
      </c>
      <c r="P5" s="20">
        <v>1</v>
      </c>
      <c r="Q5" s="20">
        <v>85</v>
      </c>
      <c r="R5" s="20">
        <v>16.833333329999999</v>
      </c>
      <c r="S5" s="20">
        <v>0</v>
      </c>
      <c r="T5" s="20">
        <v>0</v>
      </c>
      <c r="U5" s="20">
        <v>0</v>
      </c>
      <c r="V5" s="20">
        <v>0</v>
      </c>
      <c r="W5" s="20">
        <v>0</v>
      </c>
      <c r="X5" s="20">
        <v>0</v>
      </c>
      <c r="Y5" s="20">
        <v>0</v>
      </c>
      <c r="Z5" s="20">
        <v>0</v>
      </c>
      <c r="AA5" s="20">
        <v>0</v>
      </c>
      <c r="AB5" s="20">
        <v>0</v>
      </c>
      <c r="AC5" s="20">
        <v>0</v>
      </c>
      <c r="AD5" s="20">
        <v>0</v>
      </c>
      <c r="AE5" s="20">
        <v>0</v>
      </c>
      <c r="AF5" s="20">
        <v>0</v>
      </c>
      <c r="AG5" s="20">
        <v>0</v>
      </c>
      <c r="AH5" s="20">
        <v>0</v>
      </c>
      <c r="AI5" s="20">
        <v>0</v>
      </c>
      <c r="AJ5" s="20">
        <v>0</v>
      </c>
      <c r="AK5" s="20">
        <v>0</v>
      </c>
      <c r="AL5" s="20">
        <v>0</v>
      </c>
      <c r="AM5" s="20">
        <v>0</v>
      </c>
      <c r="AN5" s="20">
        <v>0</v>
      </c>
      <c r="AO5" s="20">
        <v>0</v>
      </c>
      <c r="AP5" s="20">
        <v>0</v>
      </c>
      <c r="AQ5" s="20">
        <v>0</v>
      </c>
      <c r="AR5" s="20">
        <v>0</v>
      </c>
      <c r="AS5" s="20">
        <v>0</v>
      </c>
      <c r="AT5" s="20">
        <v>0</v>
      </c>
      <c r="AU5" s="20">
        <v>0</v>
      </c>
      <c r="AV5" s="20">
        <v>0</v>
      </c>
      <c r="AW5" s="20">
        <v>0</v>
      </c>
      <c r="AX5" s="20">
        <v>0</v>
      </c>
      <c r="AY5" s="20">
        <v>0</v>
      </c>
      <c r="AZ5" s="20">
        <v>0</v>
      </c>
      <c r="BA5" s="20">
        <v>0</v>
      </c>
      <c r="BB5" s="20">
        <v>0</v>
      </c>
      <c r="BC5" s="20">
        <v>0</v>
      </c>
      <c r="BD5" s="20">
        <v>0</v>
      </c>
      <c r="BE5" s="20">
        <v>0</v>
      </c>
    </row>
    <row r="6" spans="1:57" ht="15" thickBot="1">
      <c r="A6" s="19" t="s">
        <v>188</v>
      </c>
      <c r="B6" s="19" t="s">
        <v>206</v>
      </c>
      <c r="C6" s="19" t="s">
        <v>89</v>
      </c>
      <c r="D6" s="20">
        <v>89.5</v>
      </c>
      <c r="E6" s="20">
        <v>2</v>
      </c>
      <c r="F6" s="20">
        <v>2</v>
      </c>
      <c r="G6" s="20">
        <v>3</v>
      </c>
      <c r="H6" s="20">
        <v>3</v>
      </c>
      <c r="I6" s="20">
        <v>4</v>
      </c>
      <c r="J6" s="20">
        <v>0</v>
      </c>
      <c r="K6" s="20">
        <v>0</v>
      </c>
      <c r="L6" s="20">
        <v>0</v>
      </c>
      <c r="M6" s="20">
        <v>0</v>
      </c>
      <c r="N6" s="20">
        <v>0</v>
      </c>
      <c r="O6" s="20">
        <v>0</v>
      </c>
      <c r="P6" s="20">
        <v>1</v>
      </c>
      <c r="Q6" s="20">
        <v>86.25</v>
      </c>
      <c r="R6" s="20">
        <v>18.166666670000001</v>
      </c>
      <c r="S6" s="20">
        <v>0</v>
      </c>
      <c r="T6" s="20">
        <v>0</v>
      </c>
      <c r="U6" s="20">
        <v>0</v>
      </c>
      <c r="V6" s="20">
        <v>0</v>
      </c>
      <c r="W6" s="20">
        <v>0</v>
      </c>
      <c r="X6" s="20">
        <v>0</v>
      </c>
      <c r="Y6" s="20">
        <v>0</v>
      </c>
      <c r="Z6" s="20">
        <v>0</v>
      </c>
      <c r="AA6" s="20">
        <v>0</v>
      </c>
      <c r="AB6" s="20">
        <v>0</v>
      </c>
      <c r="AC6" s="20">
        <v>0</v>
      </c>
      <c r="AD6" s="20">
        <v>0</v>
      </c>
      <c r="AE6" s="20">
        <v>0</v>
      </c>
      <c r="AF6" s="20">
        <v>0</v>
      </c>
      <c r="AG6" s="20">
        <v>0</v>
      </c>
      <c r="AH6" s="20">
        <v>0</v>
      </c>
      <c r="AI6" s="20">
        <v>0</v>
      </c>
      <c r="AJ6" s="20">
        <v>0</v>
      </c>
      <c r="AK6" s="20">
        <v>0</v>
      </c>
      <c r="AL6" s="20">
        <v>0</v>
      </c>
      <c r="AM6" s="20">
        <v>0</v>
      </c>
      <c r="AN6" s="20">
        <v>0</v>
      </c>
      <c r="AO6" s="20">
        <v>0</v>
      </c>
      <c r="AP6" s="20">
        <v>0</v>
      </c>
      <c r="AQ6" s="20">
        <v>0</v>
      </c>
      <c r="AR6" s="20">
        <v>0</v>
      </c>
      <c r="AS6" s="20">
        <v>0</v>
      </c>
      <c r="AT6" s="20">
        <v>0</v>
      </c>
      <c r="AU6" s="20">
        <v>0</v>
      </c>
      <c r="AV6" s="20">
        <v>0</v>
      </c>
      <c r="AW6" s="20">
        <v>0</v>
      </c>
      <c r="AX6" s="20">
        <v>0</v>
      </c>
      <c r="AY6" s="20">
        <v>0</v>
      </c>
      <c r="AZ6" s="20">
        <v>0</v>
      </c>
      <c r="BA6" s="20">
        <v>0</v>
      </c>
      <c r="BB6" s="20">
        <v>0</v>
      </c>
      <c r="BC6" s="20">
        <v>0</v>
      </c>
      <c r="BD6" s="20">
        <v>0</v>
      </c>
      <c r="BE6" s="20">
        <v>0</v>
      </c>
    </row>
    <row r="7" spans="1:57" ht="15" thickBot="1">
      <c r="A7" s="19" t="s">
        <v>189</v>
      </c>
      <c r="B7" s="19" t="s">
        <v>206</v>
      </c>
      <c r="C7" s="19" t="s">
        <v>89</v>
      </c>
      <c r="D7" s="20">
        <v>90</v>
      </c>
      <c r="E7" s="20">
        <v>1</v>
      </c>
      <c r="F7" s="20">
        <v>2</v>
      </c>
      <c r="G7" s="20">
        <v>2</v>
      </c>
      <c r="H7" s="20">
        <v>2</v>
      </c>
      <c r="I7" s="20">
        <v>3</v>
      </c>
      <c r="J7" s="20">
        <v>0</v>
      </c>
      <c r="K7" s="20">
        <v>0</v>
      </c>
      <c r="L7" s="20">
        <v>0</v>
      </c>
      <c r="M7" s="20">
        <v>0</v>
      </c>
      <c r="N7" s="20">
        <v>0</v>
      </c>
      <c r="O7" s="20">
        <v>0</v>
      </c>
      <c r="P7" s="20">
        <v>1</v>
      </c>
      <c r="Q7" s="20">
        <v>80.75</v>
      </c>
      <c r="R7" s="20">
        <v>19.166666670000001</v>
      </c>
      <c r="S7" s="20">
        <v>0</v>
      </c>
      <c r="T7" s="20">
        <v>0</v>
      </c>
      <c r="U7" s="20">
        <v>0</v>
      </c>
      <c r="V7" s="20">
        <v>0</v>
      </c>
      <c r="W7" s="20">
        <v>0</v>
      </c>
      <c r="X7" s="20">
        <v>0</v>
      </c>
      <c r="Y7" s="20">
        <v>1</v>
      </c>
      <c r="Z7" s="20">
        <v>13.75</v>
      </c>
      <c r="AA7" s="20">
        <v>20.666666670000001</v>
      </c>
      <c r="AB7" s="20">
        <v>0</v>
      </c>
      <c r="AC7" s="20">
        <v>0</v>
      </c>
      <c r="AD7" s="20">
        <v>0</v>
      </c>
      <c r="AE7" s="20">
        <v>0</v>
      </c>
      <c r="AF7" s="20">
        <v>0</v>
      </c>
      <c r="AG7" s="20">
        <v>0</v>
      </c>
      <c r="AH7" s="20">
        <v>0</v>
      </c>
      <c r="AI7" s="20">
        <v>0</v>
      </c>
      <c r="AJ7" s="20">
        <v>0</v>
      </c>
      <c r="AK7" s="20">
        <v>0</v>
      </c>
      <c r="AL7" s="20">
        <v>0</v>
      </c>
      <c r="AM7" s="20">
        <v>0</v>
      </c>
      <c r="AN7" s="20">
        <v>0</v>
      </c>
      <c r="AO7" s="20">
        <v>0</v>
      </c>
      <c r="AP7" s="20">
        <v>0</v>
      </c>
      <c r="AQ7" s="20">
        <v>0</v>
      </c>
      <c r="AR7" s="20">
        <v>0</v>
      </c>
      <c r="AS7" s="20">
        <v>0</v>
      </c>
      <c r="AT7" s="20">
        <v>0</v>
      </c>
      <c r="AU7" s="20">
        <v>0</v>
      </c>
      <c r="AV7" s="20">
        <v>0</v>
      </c>
      <c r="AW7" s="20">
        <v>0</v>
      </c>
      <c r="AX7" s="20">
        <v>0</v>
      </c>
      <c r="AY7" s="20">
        <v>0</v>
      </c>
      <c r="AZ7" s="20">
        <v>0</v>
      </c>
      <c r="BA7" s="20">
        <v>0</v>
      </c>
      <c r="BB7" s="20">
        <v>0</v>
      </c>
      <c r="BC7" s="20">
        <v>0</v>
      </c>
      <c r="BD7" s="20">
        <v>0</v>
      </c>
      <c r="BE7" s="20">
        <v>0</v>
      </c>
    </row>
    <row r="8" spans="1:57" ht="15" thickBot="1">
      <c r="A8" s="19" t="s">
        <v>190</v>
      </c>
      <c r="B8" s="19" t="s">
        <v>207</v>
      </c>
      <c r="C8" s="19" t="s">
        <v>90</v>
      </c>
      <c r="D8" s="20">
        <v>91.75</v>
      </c>
      <c r="E8" s="20">
        <v>1</v>
      </c>
      <c r="F8" s="20">
        <v>1</v>
      </c>
      <c r="G8" s="20">
        <v>2</v>
      </c>
      <c r="H8" s="20">
        <v>3</v>
      </c>
      <c r="I8" s="20">
        <v>3</v>
      </c>
      <c r="J8" s="20">
        <v>1</v>
      </c>
      <c r="K8" s="20">
        <v>68.75</v>
      </c>
      <c r="L8" s="20">
        <v>39.666666669999998</v>
      </c>
      <c r="M8" s="20">
        <v>0</v>
      </c>
      <c r="N8" s="20">
        <v>0</v>
      </c>
      <c r="O8" s="20">
        <v>0</v>
      </c>
      <c r="P8" s="20">
        <v>0</v>
      </c>
      <c r="Q8" s="20">
        <v>0</v>
      </c>
      <c r="R8" s="20">
        <v>0</v>
      </c>
      <c r="S8" s="20">
        <v>0</v>
      </c>
      <c r="T8" s="20">
        <v>0</v>
      </c>
      <c r="U8" s="20">
        <v>0</v>
      </c>
      <c r="V8" s="20">
        <v>0</v>
      </c>
      <c r="W8" s="20">
        <v>0</v>
      </c>
      <c r="X8" s="20">
        <v>0</v>
      </c>
      <c r="Y8" s="20">
        <v>0</v>
      </c>
      <c r="Z8" s="20">
        <v>0</v>
      </c>
      <c r="AA8" s="20">
        <v>0</v>
      </c>
      <c r="AB8" s="20">
        <v>1</v>
      </c>
      <c r="AC8" s="20">
        <v>23.5</v>
      </c>
      <c r="AD8" s="20">
        <v>19.666666670000001</v>
      </c>
      <c r="AE8" s="20">
        <v>0</v>
      </c>
      <c r="AF8" s="20">
        <v>0</v>
      </c>
      <c r="AG8" s="20">
        <v>0</v>
      </c>
      <c r="AH8" s="20">
        <v>0</v>
      </c>
      <c r="AI8" s="20">
        <v>0</v>
      </c>
      <c r="AJ8" s="20">
        <v>0</v>
      </c>
      <c r="AK8" s="20">
        <v>0</v>
      </c>
      <c r="AL8" s="20">
        <v>0</v>
      </c>
      <c r="AM8" s="20">
        <v>0</v>
      </c>
      <c r="AN8" s="20">
        <v>0</v>
      </c>
      <c r="AO8" s="20">
        <v>0</v>
      </c>
      <c r="AP8" s="20">
        <v>0</v>
      </c>
      <c r="AQ8" s="20">
        <v>0</v>
      </c>
      <c r="AR8" s="20">
        <v>0</v>
      </c>
      <c r="AS8" s="20">
        <v>0</v>
      </c>
      <c r="AT8" s="20">
        <v>0</v>
      </c>
      <c r="AU8" s="20">
        <v>0</v>
      </c>
      <c r="AV8" s="20">
        <v>0</v>
      </c>
      <c r="AW8" s="20">
        <v>0</v>
      </c>
      <c r="AX8" s="20">
        <v>0</v>
      </c>
      <c r="AY8" s="20">
        <v>0</v>
      </c>
      <c r="AZ8" s="20">
        <v>0</v>
      </c>
      <c r="BA8" s="20">
        <v>0</v>
      </c>
      <c r="BB8" s="20">
        <v>0</v>
      </c>
      <c r="BC8" s="20">
        <v>0</v>
      </c>
      <c r="BD8" s="20">
        <v>0</v>
      </c>
      <c r="BE8" s="20">
        <v>0</v>
      </c>
    </row>
    <row r="9" spans="1:57" ht="15" thickBot="1">
      <c r="A9" s="19" t="s">
        <v>191</v>
      </c>
      <c r="B9" s="19" t="s">
        <v>207</v>
      </c>
      <c r="C9" s="19" t="s">
        <v>90</v>
      </c>
      <c r="D9" s="20">
        <v>94</v>
      </c>
      <c r="E9" s="20">
        <v>1</v>
      </c>
      <c r="F9" s="20">
        <v>1</v>
      </c>
      <c r="G9" s="20">
        <v>1</v>
      </c>
      <c r="H9" s="20">
        <v>1</v>
      </c>
      <c r="I9" s="20">
        <v>1</v>
      </c>
      <c r="J9" s="20">
        <v>0</v>
      </c>
      <c r="K9" s="20">
        <v>0</v>
      </c>
      <c r="L9" s="20">
        <v>0</v>
      </c>
      <c r="M9" s="20">
        <v>0</v>
      </c>
      <c r="N9" s="20">
        <v>0</v>
      </c>
      <c r="O9" s="20">
        <v>0</v>
      </c>
      <c r="P9" s="20">
        <v>1</v>
      </c>
      <c r="Q9" s="20">
        <v>100</v>
      </c>
      <c r="R9" s="20">
        <v>22.666666670000001</v>
      </c>
      <c r="S9" s="20">
        <v>0</v>
      </c>
      <c r="T9" s="20">
        <v>0</v>
      </c>
      <c r="U9" s="20">
        <v>0</v>
      </c>
      <c r="V9" s="20">
        <v>0</v>
      </c>
      <c r="W9" s="20">
        <v>0</v>
      </c>
      <c r="X9" s="20">
        <v>0</v>
      </c>
      <c r="Y9" s="20">
        <v>0</v>
      </c>
      <c r="Z9" s="20">
        <v>0</v>
      </c>
      <c r="AA9" s="20">
        <v>0</v>
      </c>
      <c r="AB9" s="20">
        <v>0</v>
      </c>
      <c r="AC9" s="20">
        <v>0</v>
      </c>
      <c r="AD9" s="20">
        <v>0</v>
      </c>
      <c r="AE9" s="20">
        <v>0</v>
      </c>
      <c r="AF9" s="20">
        <v>0</v>
      </c>
      <c r="AG9" s="20">
        <v>0</v>
      </c>
      <c r="AH9" s="20">
        <v>0</v>
      </c>
      <c r="AI9" s="20">
        <v>0</v>
      </c>
      <c r="AJ9" s="20">
        <v>0</v>
      </c>
      <c r="AK9" s="20">
        <v>0</v>
      </c>
      <c r="AL9" s="20">
        <v>0</v>
      </c>
      <c r="AM9" s="20">
        <v>0</v>
      </c>
      <c r="AN9" s="20">
        <v>0</v>
      </c>
      <c r="AO9" s="20">
        <v>0</v>
      </c>
      <c r="AP9" s="20">
        <v>0</v>
      </c>
      <c r="AQ9" s="20">
        <v>0</v>
      </c>
      <c r="AR9" s="20">
        <v>0</v>
      </c>
      <c r="AS9" s="20">
        <v>0</v>
      </c>
      <c r="AT9" s="20">
        <v>0</v>
      </c>
      <c r="AU9" s="20">
        <v>0</v>
      </c>
      <c r="AV9" s="20">
        <v>0</v>
      </c>
      <c r="AW9" s="20">
        <v>0</v>
      </c>
      <c r="AX9" s="20">
        <v>0</v>
      </c>
      <c r="AY9" s="20">
        <v>0</v>
      </c>
      <c r="AZ9" s="20">
        <v>0</v>
      </c>
      <c r="BA9" s="20">
        <v>0</v>
      </c>
      <c r="BB9" s="20">
        <v>0</v>
      </c>
      <c r="BC9" s="20">
        <v>0</v>
      </c>
      <c r="BD9" s="20">
        <v>0</v>
      </c>
      <c r="BE9" s="20">
        <v>0</v>
      </c>
    </row>
    <row r="10" spans="1:57" ht="15" thickBot="1">
      <c r="A10" s="19" t="s">
        <v>192</v>
      </c>
      <c r="B10" s="19" t="s">
        <v>207</v>
      </c>
      <c r="C10" s="19" t="s">
        <v>90</v>
      </c>
      <c r="D10" s="20">
        <v>81.75</v>
      </c>
      <c r="E10" s="20">
        <v>1</v>
      </c>
      <c r="F10" s="20">
        <v>2</v>
      </c>
      <c r="G10" s="20">
        <v>3</v>
      </c>
      <c r="H10" s="20">
        <v>3</v>
      </c>
      <c r="I10" s="20">
        <v>3</v>
      </c>
      <c r="J10" s="20">
        <v>0</v>
      </c>
      <c r="K10" s="20">
        <v>0</v>
      </c>
      <c r="L10" s="20">
        <v>0</v>
      </c>
      <c r="M10" s="20">
        <v>0</v>
      </c>
      <c r="N10" s="20">
        <v>0</v>
      </c>
      <c r="O10" s="20">
        <v>0</v>
      </c>
      <c r="P10" s="20">
        <v>1</v>
      </c>
      <c r="Q10" s="20">
        <v>61.25</v>
      </c>
      <c r="R10" s="20">
        <v>19.5</v>
      </c>
      <c r="S10" s="20">
        <v>0</v>
      </c>
      <c r="T10" s="20">
        <v>0</v>
      </c>
      <c r="U10" s="20">
        <v>0</v>
      </c>
      <c r="V10" s="20">
        <v>1</v>
      </c>
      <c r="W10" s="20">
        <v>22.5</v>
      </c>
      <c r="X10" s="20">
        <v>40.166666669999998</v>
      </c>
      <c r="Y10" s="20">
        <v>0</v>
      </c>
      <c r="Z10" s="20">
        <v>0</v>
      </c>
      <c r="AA10" s="20">
        <v>0</v>
      </c>
      <c r="AB10" s="20">
        <v>0</v>
      </c>
      <c r="AC10" s="20">
        <v>0</v>
      </c>
      <c r="AD10" s="20">
        <v>0</v>
      </c>
      <c r="AE10" s="20">
        <v>0</v>
      </c>
      <c r="AF10" s="20">
        <v>0</v>
      </c>
      <c r="AG10" s="20">
        <v>0</v>
      </c>
      <c r="AH10" s="20">
        <v>0</v>
      </c>
      <c r="AI10" s="20">
        <v>0</v>
      </c>
      <c r="AJ10" s="20">
        <v>0</v>
      </c>
      <c r="AK10" s="20">
        <v>0</v>
      </c>
      <c r="AL10" s="20">
        <v>0</v>
      </c>
      <c r="AM10" s="20">
        <v>0</v>
      </c>
      <c r="AN10" s="20">
        <v>0</v>
      </c>
      <c r="AO10" s="20">
        <v>0</v>
      </c>
      <c r="AP10" s="20">
        <v>0</v>
      </c>
      <c r="AQ10" s="20">
        <v>0</v>
      </c>
      <c r="AR10" s="20">
        <v>0</v>
      </c>
      <c r="AS10" s="20">
        <v>0</v>
      </c>
      <c r="AT10" s="20">
        <v>0</v>
      </c>
      <c r="AU10" s="20">
        <v>0</v>
      </c>
      <c r="AV10" s="20">
        <v>0</v>
      </c>
      <c r="AW10" s="20">
        <v>0</v>
      </c>
      <c r="AX10" s="20">
        <v>0</v>
      </c>
      <c r="AY10" s="20">
        <v>0</v>
      </c>
      <c r="AZ10" s="20">
        <v>0</v>
      </c>
      <c r="BA10" s="20">
        <v>0</v>
      </c>
      <c r="BB10" s="20">
        <v>0</v>
      </c>
      <c r="BC10" s="20">
        <v>0</v>
      </c>
      <c r="BD10" s="20">
        <v>0</v>
      </c>
      <c r="BE10" s="20">
        <v>0</v>
      </c>
    </row>
    <row r="11" spans="1:57" ht="15" thickBot="1">
      <c r="A11" s="19" t="s">
        <v>193</v>
      </c>
      <c r="B11" s="19" t="s">
        <v>208</v>
      </c>
      <c r="C11" s="19" t="s">
        <v>211</v>
      </c>
      <c r="D11" s="20">
        <v>98.25</v>
      </c>
      <c r="E11" s="20">
        <v>3</v>
      </c>
      <c r="F11" s="20">
        <v>4</v>
      </c>
      <c r="G11" s="20">
        <v>4</v>
      </c>
      <c r="H11" s="20">
        <v>5</v>
      </c>
      <c r="I11" s="20">
        <v>6</v>
      </c>
      <c r="J11" s="20">
        <v>0</v>
      </c>
      <c r="K11" s="20">
        <v>0</v>
      </c>
      <c r="L11" s="20">
        <v>0</v>
      </c>
      <c r="M11" s="20">
        <v>1</v>
      </c>
      <c r="N11" s="20">
        <v>40.75</v>
      </c>
      <c r="O11" s="20">
        <v>40.666666669999998</v>
      </c>
      <c r="P11" s="20">
        <v>0</v>
      </c>
      <c r="Q11" s="20">
        <v>0</v>
      </c>
      <c r="R11" s="20">
        <v>0</v>
      </c>
      <c r="S11" s="20">
        <v>0</v>
      </c>
      <c r="T11" s="20">
        <v>0</v>
      </c>
      <c r="U11" s="20">
        <v>0</v>
      </c>
      <c r="V11" s="20">
        <v>0</v>
      </c>
      <c r="W11" s="20">
        <v>0</v>
      </c>
      <c r="X11" s="20">
        <v>0</v>
      </c>
      <c r="Y11" s="20">
        <v>0</v>
      </c>
      <c r="Z11" s="20">
        <v>0</v>
      </c>
      <c r="AA11" s="20">
        <v>0</v>
      </c>
      <c r="AB11" s="20">
        <v>1</v>
      </c>
      <c r="AC11" s="20">
        <v>31.25</v>
      </c>
      <c r="AD11" s="20">
        <v>28.333333329999999</v>
      </c>
      <c r="AE11" s="20">
        <v>0</v>
      </c>
      <c r="AF11" s="20">
        <v>0</v>
      </c>
      <c r="AG11" s="20">
        <v>0</v>
      </c>
      <c r="AH11" s="20">
        <v>1</v>
      </c>
      <c r="AI11" s="20">
        <v>18</v>
      </c>
      <c r="AJ11" s="20">
        <v>34.5</v>
      </c>
      <c r="AK11" s="20">
        <v>0</v>
      </c>
      <c r="AL11" s="20">
        <v>0</v>
      </c>
      <c r="AM11" s="20">
        <v>0</v>
      </c>
      <c r="AN11" s="20">
        <v>0</v>
      </c>
      <c r="AO11" s="20">
        <v>0</v>
      </c>
      <c r="AP11" s="20">
        <v>0</v>
      </c>
      <c r="AQ11" s="20">
        <v>0</v>
      </c>
      <c r="AR11" s="20">
        <v>0</v>
      </c>
      <c r="AS11" s="20">
        <v>0</v>
      </c>
      <c r="AT11" s="20">
        <v>0</v>
      </c>
      <c r="AU11" s="20">
        <v>0</v>
      </c>
      <c r="AV11" s="20">
        <v>0</v>
      </c>
      <c r="AW11" s="20">
        <v>0</v>
      </c>
      <c r="AX11" s="20">
        <v>0</v>
      </c>
      <c r="AY11" s="20">
        <v>0</v>
      </c>
      <c r="AZ11" s="20">
        <v>0</v>
      </c>
      <c r="BA11" s="20">
        <v>0</v>
      </c>
      <c r="BB11" s="20">
        <v>0</v>
      </c>
      <c r="BC11" s="20">
        <v>1</v>
      </c>
      <c r="BD11" s="20">
        <v>8.6666666669999994</v>
      </c>
      <c r="BE11" s="20">
        <v>108.33333330000001</v>
      </c>
    </row>
    <row r="12" spans="1:57" ht="15" thickBot="1">
      <c r="A12" s="19" t="s">
        <v>194</v>
      </c>
      <c r="B12" s="19" t="s">
        <v>208</v>
      </c>
      <c r="C12" s="19" t="s">
        <v>211</v>
      </c>
      <c r="D12" s="20">
        <v>99.25</v>
      </c>
      <c r="E12" s="20">
        <v>2</v>
      </c>
      <c r="F12" s="20">
        <v>3</v>
      </c>
      <c r="G12" s="20">
        <v>4</v>
      </c>
      <c r="H12" s="20">
        <v>4</v>
      </c>
      <c r="I12" s="20">
        <v>4</v>
      </c>
      <c r="J12" s="20">
        <v>0</v>
      </c>
      <c r="K12" s="20">
        <v>0</v>
      </c>
      <c r="L12" s="20">
        <v>0</v>
      </c>
      <c r="M12" s="20">
        <v>1</v>
      </c>
      <c r="N12" s="20">
        <v>76.25</v>
      </c>
      <c r="O12" s="20">
        <v>39.666666669999998</v>
      </c>
      <c r="P12" s="20">
        <v>0</v>
      </c>
      <c r="Q12" s="20">
        <v>0</v>
      </c>
      <c r="R12" s="20">
        <v>0</v>
      </c>
      <c r="S12" s="20">
        <v>0</v>
      </c>
      <c r="T12" s="20">
        <v>0</v>
      </c>
      <c r="U12" s="20">
        <v>0</v>
      </c>
      <c r="V12" s="20">
        <v>0</v>
      </c>
      <c r="W12" s="20">
        <v>0</v>
      </c>
      <c r="X12" s="20">
        <v>0</v>
      </c>
      <c r="Y12" s="20">
        <v>0</v>
      </c>
      <c r="Z12" s="20">
        <v>0</v>
      </c>
      <c r="AA12" s="20">
        <v>0</v>
      </c>
      <c r="AB12" s="20">
        <v>0</v>
      </c>
      <c r="AC12" s="20">
        <v>0</v>
      </c>
      <c r="AD12" s="20">
        <v>0</v>
      </c>
      <c r="AE12" s="20">
        <v>1</v>
      </c>
      <c r="AF12" s="20">
        <v>21.25</v>
      </c>
      <c r="AG12" s="20">
        <v>118.33333330000001</v>
      </c>
      <c r="AH12" s="20">
        <v>0</v>
      </c>
      <c r="AI12" s="20">
        <v>0</v>
      </c>
      <c r="AJ12" s="20">
        <v>0</v>
      </c>
      <c r="AK12" s="20">
        <v>0</v>
      </c>
      <c r="AL12" s="20">
        <v>0</v>
      </c>
      <c r="AM12" s="20">
        <v>0</v>
      </c>
      <c r="AN12" s="20">
        <v>0</v>
      </c>
      <c r="AO12" s="20">
        <v>0</v>
      </c>
      <c r="AP12" s="20">
        <v>0</v>
      </c>
      <c r="AQ12" s="20">
        <v>0</v>
      </c>
      <c r="AR12" s="20">
        <v>0</v>
      </c>
      <c r="AS12" s="20">
        <v>0</v>
      </c>
      <c r="AT12" s="20">
        <v>0</v>
      </c>
      <c r="AU12" s="20">
        <v>0</v>
      </c>
      <c r="AV12" s="20">
        <v>0</v>
      </c>
      <c r="AW12" s="20">
        <v>0</v>
      </c>
      <c r="AX12" s="20">
        <v>0</v>
      </c>
      <c r="AY12" s="20">
        <v>0</v>
      </c>
      <c r="AZ12" s="20">
        <v>0</v>
      </c>
      <c r="BA12" s="20">
        <v>0</v>
      </c>
      <c r="BB12" s="20">
        <v>0</v>
      </c>
      <c r="BC12" s="20">
        <v>0</v>
      </c>
      <c r="BD12" s="20">
        <v>0</v>
      </c>
      <c r="BE12" s="20">
        <v>0</v>
      </c>
    </row>
    <row r="13" spans="1:57" ht="15" thickBot="1">
      <c r="A13" s="19" t="s">
        <v>195</v>
      </c>
      <c r="B13" s="19" t="s">
        <v>208</v>
      </c>
      <c r="C13" s="19" t="s">
        <v>211</v>
      </c>
      <c r="D13" s="20">
        <v>99.25</v>
      </c>
      <c r="E13" s="20">
        <v>2</v>
      </c>
      <c r="F13" s="20">
        <v>4</v>
      </c>
      <c r="G13" s="20">
        <v>4</v>
      </c>
      <c r="H13" s="20">
        <v>5</v>
      </c>
      <c r="I13" s="20">
        <v>5</v>
      </c>
      <c r="J13" s="20">
        <v>0</v>
      </c>
      <c r="K13" s="20">
        <v>0</v>
      </c>
      <c r="L13" s="20">
        <v>0</v>
      </c>
      <c r="M13" s="20">
        <v>1</v>
      </c>
      <c r="N13" s="20">
        <v>70</v>
      </c>
      <c r="O13" s="20">
        <v>44.166666669999998</v>
      </c>
      <c r="P13" s="20">
        <v>0</v>
      </c>
      <c r="Q13" s="20">
        <v>0</v>
      </c>
      <c r="R13" s="20">
        <v>0</v>
      </c>
      <c r="S13" s="20">
        <v>0</v>
      </c>
      <c r="T13" s="20">
        <v>0</v>
      </c>
      <c r="U13" s="20">
        <v>0</v>
      </c>
      <c r="V13" s="20">
        <v>0</v>
      </c>
      <c r="W13" s="20">
        <v>0</v>
      </c>
      <c r="X13" s="20">
        <v>0</v>
      </c>
      <c r="Y13" s="20">
        <v>0</v>
      </c>
      <c r="Z13" s="20">
        <v>0</v>
      </c>
      <c r="AA13" s="20">
        <v>0</v>
      </c>
      <c r="AB13" s="20">
        <v>0</v>
      </c>
      <c r="AC13" s="20">
        <v>0</v>
      </c>
      <c r="AD13" s="20">
        <v>0</v>
      </c>
      <c r="AE13" s="20">
        <v>1</v>
      </c>
      <c r="AF13" s="20">
        <v>25.5</v>
      </c>
      <c r="AG13" s="20">
        <v>129.66666670000001</v>
      </c>
      <c r="AH13" s="20">
        <v>0</v>
      </c>
      <c r="AI13" s="20">
        <v>0</v>
      </c>
      <c r="AJ13" s="20">
        <v>0</v>
      </c>
      <c r="AK13" s="20">
        <v>0</v>
      </c>
      <c r="AL13" s="20">
        <v>0</v>
      </c>
      <c r="AM13" s="20">
        <v>0</v>
      </c>
      <c r="AN13" s="20">
        <v>0</v>
      </c>
      <c r="AO13" s="20">
        <v>0</v>
      </c>
      <c r="AP13" s="20">
        <v>0</v>
      </c>
      <c r="AQ13" s="20">
        <v>0</v>
      </c>
      <c r="AR13" s="20">
        <v>0</v>
      </c>
      <c r="AS13" s="20">
        <v>0</v>
      </c>
      <c r="AT13" s="20">
        <v>0</v>
      </c>
      <c r="AU13" s="20">
        <v>0</v>
      </c>
      <c r="AV13" s="20">
        <v>0</v>
      </c>
      <c r="AW13" s="20">
        <v>0</v>
      </c>
      <c r="AX13" s="20">
        <v>0</v>
      </c>
      <c r="AY13" s="20">
        <v>0</v>
      </c>
      <c r="AZ13" s="20">
        <v>0</v>
      </c>
      <c r="BA13" s="20">
        <v>0</v>
      </c>
      <c r="BB13" s="20">
        <v>0</v>
      </c>
      <c r="BC13" s="20">
        <v>0</v>
      </c>
      <c r="BD13" s="20">
        <v>0</v>
      </c>
      <c r="BE13" s="20">
        <v>0</v>
      </c>
    </row>
    <row r="14" spans="1:57" ht="15" thickBot="1">
      <c r="A14" s="19" t="s">
        <v>196</v>
      </c>
      <c r="B14" s="19" t="s">
        <v>209</v>
      </c>
      <c r="C14" s="19" t="s">
        <v>212</v>
      </c>
      <c r="D14" s="20">
        <v>93.75</v>
      </c>
      <c r="E14" s="20">
        <v>1</v>
      </c>
      <c r="F14" s="20">
        <v>2</v>
      </c>
      <c r="G14" s="20">
        <v>2</v>
      </c>
      <c r="H14" s="20">
        <v>2</v>
      </c>
      <c r="I14" s="20">
        <v>2</v>
      </c>
      <c r="J14" s="20">
        <v>1</v>
      </c>
      <c r="K14" s="20">
        <v>71.25</v>
      </c>
      <c r="L14" s="20">
        <v>46</v>
      </c>
      <c r="M14" s="20">
        <v>0</v>
      </c>
      <c r="N14" s="20">
        <v>0</v>
      </c>
      <c r="O14" s="20">
        <v>0</v>
      </c>
      <c r="P14" s="20">
        <v>0</v>
      </c>
      <c r="Q14" s="20">
        <v>0</v>
      </c>
      <c r="R14" s="20">
        <v>0</v>
      </c>
      <c r="S14" s="20">
        <v>0</v>
      </c>
      <c r="T14" s="20">
        <v>0</v>
      </c>
      <c r="U14" s="20">
        <v>0</v>
      </c>
      <c r="V14" s="20">
        <v>0</v>
      </c>
      <c r="W14" s="20">
        <v>0</v>
      </c>
      <c r="X14" s="20">
        <v>0</v>
      </c>
      <c r="Y14" s="20">
        <v>0</v>
      </c>
      <c r="Z14" s="20">
        <v>0</v>
      </c>
      <c r="AA14" s="20">
        <v>0</v>
      </c>
      <c r="AB14" s="20">
        <v>1</v>
      </c>
      <c r="AC14" s="20">
        <v>23.75</v>
      </c>
      <c r="AD14" s="20">
        <v>31.166666670000001</v>
      </c>
      <c r="AE14" s="20">
        <v>0</v>
      </c>
      <c r="AF14" s="20">
        <v>0</v>
      </c>
      <c r="AG14" s="20">
        <v>0</v>
      </c>
      <c r="AH14" s="20">
        <v>0</v>
      </c>
      <c r="AI14" s="20">
        <v>0</v>
      </c>
      <c r="AJ14" s="20">
        <v>0</v>
      </c>
      <c r="AK14" s="20">
        <v>0</v>
      </c>
      <c r="AL14" s="20">
        <v>0</v>
      </c>
      <c r="AM14" s="20">
        <v>0</v>
      </c>
      <c r="AN14" s="20">
        <v>0</v>
      </c>
      <c r="AO14" s="20">
        <v>0</v>
      </c>
      <c r="AP14" s="20">
        <v>0</v>
      </c>
      <c r="AQ14" s="20">
        <v>0</v>
      </c>
      <c r="AR14" s="20">
        <v>0</v>
      </c>
      <c r="AS14" s="20">
        <v>0</v>
      </c>
      <c r="AT14" s="20">
        <v>0</v>
      </c>
      <c r="AU14" s="20">
        <v>0</v>
      </c>
      <c r="AV14" s="20">
        <v>0</v>
      </c>
      <c r="AW14" s="20">
        <v>0</v>
      </c>
      <c r="AX14" s="20">
        <v>0</v>
      </c>
      <c r="AY14" s="20">
        <v>0</v>
      </c>
      <c r="AZ14" s="20">
        <v>0</v>
      </c>
      <c r="BA14" s="20">
        <v>0</v>
      </c>
      <c r="BB14" s="20">
        <v>0</v>
      </c>
      <c r="BC14" s="20">
        <v>0</v>
      </c>
      <c r="BD14" s="20">
        <v>0</v>
      </c>
      <c r="BE14" s="20">
        <v>0</v>
      </c>
    </row>
    <row r="15" spans="1:57" ht="15" thickBot="1">
      <c r="A15" s="19" t="s">
        <v>197</v>
      </c>
      <c r="B15" s="19" t="s">
        <v>209</v>
      </c>
      <c r="C15" s="19" t="s">
        <v>212</v>
      </c>
      <c r="D15" s="20">
        <v>92.25</v>
      </c>
      <c r="E15" s="20">
        <v>1</v>
      </c>
      <c r="F15" s="20">
        <v>1</v>
      </c>
      <c r="G15" s="20">
        <v>2</v>
      </c>
      <c r="H15" s="20">
        <v>2</v>
      </c>
      <c r="I15" s="20">
        <v>2</v>
      </c>
      <c r="J15" s="20">
        <v>1</v>
      </c>
      <c r="K15" s="20">
        <v>94</v>
      </c>
      <c r="L15" s="20">
        <v>35.833333330000002</v>
      </c>
      <c r="M15" s="20">
        <v>0</v>
      </c>
      <c r="N15" s="20">
        <v>0</v>
      </c>
      <c r="O15" s="20">
        <v>0</v>
      </c>
      <c r="P15" s="20">
        <v>0</v>
      </c>
      <c r="Q15" s="20">
        <v>0</v>
      </c>
      <c r="R15" s="20">
        <v>0</v>
      </c>
      <c r="S15" s="20">
        <v>0</v>
      </c>
      <c r="T15" s="20">
        <v>0</v>
      </c>
      <c r="U15" s="20">
        <v>0</v>
      </c>
      <c r="V15" s="20">
        <v>0</v>
      </c>
      <c r="W15" s="20">
        <v>0</v>
      </c>
      <c r="X15" s="20">
        <v>0</v>
      </c>
      <c r="Y15" s="20">
        <v>0</v>
      </c>
      <c r="Z15" s="20">
        <v>0</v>
      </c>
      <c r="AA15" s="20">
        <v>0</v>
      </c>
      <c r="AB15" s="20">
        <v>0</v>
      </c>
      <c r="AC15" s="20">
        <v>0</v>
      </c>
      <c r="AD15" s="20">
        <v>0</v>
      </c>
      <c r="AE15" s="20">
        <v>0</v>
      </c>
      <c r="AF15" s="20">
        <v>0</v>
      </c>
      <c r="AG15" s="20">
        <v>0</v>
      </c>
      <c r="AH15" s="20">
        <v>0</v>
      </c>
      <c r="AI15" s="20">
        <v>0</v>
      </c>
      <c r="AJ15" s="20">
        <v>0</v>
      </c>
      <c r="AK15" s="20">
        <v>0</v>
      </c>
      <c r="AL15" s="20">
        <v>0</v>
      </c>
      <c r="AM15" s="20">
        <v>0</v>
      </c>
      <c r="AN15" s="20">
        <v>0</v>
      </c>
      <c r="AO15" s="20">
        <v>0</v>
      </c>
      <c r="AP15" s="20">
        <v>0</v>
      </c>
      <c r="AQ15" s="20">
        <v>0</v>
      </c>
      <c r="AR15" s="20">
        <v>0</v>
      </c>
      <c r="AS15" s="20">
        <v>0</v>
      </c>
      <c r="AT15" s="20">
        <v>0</v>
      </c>
      <c r="AU15" s="20">
        <v>0</v>
      </c>
      <c r="AV15" s="20">
        <v>0</v>
      </c>
      <c r="AW15" s="20">
        <v>0</v>
      </c>
      <c r="AX15" s="20">
        <v>0</v>
      </c>
      <c r="AY15" s="20">
        <v>0</v>
      </c>
      <c r="AZ15" s="20">
        <v>0</v>
      </c>
      <c r="BA15" s="20">
        <v>0</v>
      </c>
      <c r="BB15" s="20">
        <v>0</v>
      </c>
      <c r="BC15" s="20">
        <v>0</v>
      </c>
      <c r="BD15" s="20">
        <v>0</v>
      </c>
      <c r="BE15" s="20">
        <v>0</v>
      </c>
    </row>
    <row r="16" spans="1:57" ht="15" thickBot="1">
      <c r="A16" s="19" t="s">
        <v>198</v>
      </c>
      <c r="B16" s="19" t="s">
        <v>209</v>
      </c>
      <c r="C16" s="19" t="s">
        <v>212</v>
      </c>
      <c r="D16" s="20">
        <v>98.75</v>
      </c>
      <c r="E16" s="20">
        <v>2</v>
      </c>
      <c r="F16" s="20">
        <v>2</v>
      </c>
      <c r="G16" s="20">
        <v>2</v>
      </c>
      <c r="H16" s="20">
        <v>2</v>
      </c>
      <c r="I16" s="20">
        <v>2</v>
      </c>
      <c r="J16" s="20">
        <v>1</v>
      </c>
      <c r="K16" s="20">
        <v>73</v>
      </c>
      <c r="L16" s="20">
        <v>65.666666669999998</v>
      </c>
      <c r="M16" s="20">
        <v>0</v>
      </c>
      <c r="N16" s="20">
        <v>0</v>
      </c>
      <c r="O16" s="20">
        <v>0</v>
      </c>
      <c r="P16" s="20">
        <v>0</v>
      </c>
      <c r="Q16" s="20">
        <v>0</v>
      </c>
      <c r="R16" s="20">
        <v>0</v>
      </c>
      <c r="S16" s="20">
        <v>0</v>
      </c>
      <c r="T16" s="20">
        <v>0</v>
      </c>
      <c r="U16" s="20">
        <v>0</v>
      </c>
      <c r="V16" s="20">
        <v>0</v>
      </c>
      <c r="W16" s="20">
        <v>0</v>
      </c>
      <c r="X16" s="20">
        <v>0</v>
      </c>
      <c r="Y16" s="20">
        <v>0</v>
      </c>
      <c r="Z16" s="20">
        <v>0</v>
      </c>
      <c r="AA16" s="20">
        <v>0</v>
      </c>
      <c r="AB16" s="20">
        <v>1</v>
      </c>
      <c r="AC16" s="20">
        <v>27</v>
      </c>
      <c r="AD16" s="20">
        <v>31.5</v>
      </c>
      <c r="AE16" s="20">
        <v>0</v>
      </c>
      <c r="AF16" s="20">
        <v>0</v>
      </c>
      <c r="AG16" s="20">
        <v>0</v>
      </c>
      <c r="AH16" s="20">
        <v>0</v>
      </c>
      <c r="AI16" s="20">
        <v>0</v>
      </c>
      <c r="AJ16" s="20">
        <v>0</v>
      </c>
      <c r="AK16" s="20">
        <v>0</v>
      </c>
      <c r="AL16" s="20">
        <v>0</v>
      </c>
      <c r="AM16" s="20">
        <v>0</v>
      </c>
      <c r="AN16" s="20">
        <v>0</v>
      </c>
      <c r="AO16" s="20">
        <v>0</v>
      </c>
      <c r="AP16" s="20">
        <v>0</v>
      </c>
      <c r="AQ16" s="20">
        <v>0</v>
      </c>
      <c r="AR16" s="20">
        <v>0</v>
      </c>
      <c r="AS16" s="20">
        <v>0</v>
      </c>
      <c r="AT16" s="20">
        <v>0</v>
      </c>
      <c r="AU16" s="20">
        <v>0</v>
      </c>
      <c r="AV16" s="20">
        <v>0</v>
      </c>
      <c r="AW16" s="20">
        <v>0</v>
      </c>
      <c r="AX16" s="20">
        <v>0</v>
      </c>
      <c r="AY16" s="20">
        <v>0</v>
      </c>
      <c r="AZ16" s="20">
        <v>0</v>
      </c>
      <c r="BA16" s="20">
        <v>0</v>
      </c>
      <c r="BB16" s="20">
        <v>0</v>
      </c>
      <c r="BC16" s="20">
        <v>0</v>
      </c>
      <c r="BD16" s="20">
        <v>0</v>
      </c>
      <c r="BE16" s="20">
        <v>0</v>
      </c>
    </row>
    <row r="17" spans="1:57" ht="15" thickBot="1">
      <c r="A17" s="19" t="s">
        <v>199</v>
      </c>
      <c r="B17" s="19" t="s">
        <v>210</v>
      </c>
      <c r="C17" s="19" t="s">
        <v>213</v>
      </c>
      <c r="D17" s="20">
        <v>73.75</v>
      </c>
      <c r="E17" s="20">
        <v>1</v>
      </c>
      <c r="F17" s="20">
        <v>1</v>
      </c>
      <c r="G17" s="20">
        <v>1</v>
      </c>
      <c r="H17" s="20">
        <v>2</v>
      </c>
      <c r="I17" s="20">
        <v>2</v>
      </c>
      <c r="J17" s="20">
        <v>1</v>
      </c>
      <c r="K17" s="20">
        <v>82.5</v>
      </c>
      <c r="L17" s="20">
        <v>28.333333329999999</v>
      </c>
      <c r="M17" s="20">
        <v>0</v>
      </c>
      <c r="N17" s="20">
        <v>0</v>
      </c>
      <c r="O17" s="20">
        <v>0</v>
      </c>
      <c r="P17" s="20">
        <v>0</v>
      </c>
      <c r="Q17" s="20">
        <v>0</v>
      </c>
      <c r="R17" s="20">
        <v>0</v>
      </c>
      <c r="S17" s="20">
        <v>0</v>
      </c>
      <c r="T17" s="20">
        <v>0</v>
      </c>
      <c r="U17" s="20">
        <v>0</v>
      </c>
      <c r="V17" s="20">
        <v>0</v>
      </c>
      <c r="W17" s="20">
        <v>0</v>
      </c>
      <c r="X17" s="20">
        <v>0</v>
      </c>
      <c r="Y17" s="20">
        <v>0</v>
      </c>
      <c r="Z17" s="20">
        <v>0</v>
      </c>
      <c r="AA17" s="20">
        <v>0</v>
      </c>
      <c r="AB17" s="20">
        <v>0</v>
      </c>
      <c r="AC17" s="20">
        <v>0</v>
      </c>
      <c r="AD17" s="20">
        <v>0</v>
      </c>
      <c r="AE17" s="20">
        <v>0</v>
      </c>
      <c r="AF17" s="20">
        <v>0</v>
      </c>
      <c r="AG17" s="20">
        <v>0</v>
      </c>
      <c r="AH17" s="20">
        <v>0</v>
      </c>
      <c r="AI17" s="20">
        <v>0</v>
      </c>
      <c r="AJ17" s="20">
        <v>0</v>
      </c>
      <c r="AK17" s="20">
        <v>0</v>
      </c>
      <c r="AL17" s="20">
        <v>0</v>
      </c>
      <c r="AM17" s="20">
        <v>0</v>
      </c>
      <c r="AN17" s="20">
        <v>0</v>
      </c>
      <c r="AO17" s="20">
        <v>0</v>
      </c>
      <c r="AP17" s="20">
        <v>0</v>
      </c>
      <c r="AQ17" s="20">
        <v>0</v>
      </c>
      <c r="AR17" s="20">
        <v>0</v>
      </c>
      <c r="AS17" s="20">
        <v>0</v>
      </c>
      <c r="AT17" s="20">
        <v>0</v>
      </c>
      <c r="AU17" s="20">
        <v>0</v>
      </c>
      <c r="AV17" s="20">
        <v>0</v>
      </c>
      <c r="AW17" s="20">
        <v>0</v>
      </c>
      <c r="AX17" s="20">
        <v>0</v>
      </c>
      <c r="AY17" s="20">
        <v>0</v>
      </c>
      <c r="AZ17" s="20">
        <v>0</v>
      </c>
      <c r="BA17" s="20">
        <v>0</v>
      </c>
      <c r="BB17" s="20">
        <v>0</v>
      </c>
      <c r="BC17" s="20">
        <v>0</v>
      </c>
      <c r="BD17" s="20">
        <v>0</v>
      </c>
      <c r="BE17" s="20">
        <v>0</v>
      </c>
    </row>
    <row r="18" spans="1:57" ht="15" thickBot="1">
      <c r="A18" s="19" t="s">
        <v>200</v>
      </c>
      <c r="B18" s="19" t="s">
        <v>210</v>
      </c>
      <c r="C18" s="19" t="s">
        <v>213</v>
      </c>
      <c r="D18" s="20">
        <v>41.25</v>
      </c>
      <c r="E18" s="20">
        <v>1</v>
      </c>
      <c r="F18" s="20">
        <v>2</v>
      </c>
      <c r="G18" s="20">
        <v>2</v>
      </c>
      <c r="H18" s="20">
        <v>2</v>
      </c>
      <c r="I18" s="20">
        <v>2</v>
      </c>
      <c r="J18" s="20">
        <v>1</v>
      </c>
      <c r="K18" s="20">
        <v>96.5</v>
      </c>
      <c r="L18" s="20">
        <v>27.666666670000001</v>
      </c>
      <c r="M18" s="20">
        <v>0</v>
      </c>
      <c r="N18" s="20">
        <v>0</v>
      </c>
      <c r="O18" s="20">
        <v>0</v>
      </c>
      <c r="P18" s="20">
        <v>0</v>
      </c>
      <c r="Q18" s="20">
        <v>0</v>
      </c>
      <c r="R18" s="20">
        <v>0</v>
      </c>
      <c r="S18" s="20">
        <v>0</v>
      </c>
      <c r="T18" s="20">
        <v>0</v>
      </c>
      <c r="U18" s="20">
        <v>0</v>
      </c>
      <c r="V18" s="20">
        <v>0</v>
      </c>
      <c r="W18" s="20">
        <v>0</v>
      </c>
      <c r="X18" s="20">
        <v>0</v>
      </c>
      <c r="Y18" s="20">
        <v>0</v>
      </c>
      <c r="Z18" s="20">
        <v>0</v>
      </c>
      <c r="AA18" s="20">
        <v>0</v>
      </c>
      <c r="AB18" s="20">
        <v>0</v>
      </c>
      <c r="AC18" s="20">
        <v>0</v>
      </c>
      <c r="AD18" s="20">
        <v>0</v>
      </c>
      <c r="AE18" s="20">
        <v>0</v>
      </c>
      <c r="AF18" s="20">
        <v>0</v>
      </c>
      <c r="AG18" s="20">
        <v>0</v>
      </c>
      <c r="AH18" s="20">
        <v>0</v>
      </c>
      <c r="AI18" s="20">
        <v>0</v>
      </c>
      <c r="AJ18" s="20">
        <v>0</v>
      </c>
      <c r="AK18" s="20">
        <v>0</v>
      </c>
      <c r="AL18" s="20">
        <v>0</v>
      </c>
      <c r="AM18" s="20">
        <v>0</v>
      </c>
      <c r="AN18" s="20">
        <v>0</v>
      </c>
      <c r="AO18" s="20">
        <v>0</v>
      </c>
      <c r="AP18" s="20">
        <v>0</v>
      </c>
      <c r="AQ18" s="20">
        <v>0</v>
      </c>
      <c r="AR18" s="20">
        <v>0</v>
      </c>
      <c r="AS18" s="20">
        <v>0</v>
      </c>
      <c r="AT18" s="20">
        <v>0</v>
      </c>
      <c r="AU18" s="20">
        <v>0</v>
      </c>
      <c r="AV18" s="20">
        <v>0</v>
      </c>
      <c r="AW18" s="20">
        <v>0</v>
      </c>
      <c r="AX18" s="20">
        <v>0</v>
      </c>
      <c r="AY18" s="20">
        <v>0</v>
      </c>
      <c r="AZ18" s="20">
        <v>0</v>
      </c>
      <c r="BA18" s="20">
        <v>0</v>
      </c>
      <c r="BB18" s="20">
        <v>0</v>
      </c>
      <c r="BC18" s="20">
        <v>0</v>
      </c>
      <c r="BD18" s="20">
        <v>0</v>
      </c>
      <c r="BE18" s="20">
        <v>0</v>
      </c>
    </row>
    <row r="19" spans="1:57" ht="15" thickBot="1">
      <c r="A19" s="19" t="s">
        <v>201</v>
      </c>
      <c r="B19" s="19" t="s">
        <v>210</v>
      </c>
      <c r="C19" s="19" t="s">
        <v>213</v>
      </c>
      <c r="D19" s="20">
        <v>45</v>
      </c>
      <c r="E19" s="20">
        <v>1</v>
      </c>
      <c r="F19" s="20">
        <v>1</v>
      </c>
      <c r="G19" s="20">
        <v>1</v>
      </c>
      <c r="H19" s="20">
        <v>1</v>
      </c>
      <c r="I19" s="20">
        <v>2</v>
      </c>
      <c r="J19" s="20">
        <v>1</v>
      </c>
      <c r="K19" s="20">
        <v>98.5</v>
      </c>
      <c r="L19" s="20">
        <v>18.833333329999999</v>
      </c>
      <c r="M19" s="20">
        <v>0</v>
      </c>
      <c r="N19" s="20">
        <v>0</v>
      </c>
      <c r="O19" s="20">
        <v>0</v>
      </c>
      <c r="P19" s="20">
        <v>0</v>
      </c>
      <c r="Q19" s="20">
        <v>0</v>
      </c>
      <c r="R19" s="20">
        <v>0</v>
      </c>
      <c r="S19" s="20">
        <v>0</v>
      </c>
      <c r="T19" s="20">
        <v>0</v>
      </c>
      <c r="U19" s="20">
        <v>0</v>
      </c>
      <c r="V19" s="20">
        <v>0</v>
      </c>
      <c r="W19" s="20">
        <v>0</v>
      </c>
      <c r="X19" s="20">
        <v>0</v>
      </c>
      <c r="Y19" s="20">
        <v>0</v>
      </c>
      <c r="Z19" s="20">
        <v>0</v>
      </c>
      <c r="AA19" s="20">
        <v>0</v>
      </c>
      <c r="AB19" s="20">
        <v>0</v>
      </c>
      <c r="AC19" s="20">
        <v>0</v>
      </c>
      <c r="AD19" s="20">
        <v>0</v>
      </c>
      <c r="AE19" s="20">
        <v>0</v>
      </c>
      <c r="AF19" s="20">
        <v>0</v>
      </c>
      <c r="AG19" s="20">
        <v>0</v>
      </c>
      <c r="AH19" s="20">
        <v>0</v>
      </c>
      <c r="AI19" s="20">
        <v>0</v>
      </c>
      <c r="AJ19" s="20">
        <v>0</v>
      </c>
      <c r="AK19" s="20">
        <v>0</v>
      </c>
      <c r="AL19" s="20">
        <v>0</v>
      </c>
      <c r="AM19" s="20">
        <v>0</v>
      </c>
      <c r="AN19" s="20">
        <v>0</v>
      </c>
      <c r="AO19" s="20">
        <v>0</v>
      </c>
      <c r="AP19" s="20">
        <v>0</v>
      </c>
      <c r="AQ19" s="20">
        <v>0</v>
      </c>
      <c r="AR19" s="20">
        <v>0</v>
      </c>
      <c r="AS19" s="20">
        <v>0</v>
      </c>
      <c r="AT19" s="20">
        <v>0</v>
      </c>
      <c r="AU19" s="20">
        <v>0</v>
      </c>
      <c r="AV19" s="20">
        <v>0</v>
      </c>
      <c r="AW19" s="20">
        <v>0</v>
      </c>
      <c r="AX19" s="20">
        <v>0</v>
      </c>
      <c r="AY19" s="20">
        <v>0</v>
      </c>
      <c r="AZ19" s="20">
        <v>0</v>
      </c>
      <c r="BA19" s="20">
        <v>0</v>
      </c>
      <c r="BB19" s="20">
        <v>0</v>
      </c>
      <c r="BC19" s="20">
        <v>0</v>
      </c>
      <c r="BD19" s="20">
        <v>0</v>
      </c>
      <c r="BE19" s="20">
        <v>0</v>
      </c>
    </row>
    <row r="20" spans="1:57" ht="15" thickBot="1">
      <c r="A20" s="19"/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</row>
    <row r="21" spans="1:57" ht="15" thickBot="1">
      <c r="A21" s="19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</row>
    <row r="22" spans="1:57" ht="15" thickBot="1">
      <c r="A22" s="19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</row>
    <row r="23" spans="1:57" ht="15" thickBot="1">
      <c r="A23" s="19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9"/>
      <c r="BE23" s="19"/>
    </row>
    <row r="24" spans="1:57" ht="15" thickBot="1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</row>
    <row r="25" spans="1:57" ht="15" thickBot="1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9"/>
      <c r="BA25" s="19"/>
      <c r="BB25" s="19"/>
      <c r="BC25" s="19"/>
      <c r="BD25" s="19"/>
      <c r="BE25" s="19"/>
    </row>
    <row r="26" spans="1:57" ht="15" thickBot="1">
      <c r="A26" s="19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19"/>
      <c r="BB26" s="19"/>
      <c r="BC26" s="19"/>
      <c r="BD26" s="19"/>
      <c r="BE26" s="19"/>
    </row>
    <row r="27" spans="1:57" ht="15" thickBot="1">
      <c r="A27" s="19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19"/>
      <c r="BD27" s="19"/>
      <c r="BE27" s="19"/>
    </row>
    <row r="28" spans="1:57" ht="15" thickBot="1">
      <c r="A28" s="19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19"/>
      <c r="BA28" s="19"/>
      <c r="BB28" s="19"/>
      <c r="BC28" s="19"/>
      <c r="BD28" s="19"/>
      <c r="BE28" s="19"/>
    </row>
    <row r="29" spans="1:57" ht="15" thickBot="1">
      <c r="A29" s="19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</row>
    <row r="30" spans="1:57" ht="15" thickBot="1">
      <c r="A30" s="19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</row>
    <row r="31" spans="1:57" ht="15" thickBot="1">
      <c r="A31" s="19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</row>
    <row r="32" spans="1:57" ht="15" thickBot="1">
      <c r="A32" s="19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19"/>
      <c r="BA32" s="19"/>
      <c r="BB32" s="19"/>
      <c r="BC32" s="19"/>
      <c r="BD32" s="19"/>
      <c r="BE32" s="19"/>
    </row>
    <row r="33" spans="1:57" ht="15" thickBot="1">
      <c r="A33" s="19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19"/>
      <c r="BA33" s="19"/>
      <c r="BB33" s="19"/>
      <c r="BC33" s="19"/>
      <c r="BD33" s="19"/>
      <c r="BE33" s="19"/>
    </row>
    <row r="34" spans="1:57" ht="15" thickBot="1">
      <c r="A34" s="19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</row>
    <row r="35" spans="1:57" ht="15" thickBot="1">
      <c r="A35" s="19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19"/>
      <c r="BD35" s="19"/>
      <c r="BE35" s="19"/>
    </row>
    <row r="36" spans="1:57" ht="15" thickBot="1">
      <c r="A36" s="19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19"/>
      <c r="BC36" s="19"/>
      <c r="BD36" s="19"/>
      <c r="BE36" s="19"/>
    </row>
    <row r="37" spans="1:57" ht="15" thickBot="1">
      <c r="A37" s="19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19"/>
      <c r="BC37" s="19"/>
      <c r="BD37" s="19"/>
      <c r="BE37" s="19"/>
    </row>
    <row r="38" spans="1:57" ht="15" thickBot="1">
      <c r="A38" s="19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19"/>
      <c r="BC38" s="19"/>
      <c r="BD38" s="19"/>
      <c r="BE38" s="19"/>
    </row>
    <row r="39" spans="1:57" ht="15" thickBot="1">
      <c r="A39" s="19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</row>
    <row r="40" spans="1:57" ht="15" thickBot="1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19"/>
      <c r="AZ40" s="19"/>
      <c r="BA40" s="19"/>
      <c r="BB40" s="19"/>
      <c r="BC40" s="19"/>
      <c r="BD40" s="19"/>
      <c r="BE40" s="19"/>
    </row>
    <row r="41" spans="1:57" ht="15" thickBot="1">
      <c r="A41" s="19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19"/>
      <c r="BA41" s="19"/>
      <c r="BB41" s="19"/>
      <c r="BC41" s="19"/>
      <c r="BD41" s="19"/>
      <c r="BE41" s="19"/>
    </row>
    <row r="42" spans="1:57" ht="15" thickBot="1">
      <c r="A42" s="19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19"/>
      <c r="BA42" s="19"/>
      <c r="BB42" s="19"/>
      <c r="BC42" s="19"/>
      <c r="BD42" s="19"/>
      <c r="BE42" s="19"/>
    </row>
    <row r="43" spans="1:57" ht="15" thickBot="1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19"/>
      <c r="AZ43" s="19"/>
      <c r="BA43" s="19"/>
      <c r="BB43" s="19"/>
      <c r="BC43" s="19"/>
      <c r="BD43" s="19"/>
      <c r="BE43" s="19"/>
    </row>
    <row r="44" spans="1:57" ht="15" thickBot="1">
      <c r="A44" s="19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19"/>
      <c r="AZ44" s="19"/>
      <c r="BA44" s="19"/>
      <c r="BB44" s="19"/>
      <c r="BC44" s="19"/>
      <c r="BD44" s="19"/>
      <c r="BE44" s="19"/>
    </row>
    <row r="45" spans="1:57" ht="15" thickBot="1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19"/>
      <c r="AT45" s="19"/>
      <c r="AU45" s="19"/>
      <c r="AV45" s="19"/>
      <c r="AW45" s="19"/>
      <c r="AX45" s="19"/>
      <c r="AY45" s="19"/>
      <c r="AZ45" s="19"/>
      <c r="BA45" s="19"/>
      <c r="BB45" s="19"/>
      <c r="BC45" s="19"/>
      <c r="BD45" s="19"/>
      <c r="BE45" s="19"/>
    </row>
    <row r="46" spans="1:57" ht="15" thickBot="1">
      <c r="A46" s="19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19"/>
      <c r="AT46" s="19"/>
      <c r="AU46" s="19"/>
      <c r="AV46" s="19"/>
      <c r="AW46" s="19"/>
      <c r="AX46" s="19"/>
      <c r="AY46" s="19"/>
      <c r="AZ46" s="19"/>
      <c r="BA46" s="19"/>
      <c r="BB46" s="19"/>
      <c r="BC46" s="19"/>
      <c r="BD46" s="19"/>
      <c r="BE46" s="19"/>
    </row>
    <row r="47" spans="1:57" ht="15" thickBot="1">
      <c r="A47" s="19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19"/>
      <c r="AT47" s="19"/>
      <c r="AU47" s="19"/>
      <c r="AV47" s="19"/>
      <c r="AW47" s="19"/>
      <c r="AX47" s="19"/>
      <c r="AY47" s="19"/>
      <c r="AZ47" s="19"/>
      <c r="BA47" s="19"/>
      <c r="BB47" s="19"/>
      <c r="BC47" s="19"/>
      <c r="BD47" s="19"/>
      <c r="BE47" s="19"/>
    </row>
    <row r="48" spans="1:57" ht="15" thickBot="1">
      <c r="A48" s="19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19"/>
      <c r="AT48" s="19"/>
      <c r="AU48" s="19"/>
      <c r="AV48" s="19"/>
      <c r="AW48" s="19"/>
      <c r="AX48" s="19"/>
      <c r="AY48" s="19"/>
      <c r="AZ48" s="19"/>
      <c r="BA48" s="19"/>
      <c r="BB48" s="19"/>
      <c r="BC48" s="19"/>
      <c r="BD48" s="19"/>
      <c r="BE48" s="19"/>
    </row>
    <row r="49" spans="1:57" ht="15" thickBot="1">
      <c r="A49" s="19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19"/>
      <c r="AT49" s="19"/>
      <c r="AU49" s="19"/>
      <c r="AV49" s="19"/>
      <c r="AW49" s="19"/>
      <c r="AX49" s="19"/>
      <c r="AY49" s="19"/>
      <c r="AZ49" s="19"/>
      <c r="BA49" s="19"/>
      <c r="BB49" s="19"/>
      <c r="BC49" s="19"/>
      <c r="BD49" s="19"/>
      <c r="BE49" s="19"/>
    </row>
    <row r="50" spans="1:57" ht="15" thickBot="1">
      <c r="A50" s="19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19"/>
      <c r="AT50" s="19"/>
      <c r="AU50" s="19"/>
      <c r="AV50" s="19"/>
      <c r="AW50" s="19"/>
      <c r="AX50" s="19"/>
      <c r="AY50" s="19"/>
      <c r="AZ50" s="19"/>
      <c r="BA50" s="19"/>
      <c r="BB50" s="19"/>
      <c r="BC50" s="19"/>
      <c r="BD50" s="19"/>
      <c r="BE50" s="1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01"/>
  <sheetViews>
    <sheetView workbookViewId="0">
      <selection activeCell="B18" sqref="B18"/>
    </sheetView>
  </sheetViews>
  <sheetFormatPr baseColWidth="10" defaultColWidth="14.453125" defaultRowHeight="15" customHeight="1"/>
  <cols>
    <col min="1" max="1" width="16.81640625" customWidth="1"/>
    <col min="2" max="2" width="70.81640625" customWidth="1"/>
    <col min="3" max="3" width="16.7265625" customWidth="1"/>
    <col min="4" max="26" width="10.7265625" customWidth="1"/>
  </cols>
  <sheetData>
    <row r="1" spans="1:4" ht="14.25" customHeight="1">
      <c r="A1" s="2" t="s">
        <v>0</v>
      </c>
      <c r="B1" s="3" t="s">
        <v>38</v>
      </c>
      <c r="C1" s="3"/>
      <c r="D1" s="3"/>
    </row>
    <row r="2" spans="1:4" ht="14.25" customHeight="1">
      <c r="A2" s="2" t="s">
        <v>39</v>
      </c>
      <c r="B2" s="3" t="s">
        <v>40</v>
      </c>
      <c r="C2" s="3"/>
      <c r="D2" s="3"/>
    </row>
    <row r="3" spans="1:4" ht="14.25" customHeight="1">
      <c r="A3" s="2" t="s">
        <v>41</v>
      </c>
      <c r="B3" s="3" t="s">
        <v>42</v>
      </c>
      <c r="C3" s="3"/>
      <c r="D3" s="3"/>
    </row>
    <row r="4" spans="1:4" ht="14.25" customHeight="1">
      <c r="A4" s="2" t="s">
        <v>43</v>
      </c>
      <c r="B4" s="3" t="s">
        <v>44</v>
      </c>
      <c r="C4" s="3"/>
      <c r="D4" s="3"/>
    </row>
    <row r="5" spans="1:4" ht="14.25" customHeight="1">
      <c r="A5" s="2" t="s">
        <v>45</v>
      </c>
      <c r="B5" s="3" t="s">
        <v>46</v>
      </c>
      <c r="C5" s="3"/>
      <c r="D5" s="3"/>
    </row>
    <row r="6" spans="1:4" ht="14.25" customHeight="1">
      <c r="A6" s="2" t="s">
        <v>47</v>
      </c>
      <c r="B6" s="3" t="s">
        <v>48</v>
      </c>
      <c r="C6" s="3"/>
      <c r="D6" s="3"/>
    </row>
    <row r="7" spans="1:4" ht="14.25" customHeight="1">
      <c r="A7" s="2" t="s">
        <v>49</v>
      </c>
      <c r="B7" s="3" t="s">
        <v>50</v>
      </c>
      <c r="C7" s="3"/>
      <c r="D7" s="3"/>
    </row>
    <row r="8" spans="1:4" ht="14.25" customHeight="1">
      <c r="A8" s="2" t="s">
        <v>51</v>
      </c>
      <c r="B8" s="3" t="s">
        <v>52</v>
      </c>
      <c r="C8" s="3"/>
      <c r="D8" s="3"/>
    </row>
    <row r="9" spans="1:4" ht="14.25" customHeight="1">
      <c r="A9" s="2" t="s">
        <v>53</v>
      </c>
      <c r="B9" s="3" t="s">
        <v>54</v>
      </c>
      <c r="C9" s="3"/>
      <c r="D9" s="3"/>
    </row>
    <row r="10" spans="1:4" ht="14.25" customHeight="1">
      <c r="A10" s="2" t="s">
        <v>55</v>
      </c>
      <c r="B10" s="3" t="s">
        <v>56</v>
      </c>
      <c r="C10" s="3"/>
      <c r="D10" s="3"/>
    </row>
    <row r="11" spans="1:4" ht="14.25" customHeight="1">
      <c r="A11" s="2" t="s">
        <v>57</v>
      </c>
      <c r="B11" s="3" t="s">
        <v>58</v>
      </c>
      <c r="C11" s="3"/>
      <c r="D11" s="3"/>
    </row>
    <row r="12" spans="1:4" ht="14.25" customHeight="1">
      <c r="A12" s="2" t="s">
        <v>59</v>
      </c>
      <c r="B12" s="3" t="s">
        <v>60</v>
      </c>
      <c r="C12" s="3"/>
      <c r="D12" s="3"/>
    </row>
    <row r="13" spans="1:4" ht="14.25" customHeight="1">
      <c r="A13" s="2" t="s">
        <v>61</v>
      </c>
      <c r="B13" s="3" t="s">
        <v>62</v>
      </c>
      <c r="C13" s="3"/>
      <c r="D13" s="3"/>
    </row>
    <row r="14" spans="1:4" ht="14.25" customHeight="1">
      <c r="A14" s="2" t="s">
        <v>63</v>
      </c>
      <c r="B14" s="3" t="s">
        <v>64</v>
      </c>
      <c r="C14" s="3"/>
      <c r="D14" s="3"/>
    </row>
    <row r="15" spans="1:4" ht="14.25" customHeight="1">
      <c r="A15" s="2" t="s">
        <v>65</v>
      </c>
      <c r="B15" s="3" t="s">
        <v>66</v>
      </c>
      <c r="C15" s="3"/>
      <c r="D15" s="3"/>
    </row>
    <row r="16" spans="1:4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000"/>
  <sheetViews>
    <sheetView zoomScale="49" workbookViewId="0">
      <selection activeCell="M4" sqref="M4:O4"/>
    </sheetView>
  </sheetViews>
  <sheetFormatPr baseColWidth="10" defaultColWidth="14.453125" defaultRowHeight="15" customHeight="1"/>
  <cols>
    <col min="1" max="2" width="10.7265625" customWidth="1"/>
    <col min="3" max="4" width="13.26953125" customWidth="1"/>
    <col min="5" max="5" width="13.7265625" customWidth="1"/>
    <col min="6" max="6" width="14.08984375" customWidth="1"/>
    <col min="7" max="7" width="13.7265625" customWidth="1"/>
    <col min="8" max="8" width="14" customWidth="1"/>
    <col min="9" max="9" width="13" customWidth="1"/>
    <col min="10" max="10" width="17.08984375" customWidth="1"/>
    <col min="11" max="12" width="15.26953125" customWidth="1"/>
    <col min="13" max="13" width="17.08984375" customWidth="1"/>
    <col min="14" max="15" width="14.54296875" customWidth="1"/>
    <col min="16" max="16" width="16.26953125" customWidth="1"/>
    <col min="17" max="17" width="15.26953125" customWidth="1"/>
    <col min="18" max="18" width="27.08984375" customWidth="1"/>
    <col min="19" max="28" width="10.7265625" customWidth="1"/>
  </cols>
  <sheetData>
    <row r="1" spans="1:18" ht="14.25" customHeight="1">
      <c r="A1" s="4" t="s">
        <v>67</v>
      </c>
      <c r="B1" s="4" t="s">
        <v>0</v>
      </c>
      <c r="C1" s="4" t="s">
        <v>1</v>
      </c>
      <c r="D1" s="4" t="s">
        <v>41</v>
      </c>
      <c r="E1" s="4" t="s">
        <v>68</v>
      </c>
      <c r="F1" s="4" t="s">
        <v>69</v>
      </c>
      <c r="G1" s="4" t="s">
        <v>70</v>
      </c>
      <c r="H1" s="4" t="s">
        <v>71</v>
      </c>
      <c r="I1" s="4" t="s">
        <v>72</v>
      </c>
      <c r="J1" s="4" t="s">
        <v>55</v>
      </c>
      <c r="K1" s="4" t="s">
        <v>57</v>
      </c>
      <c r="L1" s="4" t="s">
        <v>73</v>
      </c>
      <c r="M1" s="4" t="s">
        <v>59</v>
      </c>
      <c r="N1" s="4" t="s">
        <v>61</v>
      </c>
      <c r="O1" s="5" t="s">
        <v>74</v>
      </c>
      <c r="P1" s="4" t="s">
        <v>63</v>
      </c>
      <c r="Q1" s="4" t="s">
        <v>65</v>
      </c>
      <c r="R1" s="6" t="s">
        <v>75</v>
      </c>
    </row>
    <row r="2" spans="1:18" ht="14.25" customHeight="1">
      <c r="A2" s="1" t="str">
        <f>metadata!A2</f>
        <v>PA_Q1</v>
      </c>
      <c r="B2" s="1" t="s">
        <v>2</v>
      </c>
      <c r="C2" s="1" t="s">
        <v>3</v>
      </c>
      <c r="D2" s="1">
        <f>AVERAGE(100,95,100,95)</f>
        <v>97.5</v>
      </c>
      <c r="E2" s="1">
        <v>3</v>
      </c>
      <c r="F2" s="1">
        <v>3</v>
      </c>
      <c r="G2" s="1">
        <v>5</v>
      </c>
      <c r="H2" s="1">
        <v>5</v>
      </c>
      <c r="I2" s="1">
        <v>5</v>
      </c>
      <c r="J2" s="1" t="s">
        <v>76</v>
      </c>
      <c r="K2" s="1">
        <f>AVERAGE(60,80,85,80)</f>
        <v>76.25</v>
      </c>
      <c r="L2" s="1">
        <f>AVERAGE(20,27,22,27,18,16)</f>
        <v>21.666666666666668</v>
      </c>
      <c r="M2" s="1" t="s">
        <v>77</v>
      </c>
      <c r="N2" s="1">
        <f>AVERAGE(20,5,5,5)</f>
        <v>8.75</v>
      </c>
      <c r="O2" s="1">
        <f>AVERAGE(50,67,62,54,74,38)</f>
        <v>57.5</v>
      </c>
      <c r="P2" s="1" t="s">
        <v>78</v>
      </c>
      <c r="Q2" s="1">
        <f>AVERAGE(12,15,8,10)</f>
        <v>11.25</v>
      </c>
      <c r="R2" s="1">
        <f>AVERAGE(23,23,28,26,26,24)</f>
        <v>25</v>
      </c>
    </row>
    <row r="3" spans="1:18" ht="14.25" customHeight="1">
      <c r="A3" s="1" t="str">
        <f>metadata!A3</f>
        <v>PA_Q2</v>
      </c>
      <c r="B3" s="1" t="s">
        <v>4</v>
      </c>
      <c r="C3" s="1" t="s">
        <v>5</v>
      </c>
      <c r="D3" s="1">
        <f>AVERAGE(100,100,100,100)</f>
        <v>100</v>
      </c>
      <c r="E3" s="1">
        <v>1</v>
      </c>
      <c r="F3" s="1">
        <v>3</v>
      </c>
      <c r="G3" s="1">
        <v>5</v>
      </c>
      <c r="H3" s="1">
        <v>6</v>
      </c>
      <c r="I3" s="1">
        <v>6</v>
      </c>
      <c r="J3" s="1" t="s">
        <v>79</v>
      </c>
      <c r="K3" s="1">
        <f>AVERAGE(70,85,85)</f>
        <v>80</v>
      </c>
      <c r="L3" s="1">
        <f>AVERAGE(38,31,20,32,26,40)</f>
        <v>31.166666666666668</v>
      </c>
      <c r="M3" s="1" t="s">
        <v>80</v>
      </c>
      <c r="N3" s="1">
        <f>AVERAGE(10,4)</f>
        <v>7</v>
      </c>
      <c r="O3" s="1"/>
    </row>
    <row r="4" spans="1:18" ht="14.25" customHeight="1">
      <c r="A4" s="1" t="str">
        <f>metadata!A4</f>
        <v>PA_Q3</v>
      </c>
      <c r="B4" s="1" t="s">
        <v>6</v>
      </c>
      <c r="C4" s="1" t="s">
        <v>7</v>
      </c>
      <c r="D4" s="1">
        <f>AVERAGE(75,70,55,75)</f>
        <v>68.75</v>
      </c>
      <c r="E4" s="1">
        <v>2</v>
      </c>
      <c r="F4" s="1">
        <v>3</v>
      </c>
      <c r="G4" s="1">
        <v>4</v>
      </c>
      <c r="H4" s="1">
        <v>4</v>
      </c>
      <c r="I4" s="1">
        <v>4</v>
      </c>
      <c r="J4" s="1" t="s">
        <v>76</v>
      </c>
      <c r="K4" s="1">
        <f>AVERAGE(25,55,40,40)</f>
        <v>40</v>
      </c>
      <c r="L4" s="1">
        <f>AVERAGE(12,24,12,11,26,24)</f>
        <v>18.166666666666668</v>
      </c>
      <c r="M4" s="1" t="s">
        <v>78</v>
      </c>
      <c r="N4" s="1">
        <f>AVERAGE(60,40,15,35)</f>
        <v>37.5</v>
      </c>
      <c r="O4" s="1">
        <f>AVERAGE(23,21,7,7,13,15)</f>
        <v>14.333333333333334</v>
      </c>
    </row>
    <row r="5" spans="1:18" ht="14.25" customHeight="1"/>
    <row r="6" spans="1:18" ht="14.25" customHeight="1"/>
    <row r="7" spans="1:18" ht="14.25" customHeight="1"/>
    <row r="8" spans="1:18" ht="14.25" customHeight="1"/>
    <row r="9" spans="1:18" ht="14.25" customHeight="1"/>
    <row r="10" spans="1:18" ht="14.25" customHeight="1"/>
    <row r="11" spans="1:18" ht="14.25" customHeight="1"/>
    <row r="12" spans="1:18" ht="14.25" customHeight="1"/>
    <row r="13" spans="1:18" ht="14.25" customHeight="1"/>
    <row r="14" spans="1:18" ht="14.25" customHeight="1"/>
    <row r="15" spans="1:18" ht="14.25" customHeight="1"/>
    <row r="16" spans="1:18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1000"/>
  <sheetViews>
    <sheetView topLeftCell="F1" workbookViewId="0">
      <selection activeCell="M4" sqref="M4:O4"/>
    </sheetView>
  </sheetViews>
  <sheetFormatPr baseColWidth="10" defaultColWidth="14.453125" defaultRowHeight="15" customHeight="1"/>
  <cols>
    <col min="1" max="2" width="10.7265625" customWidth="1"/>
    <col min="3" max="4" width="13.453125" customWidth="1"/>
    <col min="5" max="6" width="14.453125" customWidth="1"/>
    <col min="7" max="7" width="13.453125" customWidth="1"/>
    <col min="8" max="8" width="13.7265625" customWidth="1"/>
    <col min="9" max="9" width="12.26953125" customWidth="1"/>
    <col min="10" max="10" width="16.7265625" customWidth="1"/>
    <col min="11" max="11" width="15.54296875" customWidth="1"/>
    <col min="12" max="12" width="16.26953125" customWidth="1"/>
    <col min="13" max="13" width="15.7265625" customWidth="1"/>
    <col min="14" max="14" width="16.81640625" customWidth="1"/>
    <col min="15" max="15" width="15.08984375" customWidth="1"/>
    <col min="16" max="26" width="10.7265625" customWidth="1"/>
  </cols>
  <sheetData>
    <row r="1" spans="1:18" ht="14.25" customHeight="1">
      <c r="A1" s="4" t="s">
        <v>67</v>
      </c>
      <c r="B1" s="4" t="s">
        <v>0</v>
      </c>
      <c r="C1" s="4" t="s">
        <v>39</v>
      </c>
      <c r="D1" s="4" t="s">
        <v>41</v>
      </c>
      <c r="E1" s="4" t="s">
        <v>45</v>
      </c>
      <c r="F1" s="4" t="s">
        <v>47</v>
      </c>
      <c r="G1" s="4" t="s">
        <v>49</v>
      </c>
      <c r="H1" s="4" t="s">
        <v>51</v>
      </c>
      <c r="I1" s="4" t="s">
        <v>53</v>
      </c>
      <c r="J1" s="4" t="s">
        <v>55</v>
      </c>
      <c r="K1" s="4" t="s">
        <v>57</v>
      </c>
      <c r="L1" s="4" t="s">
        <v>73</v>
      </c>
      <c r="M1" s="4" t="s">
        <v>59</v>
      </c>
      <c r="N1" s="4" t="s">
        <v>61</v>
      </c>
      <c r="O1" s="5" t="s">
        <v>74</v>
      </c>
      <c r="P1" s="4" t="s">
        <v>63</v>
      </c>
      <c r="Q1" s="4" t="s">
        <v>65</v>
      </c>
      <c r="R1" s="6" t="s">
        <v>75</v>
      </c>
    </row>
    <row r="2" spans="1:18" ht="14.25" customHeight="1">
      <c r="A2" s="1" t="str">
        <f>metadata!A5</f>
        <v>PB_Q1</v>
      </c>
      <c r="B2" s="1" t="s">
        <v>8</v>
      </c>
      <c r="C2" s="1" t="s">
        <v>9</v>
      </c>
      <c r="D2" s="1">
        <f>AVERAGE(99,85,93,98)</f>
        <v>93.75</v>
      </c>
      <c r="E2" s="1">
        <v>2</v>
      </c>
      <c r="F2" s="1">
        <v>3</v>
      </c>
      <c r="G2" s="1">
        <v>3</v>
      </c>
      <c r="H2" s="1">
        <v>4</v>
      </c>
      <c r="I2" s="1">
        <v>4</v>
      </c>
      <c r="J2" s="1" t="s">
        <v>76</v>
      </c>
      <c r="K2" s="1">
        <f>AVERAGE(85,95,80,80)</f>
        <v>85</v>
      </c>
      <c r="L2" s="1">
        <f>AVERAGE(15,18,23,11,20,14)</f>
        <v>16.833333333333332</v>
      </c>
    </row>
    <row r="3" spans="1:18" ht="14.25" customHeight="1">
      <c r="A3" s="1" t="str">
        <f>metadata!A6</f>
        <v>PB_Q2</v>
      </c>
      <c r="B3" s="1" t="s">
        <v>10</v>
      </c>
      <c r="C3" s="1" t="s">
        <v>11</v>
      </c>
      <c r="D3" s="1">
        <f>AVERAGE(95,93,80,90)</f>
        <v>89.5</v>
      </c>
      <c r="E3" s="1">
        <v>2</v>
      </c>
      <c r="F3" s="1">
        <v>2</v>
      </c>
      <c r="G3" s="1">
        <v>3</v>
      </c>
      <c r="H3" s="1">
        <v>3</v>
      </c>
      <c r="I3" s="1">
        <v>4</v>
      </c>
      <c r="J3" s="1" t="s">
        <v>76</v>
      </c>
      <c r="K3" s="1">
        <f>AVERAGE(90,78,95,82)</f>
        <v>86.25</v>
      </c>
      <c r="L3" s="1">
        <f>AVERAGE(22,18,17,21,16,15)</f>
        <v>18.166666666666668</v>
      </c>
    </row>
    <row r="4" spans="1:18" ht="14.25" customHeight="1">
      <c r="A4" s="1" t="str">
        <f>metadata!A7</f>
        <v>PB_Q3</v>
      </c>
      <c r="B4" s="1" t="s">
        <v>12</v>
      </c>
      <c r="C4" s="1" t="s">
        <v>13</v>
      </c>
      <c r="D4" s="1">
        <f>AVERAGE(95,80,90,95)</f>
        <v>90</v>
      </c>
      <c r="E4" s="1">
        <v>1</v>
      </c>
      <c r="F4" s="1">
        <v>2</v>
      </c>
      <c r="G4" s="1">
        <v>2</v>
      </c>
      <c r="H4" s="1">
        <v>2</v>
      </c>
      <c r="I4" s="1">
        <v>3</v>
      </c>
      <c r="J4" s="1" t="s">
        <v>76</v>
      </c>
      <c r="K4" s="1">
        <f>AVERAGE(83,80,80,80)</f>
        <v>80.75</v>
      </c>
      <c r="L4" s="1">
        <f>AVERAGE(27,18,20,18,16,16)</f>
        <v>19.166666666666668</v>
      </c>
      <c r="M4" s="1" t="s">
        <v>79</v>
      </c>
      <c r="N4" s="1">
        <f>AVERAGE(15,10,15,15)</f>
        <v>13.75</v>
      </c>
      <c r="O4" s="1">
        <f>AVERAGE(16,11,12,24,20,41)</f>
        <v>20.666666666666668</v>
      </c>
    </row>
    <row r="5" spans="1:18" ht="14.25" customHeight="1"/>
    <row r="6" spans="1:18" ht="14.25" customHeight="1"/>
    <row r="7" spans="1:18" ht="14.25" customHeight="1"/>
    <row r="8" spans="1:18" ht="14.25" customHeight="1"/>
    <row r="9" spans="1:18" ht="14.25" customHeight="1"/>
    <row r="10" spans="1:18" ht="14.25" customHeight="1"/>
    <row r="11" spans="1:18" ht="14.25" customHeight="1"/>
    <row r="12" spans="1:18" ht="14.25" customHeight="1"/>
    <row r="13" spans="1:18" ht="14.25" customHeight="1"/>
    <row r="14" spans="1:18" ht="14.25" customHeight="1"/>
    <row r="15" spans="1:18" ht="14.25" customHeight="1"/>
    <row r="16" spans="1:18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1000"/>
  <sheetViews>
    <sheetView topLeftCell="H1" workbookViewId="0">
      <selection activeCell="F12" sqref="F12"/>
    </sheetView>
  </sheetViews>
  <sheetFormatPr baseColWidth="10" defaultColWidth="14.453125" defaultRowHeight="15" customHeight="1"/>
  <cols>
    <col min="1" max="2" width="10.7265625" customWidth="1"/>
    <col min="3" max="4" width="11.7265625" customWidth="1"/>
    <col min="5" max="9" width="12" customWidth="1"/>
    <col min="10" max="10" width="15.7265625" customWidth="1"/>
    <col min="11" max="11" width="14.26953125" customWidth="1"/>
    <col min="12" max="12" width="15.7265625" customWidth="1"/>
    <col min="13" max="13" width="14.26953125" customWidth="1"/>
    <col min="14" max="14" width="15.7265625" customWidth="1"/>
    <col min="15" max="15" width="14.26953125" customWidth="1"/>
    <col min="16" max="26" width="10.7265625" customWidth="1"/>
  </cols>
  <sheetData>
    <row r="1" spans="1:18" ht="14.25" customHeight="1">
      <c r="A1" s="4" t="s">
        <v>67</v>
      </c>
      <c r="B1" s="4" t="s">
        <v>0</v>
      </c>
      <c r="C1" s="4" t="s">
        <v>1</v>
      </c>
      <c r="D1" s="4" t="s">
        <v>41</v>
      </c>
      <c r="E1" s="4" t="s">
        <v>45</v>
      </c>
      <c r="F1" s="4" t="s">
        <v>47</v>
      </c>
      <c r="G1" s="4" t="s">
        <v>49</v>
      </c>
      <c r="H1" s="4" t="s">
        <v>51</v>
      </c>
      <c r="I1" s="4" t="s">
        <v>53</v>
      </c>
      <c r="J1" s="4" t="s">
        <v>55</v>
      </c>
      <c r="K1" s="4" t="s">
        <v>57</v>
      </c>
      <c r="L1" s="4" t="s">
        <v>73</v>
      </c>
      <c r="M1" s="4" t="s">
        <v>59</v>
      </c>
      <c r="N1" s="4" t="s">
        <v>61</v>
      </c>
      <c r="O1" s="5" t="s">
        <v>74</v>
      </c>
      <c r="P1" s="4" t="s">
        <v>63</v>
      </c>
      <c r="Q1" s="4" t="s">
        <v>65</v>
      </c>
      <c r="R1" s="6" t="s">
        <v>75</v>
      </c>
    </row>
    <row r="2" spans="1:18" ht="14.25" customHeight="1">
      <c r="A2" s="1" t="str">
        <f>metadata!A8</f>
        <v>PC_Q1</v>
      </c>
      <c r="B2" s="1" t="s">
        <v>14</v>
      </c>
      <c r="C2" s="1" t="s">
        <v>15</v>
      </c>
      <c r="D2" s="1">
        <f>AVERAGE(100,80,92,95)</f>
        <v>91.75</v>
      </c>
      <c r="E2" s="1">
        <v>1</v>
      </c>
      <c r="F2" s="1">
        <v>1</v>
      </c>
      <c r="G2" s="1">
        <v>2</v>
      </c>
      <c r="H2" s="1">
        <v>3</v>
      </c>
      <c r="I2" s="1">
        <v>3</v>
      </c>
      <c r="J2" s="1" t="s">
        <v>81</v>
      </c>
      <c r="K2" s="1">
        <f>AVERAGE(70,75,60,70)</f>
        <v>68.75</v>
      </c>
      <c r="L2" s="1">
        <f>AVERAGE(37,39,38,42,35,47)</f>
        <v>39.666666666666664</v>
      </c>
      <c r="M2" s="1" t="s">
        <v>76</v>
      </c>
      <c r="N2" s="1">
        <f>AVERAGE(29,20,20,25)</f>
        <v>23.5</v>
      </c>
      <c r="O2" s="1">
        <f>AVERAGE(29,17,28,15,19,10)</f>
        <v>19.666666666666668</v>
      </c>
    </row>
    <row r="3" spans="1:18" ht="14.25" customHeight="1">
      <c r="A3" s="1" t="str">
        <f>metadata!A9</f>
        <v>PC_Q2</v>
      </c>
      <c r="B3" s="1" t="s">
        <v>16</v>
      </c>
      <c r="C3" s="1" t="s">
        <v>17</v>
      </c>
      <c r="D3" s="1">
        <f>AVERAGE(98,90,93,95)</f>
        <v>94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J3" s="1" t="s">
        <v>76</v>
      </c>
      <c r="K3" s="1">
        <f>AVERAGE(100,100,100,100)</f>
        <v>100</v>
      </c>
      <c r="L3" s="1">
        <f>AVERAGE(21,23,24,13,12,43)</f>
        <v>22.666666666666668</v>
      </c>
    </row>
    <row r="4" spans="1:18" ht="14.25" customHeight="1">
      <c r="A4" s="1" t="str">
        <f>metadata!A10</f>
        <v>PC_Q3</v>
      </c>
      <c r="B4" s="1" t="s">
        <v>18</v>
      </c>
      <c r="C4" s="1" t="s">
        <v>19</v>
      </c>
      <c r="D4" s="1">
        <f>AVERAGE(92,85,70,80)</f>
        <v>81.75</v>
      </c>
      <c r="E4" s="1">
        <v>1</v>
      </c>
      <c r="F4" s="1">
        <v>2</v>
      </c>
      <c r="G4" s="1">
        <v>3</v>
      </c>
      <c r="H4" s="1">
        <v>3</v>
      </c>
      <c r="I4" s="1">
        <v>3</v>
      </c>
      <c r="J4" s="1" t="s">
        <v>76</v>
      </c>
      <c r="K4" s="1">
        <f>AVERAGE(70,50,65,60)</f>
        <v>61.25</v>
      </c>
      <c r="L4" s="1">
        <f>AVERAGE(17,17,21,16,26,20)</f>
        <v>19.5</v>
      </c>
      <c r="M4" s="1" t="s">
        <v>81</v>
      </c>
      <c r="N4" s="1">
        <f>AVERAGE(25,20,25,20)</f>
        <v>22.5</v>
      </c>
      <c r="O4" s="1">
        <f>AVERAGE(40,52,41,35,33,40)</f>
        <v>40.166666666666664</v>
      </c>
    </row>
    <row r="5" spans="1:18" ht="14.25" customHeight="1"/>
    <row r="6" spans="1:18" ht="14.25" customHeight="1"/>
    <row r="7" spans="1:18" ht="14.25" customHeight="1"/>
    <row r="8" spans="1:18" ht="14.25" customHeight="1"/>
    <row r="9" spans="1:18" ht="14.25" customHeight="1"/>
    <row r="10" spans="1:18" ht="14.25" customHeight="1"/>
    <row r="11" spans="1:18" ht="14.25" customHeight="1"/>
    <row r="12" spans="1:18" ht="14.25" customHeight="1"/>
    <row r="13" spans="1:18" ht="14.25" customHeight="1"/>
    <row r="14" spans="1:18" ht="14.25" customHeight="1"/>
    <row r="15" spans="1:18" ht="14.25" customHeight="1"/>
    <row r="16" spans="1:18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1000"/>
  <sheetViews>
    <sheetView topLeftCell="H1" workbookViewId="0">
      <selection activeCell="N22" sqref="N22"/>
    </sheetView>
  </sheetViews>
  <sheetFormatPr baseColWidth="10" defaultColWidth="14.453125" defaultRowHeight="15" customHeight="1"/>
  <cols>
    <col min="1" max="4" width="10.7265625" customWidth="1"/>
    <col min="5" max="5" width="12.7265625" customWidth="1"/>
    <col min="6" max="6" width="14.7265625" customWidth="1"/>
    <col min="7" max="7" width="13.453125" customWidth="1"/>
    <col min="8" max="8" width="14.81640625" customWidth="1"/>
    <col min="9" max="9" width="14.26953125" customWidth="1"/>
    <col min="10" max="10" width="16.81640625" customWidth="1"/>
    <col min="11" max="12" width="14.26953125" customWidth="1"/>
    <col min="13" max="13" width="15.08984375" customWidth="1"/>
    <col min="14" max="14" width="15.81640625" customWidth="1"/>
    <col min="15" max="15" width="14.26953125" customWidth="1"/>
    <col min="16" max="17" width="10.7265625" customWidth="1"/>
    <col min="18" max="18" width="12" customWidth="1"/>
    <col min="19" max="26" width="10.7265625" customWidth="1"/>
  </cols>
  <sheetData>
    <row r="1" spans="1:21" ht="14.25" customHeight="1">
      <c r="A1" s="4" t="s">
        <v>67</v>
      </c>
      <c r="B1" s="4" t="s">
        <v>0</v>
      </c>
      <c r="C1" s="4" t="s">
        <v>1</v>
      </c>
      <c r="D1" s="4" t="s">
        <v>41</v>
      </c>
      <c r="E1" s="4" t="s">
        <v>45</v>
      </c>
      <c r="F1" s="4" t="s">
        <v>47</v>
      </c>
      <c r="G1" s="4" t="s">
        <v>49</v>
      </c>
      <c r="H1" s="4" t="s">
        <v>51</v>
      </c>
      <c r="I1" s="4" t="s">
        <v>53</v>
      </c>
      <c r="J1" s="4" t="s">
        <v>55</v>
      </c>
      <c r="K1" s="4" t="s">
        <v>57</v>
      </c>
      <c r="L1" s="4" t="s">
        <v>73</v>
      </c>
      <c r="M1" s="4" t="s">
        <v>59</v>
      </c>
      <c r="N1" s="4" t="s">
        <v>61</v>
      </c>
      <c r="O1" s="5" t="s">
        <v>74</v>
      </c>
      <c r="P1" s="4" t="s">
        <v>63</v>
      </c>
      <c r="Q1" s="4" t="s">
        <v>65</v>
      </c>
      <c r="R1" s="6" t="s">
        <v>75</v>
      </c>
      <c r="S1" s="7" t="s">
        <v>82</v>
      </c>
      <c r="T1" s="7" t="s">
        <v>83</v>
      </c>
      <c r="U1" s="7" t="s">
        <v>84</v>
      </c>
    </row>
    <row r="2" spans="1:21" ht="14.25" customHeight="1">
      <c r="A2" s="1" t="str">
        <f>metadata!A11</f>
        <v>PD_Q1</v>
      </c>
      <c r="B2" s="1" t="s">
        <v>20</v>
      </c>
      <c r="C2" s="1" t="s">
        <v>21</v>
      </c>
      <c r="D2" s="1">
        <f>AVERAGE(98,95,100,100)</f>
        <v>98.25</v>
      </c>
      <c r="E2" s="1">
        <v>3</v>
      </c>
      <c r="F2" s="1">
        <v>4</v>
      </c>
      <c r="G2" s="1">
        <v>4</v>
      </c>
      <c r="H2" s="1">
        <v>5</v>
      </c>
      <c r="I2" s="1">
        <v>6</v>
      </c>
      <c r="J2" s="1" t="s">
        <v>78</v>
      </c>
      <c r="K2" s="1">
        <f>AVERAGE(33,40,50,40)</f>
        <v>40.75</v>
      </c>
      <c r="L2" s="1">
        <f>AVERAGE(51,41,44,46,25,37)</f>
        <v>40.666666666666664</v>
      </c>
      <c r="M2" s="1" t="s">
        <v>76</v>
      </c>
      <c r="N2" s="1">
        <f>AVERAGE(30,40,20,35)</f>
        <v>31.25</v>
      </c>
      <c r="O2" s="1">
        <f>AVERAGE(24,29,18,32,25,42)</f>
        <v>28.333333333333332</v>
      </c>
      <c r="P2" s="1" t="s">
        <v>81</v>
      </c>
      <c r="Q2" s="1">
        <f>AVERAGE(25,12,20,15)</f>
        <v>18</v>
      </c>
      <c r="R2" s="1">
        <f>AVERAGE(25,38,31,35,38,40)</f>
        <v>34.5</v>
      </c>
      <c r="S2" s="1" t="s">
        <v>85</v>
      </c>
      <c r="T2" s="1">
        <f>AVERAGE(8,8,10)</f>
        <v>8.6666666666666661</v>
      </c>
      <c r="U2" s="1">
        <f>AVERAGE(74,142,129,73,99,133)</f>
        <v>108.33333333333333</v>
      </c>
    </row>
    <row r="3" spans="1:21" ht="14.25" customHeight="1">
      <c r="A3" s="1" t="str">
        <f>metadata!A12</f>
        <v>PD_Q2</v>
      </c>
      <c r="B3" s="1" t="s">
        <v>22</v>
      </c>
      <c r="C3" s="1" t="s">
        <v>23</v>
      </c>
      <c r="D3" s="1">
        <f t="shared" ref="D3:D4" si="0">AVERAGE(100,100,97,100)</f>
        <v>99.25</v>
      </c>
      <c r="E3" s="1">
        <v>2</v>
      </c>
      <c r="F3" s="1">
        <v>3</v>
      </c>
      <c r="G3" s="1">
        <v>4</v>
      </c>
      <c r="H3" s="1">
        <v>4</v>
      </c>
      <c r="I3" s="1">
        <v>4</v>
      </c>
      <c r="J3" s="1" t="s">
        <v>78</v>
      </c>
      <c r="K3" s="1">
        <f>AVERAGE(70,80,85,70)</f>
        <v>76.25</v>
      </c>
      <c r="L3" s="1">
        <f>AVERAGE(43,37,27,42,37,52)</f>
        <v>39.666666666666664</v>
      </c>
      <c r="M3" s="1" t="s">
        <v>86</v>
      </c>
      <c r="N3" s="1">
        <f>AVERAGE(28,20,12,25)</f>
        <v>21.25</v>
      </c>
      <c r="O3" s="1">
        <f>AVERAGE(132,120,128,106,95,129)</f>
        <v>118.33333333333333</v>
      </c>
    </row>
    <row r="4" spans="1:21" ht="14.25" customHeight="1">
      <c r="A4" s="1" t="str">
        <f>metadata!A13</f>
        <v>PD_Q3</v>
      </c>
      <c r="B4" s="1" t="s">
        <v>24</v>
      </c>
      <c r="C4" s="1" t="s">
        <v>25</v>
      </c>
      <c r="D4" s="1">
        <f t="shared" si="0"/>
        <v>99.25</v>
      </c>
      <c r="E4" s="1">
        <v>2</v>
      </c>
      <c r="F4" s="1">
        <v>4</v>
      </c>
      <c r="G4" s="1">
        <v>4</v>
      </c>
      <c r="H4" s="1">
        <v>5</v>
      </c>
      <c r="I4" s="1">
        <v>5</v>
      </c>
      <c r="J4" s="1" t="s">
        <v>78</v>
      </c>
      <c r="K4" s="1">
        <f>AVERAGE(50,75,85,70)</f>
        <v>70</v>
      </c>
      <c r="L4" s="1">
        <f>AVERAGE(63,37,33,49,39,44)</f>
        <v>44.166666666666664</v>
      </c>
      <c r="M4" s="1" t="s">
        <v>86</v>
      </c>
      <c r="N4" s="1">
        <f>AVERAGE(40,25,12,25)</f>
        <v>25.5</v>
      </c>
      <c r="O4" s="1">
        <f>AVERAGE(112,134,121,152,129,130)</f>
        <v>129.66666666666666</v>
      </c>
    </row>
    <row r="5" spans="1:21" ht="14.25" customHeight="1"/>
    <row r="6" spans="1:21" ht="14.25" customHeight="1"/>
    <row r="7" spans="1:21" ht="14.25" customHeight="1"/>
    <row r="8" spans="1:21" ht="14.25" customHeight="1"/>
    <row r="9" spans="1:21" ht="14.25" customHeight="1"/>
    <row r="10" spans="1:21" ht="14.25" customHeight="1"/>
    <row r="11" spans="1:21" ht="14.25" customHeight="1"/>
    <row r="12" spans="1:21" ht="14.25" customHeight="1"/>
    <row r="13" spans="1:21" ht="14.25" customHeight="1"/>
    <row r="14" spans="1:21" ht="14.25" customHeight="1"/>
    <row r="15" spans="1:21" ht="14.25" customHeight="1"/>
    <row r="16" spans="1:21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R1000"/>
  <sheetViews>
    <sheetView topLeftCell="I1" workbookViewId="0">
      <selection activeCell="A2" sqref="A2:A4"/>
    </sheetView>
  </sheetViews>
  <sheetFormatPr baseColWidth="10" defaultColWidth="14.453125" defaultRowHeight="15" customHeight="1"/>
  <cols>
    <col min="1" max="2" width="10.7265625" customWidth="1"/>
    <col min="3" max="4" width="12.54296875" customWidth="1"/>
    <col min="5" max="5" width="13.54296875" customWidth="1"/>
    <col min="6" max="7" width="14.26953125" customWidth="1"/>
    <col min="8" max="8" width="13.08984375" customWidth="1"/>
    <col min="9" max="9" width="13.7265625" customWidth="1"/>
    <col min="10" max="10" width="16.08984375" customWidth="1"/>
    <col min="11" max="11" width="15" customWidth="1"/>
    <col min="12" max="12" width="17.453125" customWidth="1"/>
    <col min="13" max="13" width="14.81640625" customWidth="1"/>
    <col min="14" max="14" width="15.81640625" customWidth="1"/>
    <col min="15" max="15" width="14.08984375" customWidth="1"/>
    <col min="16" max="17" width="10.7265625" customWidth="1"/>
    <col min="18" max="18" width="29.54296875" customWidth="1"/>
    <col min="19" max="26" width="10.7265625" customWidth="1"/>
  </cols>
  <sheetData>
    <row r="1" spans="1:18" ht="14.25" customHeight="1">
      <c r="A1" s="4" t="s">
        <v>67</v>
      </c>
      <c r="B1" s="4" t="s">
        <v>0</v>
      </c>
      <c r="C1" s="4" t="s">
        <v>1</v>
      </c>
      <c r="D1" s="4" t="s">
        <v>41</v>
      </c>
      <c r="E1" s="4" t="s">
        <v>45</v>
      </c>
      <c r="F1" s="4" t="s">
        <v>47</v>
      </c>
      <c r="G1" s="4" t="s">
        <v>49</v>
      </c>
      <c r="H1" s="4" t="s">
        <v>51</v>
      </c>
      <c r="I1" s="4" t="s">
        <v>53</v>
      </c>
      <c r="J1" s="4" t="s">
        <v>55</v>
      </c>
      <c r="K1" s="4" t="s">
        <v>57</v>
      </c>
      <c r="L1" s="4" t="s">
        <v>73</v>
      </c>
      <c r="M1" s="4" t="s">
        <v>59</v>
      </c>
      <c r="N1" s="4" t="s">
        <v>61</v>
      </c>
      <c r="O1" s="5" t="s">
        <v>74</v>
      </c>
      <c r="P1" s="4" t="s">
        <v>63</v>
      </c>
      <c r="Q1" s="4" t="s">
        <v>65</v>
      </c>
      <c r="R1" s="6" t="s">
        <v>75</v>
      </c>
    </row>
    <row r="2" spans="1:18" ht="14.25" customHeight="1">
      <c r="A2" s="1" t="str">
        <f>metadata!A14</f>
        <v>PE_Q1</v>
      </c>
      <c r="B2" s="1" t="s">
        <v>26</v>
      </c>
      <c r="C2" s="1" t="s">
        <v>27</v>
      </c>
      <c r="D2" s="1">
        <f>AVERAGE(98,85,97,95)</f>
        <v>93.75</v>
      </c>
      <c r="E2" s="1">
        <v>1</v>
      </c>
      <c r="F2" s="1">
        <v>2</v>
      </c>
      <c r="G2" s="1">
        <v>2</v>
      </c>
      <c r="H2" s="1">
        <v>2</v>
      </c>
      <c r="I2" s="1">
        <v>2</v>
      </c>
      <c r="J2" s="1" t="s">
        <v>81</v>
      </c>
      <c r="K2" s="1">
        <f>AVERAGE(70,65,85,65)</f>
        <v>71.25</v>
      </c>
      <c r="L2" s="1">
        <f>AVERAGE(52,48,45,40,43,48)</f>
        <v>46</v>
      </c>
      <c r="M2" s="1" t="s">
        <v>76</v>
      </c>
      <c r="N2" s="1">
        <f>AVERAGE(30,20,15,30)</f>
        <v>23.75</v>
      </c>
      <c r="O2" s="1">
        <f>AVERAGE(32,40,25,27,37,26)</f>
        <v>31.166666666666668</v>
      </c>
    </row>
    <row r="3" spans="1:18" ht="14.25" customHeight="1">
      <c r="A3" s="1" t="str">
        <f>metadata!A15</f>
        <v>PE_Q2</v>
      </c>
      <c r="B3" s="1" t="s">
        <v>28</v>
      </c>
      <c r="C3" s="1" t="s">
        <v>29</v>
      </c>
      <c r="D3" s="1">
        <f>AVERAGE(95,90,94,90)</f>
        <v>92.25</v>
      </c>
      <c r="E3" s="1">
        <v>1</v>
      </c>
      <c r="F3" s="1">
        <v>1</v>
      </c>
      <c r="G3" s="1">
        <v>2</v>
      </c>
      <c r="H3" s="1">
        <v>2</v>
      </c>
      <c r="I3" s="1">
        <v>2</v>
      </c>
      <c r="J3" s="1" t="s">
        <v>81</v>
      </c>
      <c r="K3" s="1">
        <f>AVERAGE(99,90,97,90)</f>
        <v>94</v>
      </c>
      <c r="L3" s="1">
        <f>AVERAGE(33,48,33,39,24,38)</f>
        <v>35.833333333333336</v>
      </c>
    </row>
    <row r="4" spans="1:18" ht="14.25" customHeight="1">
      <c r="A4" s="1" t="str">
        <f>metadata!A16</f>
        <v>PE_Q3</v>
      </c>
      <c r="B4" s="1" t="s">
        <v>30</v>
      </c>
      <c r="C4" s="1" t="s">
        <v>31</v>
      </c>
      <c r="D4" s="1">
        <f>AVERAGE(100,95,100,100)</f>
        <v>98.75</v>
      </c>
      <c r="E4" s="1">
        <v>2</v>
      </c>
      <c r="F4" s="1">
        <v>2</v>
      </c>
      <c r="G4" s="1">
        <v>2</v>
      </c>
      <c r="H4" s="1">
        <v>2</v>
      </c>
      <c r="I4" s="1">
        <v>2</v>
      </c>
      <c r="J4" s="1" t="s">
        <v>81</v>
      </c>
      <c r="K4" s="1">
        <f>AVERAGE(80,60,87,65)</f>
        <v>73</v>
      </c>
      <c r="L4" s="1">
        <f>AVERAGE(77,46,81,58,63,69)</f>
        <v>65.666666666666671</v>
      </c>
      <c r="M4" s="1" t="s">
        <v>76</v>
      </c>
      <c r="N4" s="1">
        <f>AVERAGE(20,40,13,35)</f>
        <v>27</v>
      </c>
      <c r="O4" s="1">
        <f>AVERAGE(35,33,39,29,27,26)</f>
        <v>31.5</v>
      </c>
    </row>
    <row r="5" spans="1:18" ht="14.25" customHeight="1"/>
    <row r="6" spans="1:18" ht="14.25" customHeight="1"/>
    <row r="7" spans="1:18" ht="14.25" customHeight="1"/>
    <row r="8" spans="1:18" ht="14.25" customHeight="1"/>
    <row r="9" spans="1:18" ht="14.25" customHeight="1"/>
    <row r="10" spans="1:18" ht="14.25" customHeight="1"/>
    <row r="11" spans="1:18" ht="14.25" customHeight="1"/>
    <row r="12" spans="1:18" ht="14.25" customHeight="1"/>
    <row r="13" spans="1:18" ht="14.25" customHeight="1"/>
    <row r="14" spans="1:18" ht="14.25" customHeight="1"/>
    <row r="15" spans="1:18" ht="14.25" customHeight="1"/>
    <row r="16" spans="1:18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1000"/>
  <sheetViews>
    <sheetView topLeftCell="I1" workbookViewId="0">
      <selection activeCell="E13" sqref="E13"/>
    </sheetView>
  </sheetViews>
  <sheetFormatPr baseColWidth="10" defaultColWidth="14.453125" defaultRowHeight="15" customHeight="1"/>
  <cols>
    <col min="1" max="2" width="10.7265625" customWidth="1"/>
    <col min="3" max="4" width="12.26953125" customWidth="1"/>
    <col min="5" max="5" width="13.54296875" customWidth="1"/>
    <col min="6" max="6" width="12.81640625" customWidth="1"/>
    <col min="7" max="7" width="13.26953125" customWidth="1"/>
    <col min="8" max="8" width="12.81640625" customWidth="1"/>
    <col min="9" max="9" width="13.453125" customWidth="1"/>
    <col min="10" max="10" width="14.81640625" customWidth="1"/>
    <col min="11" max="11" width="15.08984375" customWidth="1"/>
    <col min="12" max="12" width="16.81640625" customWidth="1"/>
    <col min="13" max="13" width="16.7265625" customWidth="1"/>
    <col min="14" max="14" width="16.81640625" customWidth="1"/>
    <col min="15" max="15" width="15" customWidth="1"/>
    <col min="16" max="26" width="10.7265625" customWidth="1"/>
  </cols>
  <sheetData>
    <row r="1" spans="1:18" ht="14.25" customHeight="1">
      <c r="A1" s="4" t="s">
        <v>67</v>
      </c>
      <c r="B1" s="4" t="s">
        <v>0</v>
      </c>
      <c r="C1" s="4" t="s">
        <v>1</v>
      </c>
      <c r="D1" s="4" t="s">
        <v>41</v>
      </c>
      <c r="E1" s="4" t="s">
        <v>45</v>
      </c>
      <c r="F1" s="4" t="s">
        <v>47</v>
      </c>
      <c r="G1" s="4" t="s">
        <v>49</v>
      </c>
      <c r="H1" s="4" t="s">
        <v>51</v>
      </c>
      <c r="I1" s="4" t="s">
        <v>53</v>
      </c>
      <c r="J1" s="4" t="s">
        <v>55</v>
      </c>
      <c r="K1" s="4" t="s">
        <v>57</v>
      </c>
      <c r="L1" s="4" t="s">
        <v>73</v>
      </c>
      <c r="M1" s="4" t="s">
        <v>59</v>
      </c>
      <c r="N1" s="4" t="s">
        <v>61</v>
      </c>
      <c r="O1" s="5" t="s">
        <v>74</v>
      </c>
      <c r="P1" s="4" t="s">
        <v>63</v>
      </c>
      <c r="Q1" s="4" t="s">
        <v>65</v>
      </c>
      <c r="R1" s="6" t="s">
        <v>75</v>
      </c>
    </row>
    <row r="2" spans="1:18" ht="14.25" customHeight="1">
      <c r="A2" s="1" t="str">
        <f>metadata!A17</f>
        <v>PF_Q1</v>
      </c>
      <c r="B2" s="1" t="s">
        <v>32</v>
      </c>
      <c r="C2" s="1" t="s">
        <v>33</v>
      </c>
      <c r="D2" s="1">
        <f>AVERAGE(80,65,75,75)</f>
        <v>73.75</v>
      </c>
      <c r="E2" s="1">
        <v>1</v>
      </c>
      <c r="F2" s="1">
        <v>1</v>
      </c>
      <c r="G2" s="1">
        <v>1</v>
      </c>
      <c r="H2" s="1">
        <v>2</v>
      </c>
      <c r="I2" s="1">
        <v>2</v>
      </c>
      <c r="J2" s="1" t="s">
        <v>81</v>
      </c>
      <c r="K2" s="1">
        <f>AVERAGE(98,63,99,70)</f>
        <v>82.5</v>
      </c>
      <c r="L2" s="1">
        <f>AVERAGE(10,18,30,27,31,54)</f>
        <v>28.333333333333332</v>
      </c>
    </row>
    <row r="3" spans="1:18" ht="14.25" customHeight="1">
      <c r="A3" s="1" t="str">
        <f>metadata!A18</f>
        <v>PF_Q2</v>
      </c>
      <c r="B3" s="1" t="s">
        <v>34</v>
      </c>
      <c r="C3" s="1" t="s">
        <v>35</v>
      </c>
      <c r="D3" s="1">
        <f>AVERAGE(40,50,35,40)</f>
        <v>41.25</v>
      </c>
      <c r="E3" s="1">
        <v>1</v>
      </c>
      <c r="F3" s="1">
        <v>2</v>
      </c>
      <c r="G3" s="1">
        <v>2</v>
      </c>
      <c r="H3" s="1">
        <v>2</v>
      </c>
      <c r="I3" s="1">
        <v>2</v>
      </c>
      <c r="J3" s="1" t="s">
        <v>81</v>
      </c>
      <c r="K3" s="1">
        <f>AVERAGE(97,95,99,95)</f>
        <v>96.5</v>
      </c>
      <c r="L3" s="1">
        <f>AVERAGE(24,22,36,31,26,27)</f>
        <v>27.666666666666668</v>
      </c>
    </row>
    <row r="4" spans="1:18" ht="14.25" customHeight="1">
      <c r="A4" s="1" t="str">
        <f>metadata!A19</f>
        <v>PF_Q3</v>
      </c>
      <c r="B4" s="1" t="s">
        <v>36</v>
      </c>
      <c r="C4" s="1" t="s">
        <v>37</v>
      </c>
      <c r="D4" s="1">
        <f>AVERAGE(50,50,30,50)</f>
        <v>45</v>
      </c>
      <c r="E4" s="1">
        <v>1</v>
      </c>
      <c r="F4" s="1">
        <v>1</v>
      </c>
      <c r="G4" s="1">
        <v>1</v>
      </c>
      <c r="H4" s="1">
        <v>1</v>
      </c>
      <c r="I4" s="1">
        <v>2</v>
      </c>
      <c r="J4" s="1" t="s">
        <v>81</v>
      </c>
      <c r="K4" s="1">
        <f>AVERAGE(99,98,99,98)</f>
        <v>98.5</v>
      </c>
      <c r="L4" s="1">
        <f>AVERAGE(19,16,17,21,17,23)</f>
        <v>18.833333333333332</v>
      </c>
    </row>
    <row r="5" spans="1:18" ht="14.25" customHeight="1"/>
    <row r="6" spans="1:18" ht="14.25" customHeight="1"/>
    <row r="7" spans="1:18" ht="14.25" customHeight="1"/>
    <row r="8" spans="1:18" ht="14.25" customHeight="1"/>
    <row r="9" spans="1:18" ht="14.25" customHeight="1"/>
    <row r="10" spans="1:18" ht="14.25" customHeight="1"/>
    <row r="11" spans="1:18" ht="14.25" customHeight="1"/>
    <row r="12" spans="1:18" ht="14.25" customHeight="1"/>
    <row r="13" spans="1:18" ht="14.25" customHeight="1"/>
    <row r="14" spans="1:18" ht="14.25" customHeight="1"/>
    <row r="15" spans="1:18" ht="14.25" customHeight="1"/>
    <row r="16" spans="1:18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F23C5-7489-4A1E-A0AD-0B8FE453DEB8}">
  <dimension ref="A1:K10"/>
  <sheetViews>
    <sheetView zoomScale="96" workbookViewId="0">
      <selection activeCell="N6" sqref="N6"/>
    </sheetView>
  </sheetViews>
  <sheetFormatPr baseColWidth="10" defaultRowHeight="14.5"/>
  <sheetData>
    <row r="1" spans="1:11" ht="14.25" customHeight="1">
      <c r="A1" s="4" t="s">
        <v>67</v>
      </c>
      <c r="B1" s="4" t="s">
        <v>87</v>
      </c>
      <c r="C1" s="4" t="s">
        <v>93</v>
      </c>
      <c r="D1" s="4" t="s">
        <v>92</v>
      </c>
      <c r="E1" s="4" t="s">
        <v>91</v>
      </c>
      <c r="F1" s="4" t="s">
        <v>121</v>
      </c>
      <c r="G1" s="4"/>
      <c r="H1" s="5"/>
      <c r="I1" s="4"/>
      <c r="J1" s="4"/>
      <c r="K1" s="6"/>
    </row>
    <row r="2" spans="1:11">
      <c r="A2" s="8" t="s">
        <v>117</v>
      </c>
      <c r="B2" t="s">
        <v>90</v>
      </c>
      <c r="C2" s="1" t="s">
        <v>81</v>
      </c>
      <c r="D2" s="1">
        <f>AVERAGE(25,20,25,20)</f>
        <v>22.5</v>
      </c>
      <c r="E2" s="1">
        <f>AVERAGE(40,52,41,35,33,40)</f>
        <v>40.166666666666664</v>
      </c>
      <c r="F2">
        <v>43.678583333333336</v>
      </c>
    </row>
    <row r="3" spans="1:11" ht="14.25" customHeight="1">
      <c r="A3" s="8" t="s">
        <v>117</v>
      </c>
      <c r="B3" s="1" t="s">
        <v>88</v>
      </c>
      <c r="C3" s="1" t="s">
        <v>81</v>
      </c>
      <c r="D3" s="1">
        <f>AVERAGE(70,75,60,70)</f>
        <v>68.75</v>
      </c>
      <c r="E3" s="1">
        <f>AVERAGE(37,39,38,42,35,47)</f>
        <v>39.666666666666664</v>
      </c>
      <c r="F3" s="1">
        <v>42.543583333333338</v>
      </c>
      <c r="G3" s="1"/>
      <c r="H3" s="1"/>
    </row>
    <row r="4" spans="1:11">
      <c r="A4" s="8" t="s">
        <v>118</v>
      </c>
      <c r="B4" t="s">
        <v>88</v>
      </c>
      <c r="C4" s="1" t="s">
        <v>81</v>
      </c>
      <c r="D4" s="1">
        <f>AVERAGE(25,12,20,15)</f>
        <v>18</v>
      </c>
      <c r="E4" s="1">
        <f>AVERAGE(25,38,31,35,38,40)</f>
        <v>34.5</v>
      </c>
      <c r="F4">
        <v>20.745908333333333</v>
      </c>
    </row>
    <row r="5" spans="1:11" ht="14.25" customHeight="1">
      <c r="A5" s="8" t="s">
        <v>119</v>
      </c>
      <c r="B5" s="1" t="s">
        <v>88</v>
      </c>
      <c r="C5" s="1" t="s">
        <v>81</v>
      </c>
      <c r="D5" s="1">
        <f>AVERAGE(70,65,85,65)</f>
        <v>71.25</v>
      </c>
      <c r="E5" s="1">
        <f>AVERAGE(52,48,45,40,43,48)</f>
        <v>46</v>
      </c>
      <c r="F5">
        <v>52.5505</v>
      </c>
      <c r="G5" s="1"/>
      <c r="H5" s="1"/>
    </row>
    <row r="6" spans="1:11" ht="14.25" customHeight="1">
      <c r="A6" s="8" t="s">
        <v>119</v>
      </c>
      <c r="B6" s="1" t="s">
        <v>89</v>
      </c>
      <c r="C6" s="1" t="s">
        <v>81</v>
      </c>
      <c r="D6" s="1">
        <f>AVERAGE(99,90,97,90)</f>
        <v>94</v>
      </c>
      <c r="E6" s="1">
        <f>AVERAGE(33,48,33,39,24,38)</f>
        <v>35.833333333333336</v>
      </c>
      <c r="F6" s="1">
        <v>66.605583333333342</v>
      </c>
    </row>
    <row r="7" spans="1:11" ht="14.25" customHeight="1">
      <c r="A7" s="8" t="s">
        <v>119</v>
      </c>
      <c r="B7" t="s">
        <v>90</v>
      </c>
      <c r="C7" s="1" t="s">
        <v>81</v>
      </c>
      <c r="D7" s="1">
        <f>AVERAGE(80,60,87,65)</f>
        <v>73</v>
      </c>
      <c r="E7" s="1">
        <f>AVERAGE(77,46,81,58,63,69)</f>
        <v>65.666666666666671</v>
      </c>
      <c r="F7">
        <v>55.955499999999994</v>
      </c>
      <c r="G7" s="1"/>
      <c r="H7" s="1"/>
    </row>
    <row r="8" spans="1:11" ht="14.25" customHeight="1">
      <c r="A8" s="8" t="s">
        <v>120</v>
      </c>
      <c r="B8" t="s">
        <v>88</v>
      </c>
      <c r="C8" s="1" t="s">
        <v>81</v>
      </c>
      <c r="D8" s="1">
        <f>AVERAGE(98,63,99,70)</f>
        <v>82.5</v>
      </c>
      <c r="E8" s="1">
        <f>AVERAGE(10,18,30,27,31,54)</f>
        <v>28.333333333333332</v>
      </c>
      <c r="F8" s="10">
        <v>97.439750000000004</v>
      </c>
    </row>
    <row r="9" spans="1:11" ht="14.25" customHeight="1">
      <c r="A9" s="8" t="s">
        <v>120</v>
      </c>
      <c r="B9" t="s">
        <v>89</v>
      </c>
      <c r="C9" s="1" t="s">
        <v>81</v>
      </c>
      <c r="D9" s="1">
        <f>AVERAGE(97,95,99,95)</f>
        <v>96.5</v>
      </c>
      <c r="E9" s="1">
        <f>AVERAGE(24,22,36,31,26,27)</f>
        <v>27.666666666666668</v>
      </c>
      <c r="F9" s="10">
        <v>77.047583299999999</v>
      </c>
    </row>
    <row r="10" spans="1:11" ht="14.25" customHeight="1">
      <c r="A10" s="8" t="s">
        <v>120</v>
      </c>
      <c r="B10" t="s">
        <v>90</v>
      </c>
      <c r="C10" s="1" t="s">
        <v>81</v>
      </c>
      <c r="D10" s="1">
        <f>AVERAGE(99,98,99,98)</f>
        <v>98.5</v>
      </c>
      <c r="E10" s="1">
        <f>AVERAGE(19,16,17,21,17,23)</f>
        <v>18.833333333333332</v>
      </c>
      <c r="F10" s="10">
        <v>87.659833300000003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14</vt:i4>
      </vt:variant>
    </vt:vector>
  </HeadingPairs>
  <TitlesOfParts>
    <vt:vector size="14" baseType="lpstr">
      <vt:lpstr>metadata</vt:lpstr>
      <vt:lpstr>legende</vt:lpstr>
      <vt:lpstr>patch1</vt:lpstr>
      <vt:lpstr>patch2</vt:lpstr>
      <vt:lpstr>patch3</vt:lpstr>
      <vt:lpstr>patch4</vt:lpstr>
      <vt:lpstr>patch5</vt:lpstr>
      <vt:lpstr>patch6</vt:lpstr>
      <vt:lpstr>heightsalicornia</vt:lpstr>
      <vt:lpstr>heighthalimione</vt:lpstr>
      <vt:lpstr>heightcarex</vt:lpstr>
      <vt:lpstr>genus_quadrat</vt:lpstr>
      <vt:lpstr>genus_patch</vt:lpstr>
      <vt:lpstr>data_acp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Cléo Salvia</dc:creator>
  <cp:lastModifiedBy>Lucie Lavergne</cp:lastModifiedBy>
  <dcterms:created xsi:type="dcterms:W3CDTF">2023-10-19T21:58:50Z</dcterms:created>
  <dcterms:modified xsi:type="dcterms:W3CDTF">2023-12-18T22:27:31Z</dcterms:modified>
</cp:coreProperties>
</file>