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B1FA" lockStructure="1" lockWindows="0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Returns &amp; Risk" sheetId="3" state="visible" r:id="rId3"/>
    <sheet xmlns:r="http://schemas.openxmlformats.org/officeDocument/2006/relationships" name="Benchmark &amp; Factors" sheetId="4" state="visible" r:id="rId4"/>
    <sheet xmlns:r="http://schemas.openxmlformats.org/officeDocument/2006/relationships" name="Portfolio Optimization" sheetId="5" state="visible" r:id="rId5"/>
    <sheet xmlns:r="http://schemas.openxmlformats.org/officeDocument/2006/relationships" name="Monte Carlo" sheetId="6" state="visible" r:id="rId6"/>
    <sheet xmlns:r="http://schemas.openxmlformats.org/officeDocument/2006/relationships" name="CEG Deep Dive" sheetId="7" state="visible" r:id="rId7"/>
    <sheet xmlns:r="http://schemas.openxmlformats.org/officeDocument/2006/relationships" name="VST Deep Dive" sheetId="8" state="visible" r:id="rId8"/>
    <sheet xmlns:r="http://schemas.openxmlformats.org/officeDocument/2006/relationships" name="CCJ Deep Dive" sheetId="9" state="visible" r:id="rId9"/>
    <sheet xmlns:r="http://schemas.openxmlformats.org/officeDocument/2006/relationships" name="Catalyst Calendar" sheetId="10" state="visible" r:id="rId10"/>
    <sheet xmlns:r="http://schemas.openxmlformats.org/officeDocument/2006/relationships" name="Recommen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00%"/>
    <numFmt numFmtId="166" formatCode="0.0%"/>
    <numFmt numFmtId="167" formatCode="0.00000"/>
    <numFmt numFmtId="168" formatCode="+0.0%;-0.0%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C9A646"/>
      <sz val="13"/>
    </font>
    <font>
      <name val="Arial"/>
      <i val="1"/>
      <color rgb="00DCE6F1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0000"/>
      <sz val="9.5"/>
    </font>
    <font>
      <name val="Arial"/>
      <b val="1"/>
      <color rgb="00000000"/>
      <sz val="9.5"/>
    </font>
    <font>
      <name val="Arial"/>
      <i val="1"/>
      <color rgb="00595959"/>
      <sz val="8.5"/>
    </font>
    <font>
      <name val="Arial"/>
      <b val="1"/>
      <color rgb="00FFFFFF"/>
      <sz val="13"/>
    </font>
    <font>
      <name val="Arial"/>
      <color rgb="000000FF"/>
      <sz val="9.5"/>
    </font>
    <font>
      <name val="Arial"/>
      <b val="1"/>
      <color rgb="00000000"/>
      <sz val="10"/>
    </font>
    <font>
      <name val="Arial"/>
      <b val="1"/>
      <color rgb="000000FF"/>
      <sz val="9.5"/>
    </font>
    <font>
      <name val="Arial"/>
      <i val="1"/>
      <color rgb="007F7F7F"/>
      <sz val="8"/>
    </font>
    <font>
      <name val="Arial"/>
      <color rgb="00000000"/>
      <sz val="9"/>
    </font>
    <font>
      <name val="Arial"/>
      <b val="1"/>
      <color rgb="00FFFFFF"/>
      <sz val="8.5"/>
    </font>
    <font>
      <name val="Arial"/>
      <color rgb="007F7F7F"/>
      <sz val="8"/>
    </font>
    <font>
      <name val="Arial"/>
      <b val="1"/>
      <color rgb="00000000"/>
      <sz val="8.5"/>
    </font>
    <font>
      <name val="Arial"/>
      <color rgb="00000000"/>
      <sz val="8.5"/>
    </font>
    <font>
      <name val="Arial"/>
      <color rgb="007F7F7F"/>
      <sz val="8.5"/>
    </font>
    <font>
      <name val="Arial"/>
      <i val="1"/>
      <color rgb="00000000"/>
      <sz val="9.5"/>
    </font>
    <font>
      <name val="Arial"/>
      <color rgb="000000FF"/>
      <sz val="8.5"/>
    </font>
    <font>
      <name val="Arial"/>
      <i val="1"/>
      <color rgb="007F7F7F"/>
      <sz val="8.5"/>
    </font>
    <font>
      <name val="Arial"/>
      <b val="1"/>
      <color rgb="00000000"/>
      <sz val="9"/>
    </font>
    <font>
      <name val="Arial"/>
      <color rgb="000000FF"/>
      <sz val="9"/>
    </font>
    <font>
      <name val="Arial"/>
      <b val="1"/>
      <color rgb="00FFFFFF"/>
      <sz val="14"/>
    </font>
    <font>
      <name val="Arial"/>
      <i val="1"/>
      <color rgb="00404040"/>
      <sz val="10.5"/>
    </font>
    <font>
      <name val="Arial"/>
      <i val="1"/>
      <color rgb="00000000"/>
      <sz val="9"/>
    </font>
    <font>
      <name val="Arial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A88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8EA9C1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E7145"/>
      </patternFill>
    </fill>
    <fill>
      <patternFill patternType="solid">
        <fgColor rgb="00FCE4E4"/>
      </patternFill>
    </fill>
    <fill>
      <patternFill patternType="solid">
        <fgColor rgb="00375623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pivotButton="0" quotePrefix="0" xfId="0"/>
    <xf numFmtId="164" fontId="10" fillId="5" borderId="1" applyAlignment="1" pivotButton="0" quotePrefix="0" xfId="0">
      <alignment horizontal="center"/>
    </xf>
    <xf numFmtId="4" fontId="10" fillId="5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0" fontId="11" fillId="0" borderId="1" pivotButton="0" quotePrefix="0" xfId="0"/>
    <xf numFmtId="4" fontId="12" fillId="6" borderId="1" applyAlignment="1" pivotButton="0" quotePrefix="0" xfId="0">
      <alignment horizontal="center"/>
    </xf>
    <xf numFmtId="0" fontId="13" fillId="0" borderId="0" applyAlignment="1" pivotButton="0" quotePrefix="0" xfId="0">
      <alignment vertical="top" wrapText="1"/>
    </xf>
    <xf numFmtId="0" fontId="15" fillId="7" borderId="0" applyAlignment="1" pivotButton="0" quotePrefix="0" xfId="0">
      <alignment horizontal="center" vertical="center" wrapText="1"/>
    </xf>
    <xf numFmtId="0" fontId="14" fillId="5" borderId="1" pivotButton="0" quotePrefix="0" xfId="0"/>
    <xf numFmtId="10" fontId="14" fillId="5" borderId="1" applyAlignment="1" pivotButton="0" quotePrefix="0" xfId="0">
      <alignment horizontal="center"/>
    </xf>
    <xf numFmtId="0" fontId="0" fillId="5" borderId="1" pivotButton="0" quotePrefix="0" xfId="0"/>
    <xf numFmtId="2" fontId="14" fillId="5" borderId="1" applyAlignment="1" pivotButton="0" quotePrefix="0" xfId="0">
      <alignment horizontal="center"/>
    </xf>
    <xf numFmtId="165" fontId="16" fillId="0" borderId="0" pivotButton="0" quotePrefix="0" xfId="0"/>
    <xf numFmtId="0" fontId="14" fillId="0" borderId="1" pivotButton="0" quotePrefix="0" xfId="0"/>
    <xf numFmtId="10" fontId="14" fillId="0" borderId="1" applyAlignment="1" pivotButton="0" quotePrefix="0" xfId="0">
      <alignment horizontal="center"/>
    </xf>
    <xf numFmtId="2" fontId="14" fillId="0" borderId="1" applyAlignment="1" pivotButton="0" quotePrefix="0" xfId="0">
      <alignment horizontal="center"/>
    </xf>
    <xf numFmtId="0" fontId="17" fillId="6" borderId="1" applyAlignment="1" pivotButton="0" quotePrefix="0" xfId="0">
      <alignment horizontal="center" vertical="center" wrapText="1"/>
    </xf>
    <xf numFmtId="0" fontId="18" fillId="5" borderId="1" pivotButton="0" quotePrefix="0" xfId="0"/>
    <xf numFmtId="164" fontId="18" fillId="5" borderId="1" pivotButton="0" quotePrefix="0" xfId="0"/>
    <xf numFmtId="164" fontId="19" fillId="5" borderId="1" pivotButton="0" quotePrefix="0" xfId="0"/>
    <xf numFmtId="166" fontId="18" fillId="5" borderId="1" pivotButton="0" quotePrefix="0" xfId="0"/>
    <xf numFmtId="0" fontId="18" fillId="0" borderId="1" pivotButton="0" quotePrefix="0" xfId="0"/>
    <xf numFmtId="164" fontId="18" fillId="0" borderId="1" pivotButton="0" quotePrefix="0" xfId="0"/>
    <xf numFmtId="164" fontId="19" fillId="0" borderId="1" pivotButton="0" quotePrefix="0" xfId="0"/>
    <xf numFmtId="166" fontId="18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20" fillId="0" borderId="1" pivotButton="0" quotePrefix="0" xfId="0"/>
    <xf numFmtId="166" fontId="12" fillId="8" borderId="1" pivotButton="0" quotePrefix="0" xfId="0"/>
    <xf numFmtId="10" fontId="6" fillId="0" borderId="1" applyAlignment="1" pivotButton="0" quotePrefix="0" xfId="0">
      <alignment horizontal="center"/>
    </xf>
    <xf numFmtId="10" fontId="6" fillId="5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6" fontId="6" fillId="5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10" fontId="16" fillId="0" borderId="0" pivotButton="0" quotePrefix="0" xfId="0"/>
    <xf numFmtId="0" fontId="7" fillId="5" borderId="1" pivotButton="0" quotePrefix="0" xfId="0"/>
    <xf numFmtId="167" fontId="14" fillId="5" borderId="1" applyAlignment="1" pivotButton="0" quotePrefix="0" xfId="0">
      <alignment horizontal="center"/>
    </xf>
    <xf numFmtId="167" fontId="14" fillId="0" borderId="1" applyAlignment="1" pivotButton="0" quotePrefix="0" xfId="0">
      <alignment horizontal="center"/>
    </xf>
    <xf numFmtId="9" fontId="21" fillId="5" borderId="1" applyAlignment="1" pivotButton="0" quotePrefix="0" xfId="0">
      <alignment horizontal="center"/>
    </xf>
    <xf numFmtId="166" fontId="18" fillId="5" borderId="1" applyAlignment="1" pivotButton="0" quotePrefix="0" xfId="0">
      <alignment horizontal="center"/>
    </xf>
    <xf numFmtId="2" fontId="18" fillId="5" borderId="1" applyAlignment="1" pivotButton="0" quotePrefix="0" xfId="0">
      <alignment horizontal="center"/>
    </xf>
    <xf numFmtId="9" fontId="21" fillId="0" borderId="1" applyAlignment="1" pivotButton="0" quotePrefix="0" xfId="0">
      <alignment horizontal="center"/>
    </xf>
    <xf numFmtId="166" fontId="18" fillId="0" borderId="1" applyAlignment="1" pivotButton="0" quotePrefix="0" xfId="0">
      <alignment horizontal="center"/>
    </xf>
    <xf numFmtId="2" fontId="18" fillId="0" borderId="1" applyAlignment="1" pivotButton="0" quotePrefix="0" xfId="0">
      <alignment horizontal="center"/>
    </xf>
    <xf numFmtId="0" fontId="4" fillId="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4" fillId="10" borderId="0" applyAlignment="1" pivotButton="0" quotePrefix="0" xfId="0">
      <alignment horizontal="center" vertical="center" wrapText="1"/>
    </xf>
    <xf numFmtId="0" fontId="7" fillId="4" borderId="1" pivotButton="0" quotePrefix="0" xfId="0"/>
    <xf numFmtId="9" fontId="7" fillId="4" borderId="1" applyAlignment="1" pivotButton="0" quotePrefix="0" xfId="0">
      <alignment horizontal="center"/>
    </xf>
    <xf numFmtId="166" fontId="7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0" fontId="7" fillId="6" borderId="1" pivotButton="0" quotePrefix="0" xfId="0"/>
    <xf numFmtId="9" fontId="7" fillId="6" borderId="1" applyAlignment="1" pivotButton="0" quotePrefix="0" xfId="0">
      <alignment horizontal="center"/>
    </xf>
    <xf numFmtId="166" fontId="7" fillId="6" borderId="1" applyAlignment="1" pivotButton="0" quotePrefix="0" xfId="0">
      <alignment horizontal="center"/>
    </xf>
    <xf numFmtId="2" fontId="7" fillId="6" borderId="1" applyAlignment="1" pivotButton="0" quotePrefix="0" xfId="0">
      <alignment horizontal="center"/>
    </xf>
    <xf numFmtId="0" fontId="22" fillId="0" borderId="0" applyAlignment="1" pivotButton="0" quotePrefix="0" xfId="0">
      <alignment vertical="top" wrapText="1"/>
    </xf>
    <xf numFmtId="3" fontId="12" fillId="5" borderId="1" pivotButton="0" quotePrefix="0" xfId="0"/>
    <xf numFmtId="166" fontId="12" fillId="0" borderId="1" pivotButton="0" quotePrefix="0" xfId="0"/>
    <xf numFmtId="166" fontId="12" fillId="5" borderId="1" pivotButton="0" quotePrefix="0" xfId="0"/>
    <xf numFmtId="0" fontId="23" fillId="6" borderId="1" applyAlignment="1" pivotButton="0" quotePrefix="0" xfId="0">
      <alignment horizontal="center" vertical="center" wrapText="1"/>
    </xf>
    <xf numFmtId="2" fontId="24" fillId="5" borderId="1" applyAlignment="1" pivotButton="0" quotePrefix="0" xfId="0">
      <alignment horizontal="center"/>
    </xf>
    <xf numFmtId="2" fontId="24" fillId="0" borderId="1" applyAlignment="1" pivotButton="0" quotePrefix="0" xfId="0">
      <alignment horizontal="center"/>
    </xf>
    <xf numFmtId="166" fontId="21" fillId="0" borderId="0" pivotButton="0" quotePrefix="0" xfId="0"/>
    <xf numFmtId="10" fontId="21" fillId="0" borderId="0" pivotButton="0" quotePrefix="0" xfId="0"/>
    <xf numFmtId="0" fontId="25" fillId="2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1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top" wrapText="1"/>
    </xf>
    <xf numFmtId="0" fontId="4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vertical="top" wrapText="1"/>
    </xf>
    <xf numFmtId="0" fontId="23" fillId="0" borderId="1" pivotButton="0" quotePrefix="0" xfId="0"/>
    <xf numFmtId="0" fontId="23" fillId="0" borderId="1" applyAlignment="1" pivotButton="0" quotePrefix="0" xfId="0">
      <alignment horizontal="center"/>
    </xf>
    <xf numFmtId="0" fontId="14" fillId="0" borderId="1" applyAlignment="1" pivotButton="0" quotePrefix="0" xfId="0">
      <alignment vertical="top" wrapText="1"/>
    </xf>
    <xf numFmtId="0" fontId="27" fillId="0" borderId="1" applyAlignment="1" pivotButton="0" quotePrefix="0" xfId="0">
      <alignment horizontal="center" wrapText="1"/>
    </xf>
    <xf numFmtId="0" fontId="23" fillId="5" borderId="1" pivotButton="0" quotePrefix="0" xfId="0"/>
    <xf numFmtId="0" fontId="23" fillId="5" borderId="1" applyAlignment="1" pivotButton="0" quotePrefix="0" xfId="0">
      <alignment horizontal="center"/>
    </xf>
    <xf numFmtId="0" fontId="14" fillId="5" borderId="1" applyAlignment="1" pivotButton="0" quotePrefix="0" xfId="0">
      <alignment vertical="top" wrapText="1"/>
    </xf>
    <xf numFmtId="0" fontId="27" fillId="5" borderId="1" applyAlignment="1" pivotButton="0" quotePrefix="0" xfId="0">
      <alignment horizontal="center" wrapText="1"/>
    </xf>
    <xf numFmtId="0" fontId="23" fillId="4" borderId="1" applyAlignment="1" pivotButton="0" quotePrefix="0" xfId="0">
      <alignment horizontal="center"/>
    </xf>
    <xf numFmtId="0" fontId="23" fillId="8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9" fontId="6" fillId="5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168" fontId="12" fillId="11" borderId="1" pivotButton="0" quotePrefix="0" xfId="0"/>
    <xf numFmtId="168" fontId="12" fillId="8" borderId="1" pivotButton="0" quotePrefix="0" xfId="0"/>
    <xf numFmtId="168" fontId="12" fillId="4" borderId="1" pivotButton="0" quotePrefix="0" xfId="0"/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Efficient Frontier — Risk vs. Return</a:t>
            </a:r>
          </a:p>
        </rich>
      </tx>
    </title>
    <plotArea>
      <scatterChart>
        <ser>
          <idx val="0"/>
          <order val="0"/>
          <tx>
            <v>Feasible Set (grid)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'Portfolio Optimization'!$E$12:$E$77</f>
            </numRef>
          </xVal>
          <yVal>
            <numRef>
              <f>'Portfolio Optimization'!$D$12:$D$77</f>
            </numRef>
          </yVal>
        </ser>
        <ser>
          <idx val="1"/>
          <order val="1"/>
          <tx>
            <v>Max-Sharpe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14"/>
            <spPr>
              <a:solidFill xmlns:a="http://schemas.openxmlformats.org/drawingml/2006/main">
                <a:srgbClr val="C9A646"/>
              </a:solidFill>
              <a:ln xmlns:a="http://schemas.openxmlformats.org/drawingml/2006/main">
                <a:prstDash val="solid"/>
              </a:ln>
            </spPr>
          </marker>
          <xVal>
            <numRef>
              <f>'Portfolio Optimization'!$F$86</f>
            </numRef>
          </xVal>
          <yVal>
            <numRef>
              <f>'Portfolio Optimization'!$E$86</f>
            </numRef>
          </yVal>
        </ser>
        <ser>
          <idx val="2"/>
          <order val="2"/>
          <tx>
            <v>Min-Vol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2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xVal>
            <numRef>
              <f>'Portfolio Optimization'!$F$87</f>
            </numRef>
          </xVal>
          <yVal>
            <numRef>
              <f>'Portfolio Optimization'!$E$87</f>
            </numRef>
          </yVal>
        </ser>
        <ser>
          <idx val="3"/>
          <order val="3"/>
          <tx>
            <v>Research Reco (40/35/25)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12"/>
            <spPr>
              <a:solidFill xmlns:a="http://schemas.openxmlformats.org/drawingml/2006/main">
                <a:srgbClr val="B22222"/>
              </a:solidFill>
              <a:ln xmlns:a="http://schemas.openxmlformats.org/drawingml/2006/main">
                <a:prstDash val="solid"/>
              </a:ln>
            </spPr>
          </marker>
          <xVal>
            <numRef>
              <f>'Portfolio Optimization'!$F$82</f>
            </numRef>
          </xVal>
          <yVal>
            <numRef>
              <f>'Portfolio Optimization'!$E$82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Annualized Volatility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Annualized Return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Simulated Portfolio Paths — Percentile Fan (12 months)</a:t>
            </a:r>
          </a:p>
        </rich>
      </tx>
    </title>
    <plotArea>
      <lineChart>
        <grouping val="standard"/>
        <ser>
          <idx val="0"/>
          <order val="0"/>
          <tx>
            <strRef>
              <f>'Monte Carlo'!B18</f>
            </strRef>
          </tx>
          <spPr>
            <a:ln xmlns:a="http://schemas.openxmlformats.org/drawingml/2006/main" w="16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Carlo'!$B$19:$B$30</f>
            </numRef>
          </val>
          <smooth val="0"/>
        </ser>
        <ser>
          <idx val="1"/>
          <order val="1"/>
          <tx>
            <strRef>
              <f>'Monte Carlo'!C18</f>
            </strRef>
          </tx>
          <spPr>
            <a:ln xmlns:a="http://schemas.openxmlformats.org/drawingml/2006/main" w="16000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Carlo'!$C$19:$C$30</f>
            </numRef>
          </val>
          <smooth val="0"/>
        </ser>
        <ser>
          <idx val="2"/>
          <order val="2"/>
          <tx>
            <strRef>
              <f>'Monte Carlo'!D18</f>
            </strRef>
          </tx>
          <spPr>
            <a:ln xmlns:a="http://schemas.openxmlformats.org/drawingml/2006/main" w="16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Carlo'!$D$19:$D$30</f>
            </numRef>
          </val>
          <smooth val="0"/>
        </ser>
        <ser>
          <idx val="3"/>
          <order val="3"/>
          <tx>
            <strRef>
              <f>'Monte Carlo'!E18</f>
            </strRef>
          </tx>
          <spPr>
            <a:ln xmlns:a="http://schemas.openxmlformats.org/drawingml/2006/main" w="2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Carlo'!$E$19:$E$30</f>
            </numRef>
          </val>
          <smooth val="0"/>
        </ser>
        <ser>
          <idx val="4"/>
          <order val="4"/>
          <tx>
            <strRef>
              <f>'Monte Carlo'!F18</f>
            </strRef>
          </tx>
          <spPr>
            <a:ln xmlns:a="http://schemas.openxmlformats.org/drawingml/2006/main" w="16000">
              <a:solidFill>
                <a:srgbClr val="5482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Carlo'!$F$19:$F$30</f>
            </numRef>
          </val>
          <smooth val="0"/>
        </ser>
        <ser>
          <idx val="5"/>
          <order val="5"/>
          <tx>
            <strRef>
              <f>'Monte Carlo'!G18</f>
            </strRef>
          </tx>
          <spPr>
            <a:ln xmlns:a="http://schemas.openxmlformats.org/drawingml/2006/main" w="16000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Carlo'!$G$19:$G$30</f>
            </numRef>
          </val>
          <smooth val="0"/>
        </ser>
        <ser>
          <idx val="6"/>
          <order val="6"/>
          <tx>
            <strRef>
              <f>'Monte Carlo'!H18</f>
            </strRef>
          </tx>
          <spPr>
            <a:ln xmlns:a="http://schemas.openxmlformats.org/drawingml/2006/main" w="16000">
              <a:solidFill>
                <a:srgbClr val="C0C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'Monte Carlo'!$A$19:$A$30</f>
            </numRef>
          </cat>
          <val>
            <numRef>
              <f>'Monte Carlo'!$H$19:$H$30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Index (start = 1.00)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Terminal (12-mo)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'Monte Carlo'!B33</f>
            </strRef>
          </tx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'Monte Carlo'!$A$34:$A$63</f>
            </numRef>
          </cat>
          <val>
            <numRef>
              <f>'Monte Carlo'!$B$34:$B$63</f>
            </numRef>
          </val>
        </ser>
        <gapWidth val="1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12-mo Portfolio Return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16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31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0</row>
      <rowOff>0</rowOff>
    </from>
    <ext cx="17145000" cy="1333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333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7145000" cy="1333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1" ht="18" customHeight="1">
      <c r="A1" s="1" t="n"/>
      <c r="B1" s="1" t="n"/>
      <c r="C1" s="1" t="n"/>
      <c r="D1" s="1" t="n"/>
      <c r="E1" s="1" t="n"/>
      <c r="F1" s="1" t="n"/>
    </row>
    <row r="2" ht="18" customHeight="1">
      <c r="A2" s="1" t="n"/>
      <c r="B2" s="2" t="inlineStr">
        <is>
          <t>ENERGY SECTOR — SENIOR QUANT RESEARCH</t>
        </is>
      </c>
      <c r="F2" s="1" t="n"/>
    </row>
    <row r="3" ht="18" customHeight="1">
      <c r="A3" s="1" t="n"/>
      <c r="B3" s="3" t="inlineStr">
        <is>
          <t>CEG · VST · CCJ — Benchmark, Factor, Optimization &amp; Monte-Carlo Framework</t>
        </is>
      </c>
      <c r="F3" s="1" t="n"/>
    </row>
    <row r="4" ht="18" customHeight="1">
      <c r="A4" s="1" t="n"/>
      <c r="B4" s="1" t="n"/>
      <c r="C4" s="1" t="n"/>
      <c r="D4" s="1" t="n"/>
      <c r="E4" s="1" t="n"/>
      <c r="F4" s="1" t="n"/>
    </row>
    <row r="5" ht="18" customHeight="1">
      <c r="A5" s="1" t="n"/>
      <c r="B5" s="4" t="inlineStr">
        <is>
          <t>Independent Power Producers &amp; Nuclear Fuel — AI/Data-Center Power Demand Thematic</t>
        </is>
      </c>
      <c r="F5" s="1" t="n"/>
    </row>
    <row r="6" ht="18" customHeight="1">
      <c r="A6" s="1" t="n"/>
      <c r="B6" s="1" t="n"/>
      <c r="C6" s="1" t="n"/>
      <c r="D6" s="1" t="n"/>
      <c r="E6" s="1" t="n"/>
      <c r="F6" s="1" t="n"/>
    </row>
    <row r="7" ht="18" customHeight="1">
      <c r="A7" s="1" t="n"/>
      <c r="B7" s="5" t="inlineStr">
        <is>
          <t>Report date:</t>
        </is>
      </c>
      <c r="D7" s="6" t="inlineStr">
        <is>
          <t>2026-10-01</t>
        </is>
      </c>
      <c r="E7" s="1" t="n"/>
      <c r="F7" s="1" t="n"/>
    </row>
    <row r="8" ht="18" customHeight="1">
      <c r="A8" s="1" t="n"/>
      <c r="B8" s="5" t="inlineStr">
        <is>
          <t>Coverage window:</t>
        </is>
      </c>
      <c r="D8" s="6" t="inlineStr">
        <is>
          <t>Jan-2025 – Sep-2026 (trailing), fwd view to FY2027</t>
        </is>
      </c>
      <c r="E8" s="1" t="n"/>
      <c r="F8" s="1" t="n"/>
    </row>
    <row r="9" ht="18" customHeight="1">
      <c r="A9" s="1" t="n"/>
      <c r="B9" s="5" t="inlineStr">
        <is>
          <t>Prepared for:</t>
        </is>
      </c>
      <c r="D9" s="6" t="inlineStr">
        <is>
          <t>xristos.katsambas@gmail.com</t>
        </is>
      </c>
      <c r="E9" s="1" t="n"/>
      <c r="F9" s="1" t="n"/>
    </row>
    <row r="10" ht="18" customHeight="1">
      <c r="A10" s="1" t="n"/>
      <c r="B10" s="5" t="inlineStr">
        <is>
          <t>Classification:</t>
        </is>
      </c>
      <c r="D10" s="6" t="inlineStr">
        <is>
          <t>Internal research workbook — not a solicitation</t>
        </is>
      </c>
      <c r="E10" s="1" t="n"/>
      <c r="F10" s="1" t="n"/>
    </row>
    <row r="11" ht="18" customHeight="1">
      <c r="A11" s="1" t="n"/>
      <c r="B11" s="1" t="n"/>
      <c r="C11" s="1" t="n"/>
      <c r="D11" s="1" t="n"/>
      <c r="E11" s="1" t="n"/>
      <c r="F11" s="1" t="n"/>
    </row>
    <row r="12" ht="18" customHeight="1">
      <c r="A12" s="1" t="n"/>
      <c r="B12" s="1" t="n"/>
      <c r="C12" s="1" t="n"/>
      <c r="D12" s="1" t="n"/>
      <c r="E12" s="1" t="n"/>
      <c r="F12" s="1" t="n"/>
    </row>
    <row r="13" ht="18" customHeight="1"/>
    <row r="14" ht="18" customHeight="1">
      <c r="B14" s="7" t="inlineStr">
        <is>
          <t>WHAT'S NEW IN THIS VERSION (vs. the original workbook)</t>
        </is>
      </c>
    </row>
    <row r="15" ht="20" customHeight="1">
      <c r="B15" s="8" t="inlineStr">
        <is>
          <t>✓  XLE sector benchmark added — alpha, tracking error, information ratio, up/down capture</t>
        </is>
      </c>
    </row>
    <row r="16" ht="20" customHeight="1">
      <c r="B16" s="8" t="inlineStr">
        <is>
          <t>✓  Macro factor sensitivities — single-factor betas to WTI crude, Henry Hub gas, uranium spot, 10Y yield</t>
        </is>
      </c>
    </row>
    <row r="17" ht="20" customHeight="1">
      <c r="B17" s="8" t="inlineStr">
        <is>
          <t>✓  Real running-peak max drawdown (replaces the MIN/MAX proxy) + historical VaR/CVaR (95%/99%) + skew/kurtosis</t>
        </is>
      </c>
    </row>
    <row r="18" ht="20" customHeight="1">
      <c r="B18" s="8" t="inlineStr">
        <is>
          <t>✓  Sortino ratio (downside deviation) alongside Sharpe</t>
        </is>
      </c>
    </row>
    <row r="19" ht="20" customHeight="1">
      <c r="B19" s="8" t="inlineStr">
        <is>
          <t>✓  Mean-variance portfolio optimization — 66-point efficient frontier, max-Sharpe &amp; min-vol portfolios identified</t>
        </is>
      </c>
    </row>
    <row r="20" ht="20" customHeight="1">
      <c r="B20" s="8" t="inlineStr">
        <is>
          <t>✓  Monte Carlo simulation (10,000 paths, 12-month horizon) — percentile fan chart, terminal-value histogram, simulation-based VaR/CVaR</t>
        </is>
      </c>
    </row>
    <row r="21" ht="20" customHeight="1">
      <c r="B21" s="8" t="inlineStr">
        <is>
          <t>✓  Companion Python repo (src/) for full reproducibility: fetch_data.py, monte_carlo.py, build_workbook.py</t>
        </is>
      </c>
    </row>
    <row r="22" ht="18" customHeight="1"/>
    <row r="23" ht="18" customHeight="1">
      <c r="B23" s="7" t="inlineStr">
        <is>
          <t>WORKBOOK MAP</t>
        </is>
      </c>
    </row>
    <row r="24" ht="18" customHeight="1">
      <c r="B24" s="9" t="inlineStr">
        <is>
          <t>1. Cover</t>
        </is>
      </c>
      <c r="C24" s="10" t="inlineStr">
        <is>
          <t>This page — scope, what's new, disclaimers</t>
        </is>
      </c>
      <c r="D24" s="11" t="n"/>
      <c r="E24" s="11" t="n"/>
    </row>
    <row r="25" ht="18" customHeight="1">
      <c r="B25" s="9" t="inlineStr">
        <is>
          <t>2. Market Data</t>
        </is>
      </c>
      <c r="C25" s="10" t="inlineStr">
        <is>
          <t>Monthly levels: CEG/VST/CCJ/XLE + WTI, Henry Hub, 10Y yield, uranium spot — sourced</t>
        </is>
      </c>
      <c r="D25" s="11" t="n"/>
      <c r="E25" s="11" t="n"/>
    </row>
    <row r="26" ht="18" customHeight="1">
      <c r="B26" s="9" t="inlineStr">
        <is>
          <t>3. Returns &amp; Risk</t>
        </is>
      </c>
      <c r="C26" s="10" t="inlineStr">
        <is>
          <t>Returns, real drawdown, Sharpe/Sortino, VaR/CVaR, skew/kurtosis — live formulas</t>
        </is>
      </c>
      <c r="D26" s="11" t="n"/>
      <c r="E26" s="11" t="n"/>
    </row>
    <row r="27" ht="18" customHeight="1">
      <c r="B27" s="9" t="inlineStr">
        <is>
          <t>4. Benchmark &amp; Factors</t>
        </is>
      </c>
      <c r="C27" s="10" t="inlineStr">
        <is>
          <t>Alpha/beta/TE/IR/capture vs. XLE; univariate betas to oil/gas/uranium/rates</t>
        </is>
      </c>
      <c r="D27" s="11" t="n"/>
      <c r="E27" s="11" t="n"/>
    </row>
    <row r="28" ht="18" customHeight="1">
      <c r="B28" s="9" t="inlineStr">
        <is>
          <t>5. Portfolio Optimization</t>
        </is>
      </c>
      <c r="C28" s="10" t="inlineStr">
        <is>
          <t>66-point efficient frontier, max-Sharpe &amp; min-variance portfolios, CML</t>
        </is>
      </c>
      <c r="D28" s="11" t="n"/>
      <c r="E28" s="11" t="n"/>
    </row>
    <row r="29" ht="18" customHeight="1">
      <c r="B29" s="9" t="inlineStr">
        <is>
          <t>6. Monte Carlo</t>
        </is>
      </c>
      <c r="C29" s="10" t="inlineStr">
        <is>
          <t>10,000-path simulation: percentile fan, terminal histogram, sim VaR/CVaR</t>
        </is>
      </c>
      <c r="D29" s="11" t="n"/>
      <c r="E29" s="11" t="n"/>
    </row>
    <row r="30" ht="18" customHeight="1">
      <c r="B30" s="9" t="inlineStr">
        <is>
          <t>7-9. Deep Dives</t>
        </is>
      </c>
      <c r="C30" s="10" t="inlineStr">
        <is>
          <t>CEG / VST / CCJ — fundamentals, technicals, catalysts, earnings history</t>
        </is>
      </c>
      <c r="D30" s="11" t="n"/>
      <c r="E30" s="11" t="n"/>
    </row>
    <row r="31" ht="18" customHeight="1">
      <c r="B31" s="9" t="inlineStr">
        <is>
          <t>10. Catalyst Calendar</t>
        </is>
      </c>
      <c r="C31" s="10" t="inlineStr">
        <is>
          <t>Consolidated dated events, Oct-2026–Q1-2027</t>
        </is>
      </c>
      <c r="D31" s="11" t="n"/>
      <c r="E31" s="11" t="n"/>
    </row>
    <row r="32" ht="18" customHeight="1">
      <c r="B32" s="9" t="inlineStr">
        <is>
          <t>11. Recommendation</t>
        </is>
      </c>
      <c r="C32" s="10" t="inlineStr">
        <is>
          <t>Optimizer + simulation-informed sizing, scenario framing, disclaimer</t>
        </is>
      </c>
      <c r="D32" s="11" t="n"/>
      <c r="E32" s="11" t="n"/>
    </row>
    <row r="33" ht="18" customHeight="1"/>
    <row r="34" ht="18" customHeight="1"/>
    <row r="35" ht="18" customHeight="1">
      <c r="B35" s="12" t="inlineStr">
        <is>
          <t>METHODOLOGY &amp; LIMITATIONS (read before using any number in this workbook): Monthly observation frequency (21 months) is a THIN sample for statistical inference — covariance, VaR, skew/kurtosis and regression betas all carry wide estimation error at n=20. Max drawdown, VaR/CVaR and correlation use month-end data only and will UNDERSTATE true intra-month peak-to-trough risk. Macro factor betas are univariate (one factor at a time) — true multi-factor attribution requires controlling for collinearity among oil/gas/uranium/rates, which is a job for proper regression software, not single-variable Excel formulas; treat these as directional, not precise. The Monte Carlo simulation assumes i.i.d. multivariate-normal monthly returns — it does not capture fat tails, regime shifts, or autocorrelation, and is a shape-of-uncertainty illustration, not a forecast. WTI and uranium monthly series are analyst-reconstructed approximations (see Market Data sourcing note); XLE, Henry Hub, and 10Y yield are sourced from public data providers. This is NOT investment advice or a broker-dealer research report. Verify every figure against a live terminal before acting.</t>
        </is>
      </c>
    </row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>
      <c r="A43" t="inlineStr">
        <is>
          <t>READ-ONLY COPY. © 2026 Christos Katsampas. All rights reserved. Viewing is permitted; copying, editing or redistribution without written permission is prohibited.</t>
        </is>
      </c>
    </row>
    <row r="44" ht="18" customHeight="1"/>
    <row r="45" ht="18" customHeigh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26">
    <mergeCell ref="B35:E40"/>
    <mergeCell ref="B7:C7"/>
    <mergeCell ref="C31:E31"/>
    <mergeCell ref="B15:E15"/>
    <mergeCell ref="B5:E5"/>
    <mergeCell ref="B20:E20"/>
    <mergeCell ref="C27:E27"/>
    <mergeCell ref="B16:E16"/>
    <mergeCell ref="B3:E3"/>
    <mergeCell ref="B8:C8"/>
    <mergeCell ref="C32:E32"/>
    <mergeCell ref="B18:E18"/>
    <mergeCell ref="C28:E28"/>
    <mergeCell ref="B10:C10"/>
    <mergeCell ref="B21:E21"/>
    <mergeCell ref="B2:E2"/>
    <mergeCell ref="B9:C9"/>
    <mergeCell ref="C30:E30"/>
    <mergeCell ref="B14:E14"/>
    <mergeCell ref="C24:E24"/>
    <mergeCell ref="B17:E17"/>
    <mergeCell ref="B23:E23"/>
    <mergeCell ref="C26:E26"/>
    <mergeCell ref="B19:E19"/>
    <mergeCell ref="C29:E29"/>
    <mergeCell ref="C25:E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</cols>
  <sheetData>
    <row r="1" ht="22" customHeight="1">
      <c r="A1" s="13" t="inlineStr">
        <is>
          <t>MONTHLY MARKET DATA — Prices, Benchmark &amp; Macro Factors (Jan-2025 – Sep-2026)</t>
        </is>
      </c>
    </row>
    <row r="2">
      <c r="A2" s="14" t="inlineStr">
        <is>
          <t>Month</t>
        </is>
      </c>
      <c r="B2" s="14" t="inlineStr">
        <is>
          <t>CEG</t>
        </is>
      </c>
      <c r="C2" s="14" t="inlineStr">
        <is>
          <t>VST</t>
        </is>
      </c>
      <c r="D2" s="14" t="inlineStr">
        <is>
          <t>CCJ</t>
        </is>
      </c>
      <c r="E2" s="14" t="inlineStr">
        <is>
          <t>XLE</t>
        </is>
      </c>
      <c r="F2" s="14" t="inlineStr">
        <is>
          <t>WTI</t>
        </is>
      </c>
      <c r="G2" s="14" t="inlineStr">
        <is>
          <t>Henry Hub</t>
        </is>
      </c>
      <c r="H2" s="14" t="inlineStr">
        <is>
          <t>UST 10Y</t>
        </is>
      </c>
      <c r="I2" s="14" t="inlineStr">
        <is>
          <t>Uranium</t>
        </is>
      </c>
    </row>
    <row r="3">
      <c r="A3" s="15" t="inlineStr">
        <is>
          <t>Jan-25</t>
        </is>
      </c>
      <c r="B3" s="16" t="n">
        <v>296.99</v>
      </c>
      <c r="C3" s="16" t="n">
        <v>166.66</v>
      </c>
      <c r="D3" s="16" t="n">
        <v>49.34</v>
      </c>
      <c r="E3" s="16" t="n">
        <v>41.83</v>
      </c>
      <c r="F3" s="17" t="n">
        <v>73</v>
      </c>
      <c r="G3" s="17" t="n">
        <v>4.13</v>
      </c>
      <c r="H3" s="17" t="n">
        <v>4.63</v>
      </c>
      <c r="I3" s="17" t="n">
        <v>73</v>
      </c>
    </row>
    <row r="4">
      <c r="A4" s="10" t="inlineStr">
        <is>
          <t>Feb-25</t>
        </is>
      </c>
      <c r="B4" s="18" t="n">
        <v>248.05</v>
      </c>
      <c r="C4" s="18" t="n">
        <v>132.57</v>
      </c>
      <c r="D4" s="18" t="n">
        <v>43.95</v>
      </c>
      <c r="E4" s="18" t="n">
        <v>43.43</v>
      </c>
      <c r="F4" s="19" t="n">
        <v>71</v>
      </c>
      <c r="G4" s="19" t="n">
        <v>4.19</v>
      </c>
      <c r="H4" s="19" t="n">
        <v>4.45</v>
      </c>
      <c r="I4" s="19" t="n">
        <v>69.5</v>
      </c>
    </row>
    <row r="5">
      <c r="A5" s="15" t="inlineStr">
        <is>
          <t>Mar-25</t>
        </is>
      </c>
      <c r="B5" s="16" t="n">
        <v>199.99</v>
      </c>
      <c r="C5" s="16" t="n">
        <v>116.68</v>
      </c>
      <c r="D5" s="16" t="n">
        <v>41.08</v>
      </c>
      <c r="E5" s="16" t="n">
        <v>44.95</v>
      </c>
      <c r="F5" s="17" t="n">
        <v>68.5</v>
      </c>
      <c r="G5" s="17" t="n">
        <v>4.12</v>
      </c>
      <c r="H5" s="17" t="n">
        <v>4.28</v>
      </c>
      <c r="I5" s="17" t="n">
        <v>66</v>
      </c>
    </row>
    <row r="6">
      <c r="A6" s="10" t="inlineStr">
        <is>
          <t>Apr-25</t>
        </is>
      </c>
      <c r="B6" s="18" t="n">
        <v>221.63</v>
      </c>
      <c r="C6" s="18" t="n">
        <v>128.79</v>
      </c>
      <c r="D6" s="18" t="n">
        <v>45.06</v>
      </c>
      <c r="E6" s="18" t="n">
        <v>38.72</v>
      </c>
      <c r="F6" s="19" t="n">
        <v>63</v>
      </c>
      <c r="G6" s="19" t="n">
        <v>3.42</v>
      </c>
      <c r="H6" s="19" t="n">
        <v>4.28</v>
      </c>
      <c r="I6" s="19" t="n">
        <v>64.5</v>
      </c>
    </row>
    <row r="7">
      <c r="A7" s="15" t="inlineStr">
        <is>
          <t>May-25</t>
        </is>
      </c>
      <c r="B7" s="16" t="n">
        <v>304.08</v>
      </c>
      <c r="C7" s="16" t="n">
        <v>159.54</v>
      </c>
      <c r="D7" s="16" t="n">
        <v>58.42</v>
      </c>
      <c r="E7" s="16" t="n">
        <v>39.22</v>
      </c>
      <c r="F7" s="17" t="n">
        <v>61.5</v>
      </c>
      <c r="G7" s="17" t="n">
        <v>3.12</v>
      </c>
      <c r="H7" s="17" t="n">
        <v>4.42</v>
      </c>
      <c r="I7" s="17" t="n">
        <v>68</v>
      </c>
    </row>
    <row r="8">
      <c r="A8" s="10" t="inlineStr">
        <is>
          <t>Jun-25</t>
        </is>
      </c>
      <c r="B8" s="18" t="n">
        <v>320.58</v>
      </c>
      <c r="C8" s="18" t="n">
        <v>192.8</v>
      </c>
      <c r="D8" s="18" t="n">
        <v>74.09</v>
      </c>
      <c r="E8" s="18" t="n">
        <v>41.12</v>
      </c>
      <c r="F8" s="19" t="n">
        <v>65</v>
      </c>
      <c r="G8" s="19" t="n">
        <v>3.02</v>
      </c>
      <c r="H8" s="19" t="n">
        <v>4.38</v>
      </c>
      <c r="I8" s="19" t="n">
        <v>71.5</v>
      </c>
    </row>
    <row r="9">
      <c r="A9" s="15" t="inlineStr">
        <is>
          <t>Jul-25</t>
        </is>
      </c>
      <c r="B9" s="16" t="n">
        <v>345.49</v>
      </c>
      <c r="C9" s="16" t="n">
        <v>207.46</v>
      </c>
      <c r="D9" s="16" t="n">
        <v>74.78</v>
      </c>
      <c r="E9" s="16" t="n">
        <v>42.29</v>
      </c>
      <c r="F9" s="17" t="n">
        <v>67</v>
      </c>
      <c r="G9" s="17" t="n">
        <v>3.2</v>
      </c>
      <c r="H9" s="17" t="n">
        <v>4.39</v>
      </c>
      <c r="I9" s="17" t="n">
        <v>73</v>
      </c>
    </row>
    <row r="10">
      <c r="A10" s="10" t="inlineStr">
        <is>
          <t>Aug-25</t>
        </is>
      </c>
      <c r="B10" s="18" t="n">
        <v>306.27</v>
      </c>
      <c r="C10" s="18" t="n">
        <v>188.13</v>
      </c>
      <c r="D10" s="18" t="n">
        <v>77.23999999999999</v>
      </c>
      <c r="E10" s="18" t="n">
        <v>43.83</v>
      </c>
      <c r="F10" s="19" t="n">
        <v>64.5</v>
      </c>
      <c r="G10" s="19" t="n">
        <v>2.91</v>
      </c>
      <c r="H10" s="19" t="n">
        <v>4.26</v>
      </c>
      <c r="I10" s="19" t="n">
        <v>75.5</v>
      </c>
    </row>
    <row r="11">
      <c r="A11" s="15" t="inlineStr">
        <is>
          <t>Sep-25</t>
        </is>
      </c>
      <c r="B11" s="16" t="n">
        <v>327.24</v>
      </c>
      <c r="C11" s="16" t="n">
        <v>195.11</v>
      </c>
      <c r="D11" s="16" t="n">
        <v>83.7</v>
      </c>
      <c r="E11" s="16" t="n">
        <v>43.69</v>
      </c>
      <c r="F11" s="17" t="n">
        <v>63.5</v>
      </c>
      <c r="G11" s="17" t="n">
        <v>2.97</v>
      </c>
      <c r="H11" s="17" t="n">
        <v>4.12</v>
      </c>
      <c r="I11" s="17" t="n">
        <v>78</v>
      </c>
    </row>
    <row r="12">
      <c r="A12" s="10" t="inlineStr">
        <is>
          <t>Oct-25</t>
        </is>
      </c>
      <c r="B12" s="18" t="n">
        <v>374.9</v>
      </c>
      <c r="C12" s="18" t="n">
        <v>187.52</v>
      </c>
      <c r="D12" s="18" t="n">
        <v>102.01</v>
      </c>
      <c r="E12" s="18" t="n">
        <v>43.1</v>
      </c>
      <c r="F12" s="19" t="n">
        <v>61</v>
      </c>
      <c r="G12" s="19" t="n">
        <v>3.19</v>
      </c>
      <c r="H12" s="19" t="n">
        <v>4.06</v>
      </c>
      <c r="I12" s="19" t="n">
        <v>80.5</v>
      </c>
    </row>
    <row r="13">
      <c r="A13" s="15" t="inlineStr">
        <is>
          <t>Nov-25</t>
        </is>
      </c>
      <c r="B13" s="16" t="n">
        <v>362.75</v>
      </c>
      <c r="C13" s="16" t="n">
        <v>178.12</v>
      </c>
      <c r="D13" s="16" t="n">
        <v>88.34</v>
      </c>
      <c r="E13" s="16" t="n">
        <v>44.23</v>
      </c>
      <c r="F13" s="17" t="n">
        <v>59.5</v>
      </c>
      <c r="G13" s="17" t="n">
        <v>3.79</v>
      </c>
      <c r="H13" s="17" t="n">
        <v>4.09</v>
      </c>
      <c r="I13" s="17" t="n">
        <v>79</v>
      </c>
    </row>
    <row r="14">
      <c r="A14" s="10" t="inlineStr">
        <is>
          <t>Dec-25</t>
        </is>
      </c>
      <c r="B14" s="18" t="n">
        <v>351.71</v>
      </c>
      <c r="C14" s="18" t="n">
        <v>160.89</v>
      </c>
      <c r="D14" s="18" t="n">
        <v>91.48999999999999</v>
      </c>
      <c r="E14" s="18" t="n">
        <v>44.1</v>
      </c>
      <c r="F14" s="19" t="n">
        <v>58</v>
      </c>
      <c r="G14" s="19" t="n">
        <v>4.26</v>
      </c>
      <c r="H14" s="19" t="n">
        <v>4.14</v>
      </c>
      <c r="I14" s="19" t="n">
        <v>81</v>
      </c>
    </row>
    <row r="15">
      <c r="A15" s="15" t="inlineStr">
        <is>
          <t>Jan-26</t>
        </is>
      </c>
      <c r="B15" s="16" t="n">
        <v>279.44</v>
      </c>
      <c r="C15" s="16" t="n">
        <v>157.92</v>
      </c>
      <c r="D15" s="16" t="n">
        <v>123.39</v>
      </c>
      <c r="E15" s="16" t="n">
        <v>50.36</v>
      </c>
      <c r="F15" s="17" t="n">
        <v>57</v>
      </c>
      <c r="G15" s="17" t="n">
        <v>7.72</v>
      </c>
      <c r="H15" s="17" t="n">
        <v>4.21</v>
      </c>
      <c r="I15" s="17" t="n">
        <v>83.5</v>
      </c>
    </row>
    <row r="16">
      <c r="A16" s="10" t="inlineStr">
        <is>
          <t>Feb-26</t>
        </is>
      </c>
      <c r="B16" s="18" t="n">
        <v>328.42</v>
      </c>
      <c r="C16" s="18" t="n">
        <v>173.42</v>
      </c>
      <c r="D16" s="18" t="n">
        <v>118.4</v>
      </c>
      <c r="E16" s="18" t="n">
        <v>55.16</v>
      </c>
      <c r="F16" s="19" t="n">
        <v>58.5</v>
      </c>
      <c r="G16" s="19" t="n">
        <v>3.62</v>
      </c>
      <c r="H16" s="19" t="n">
        <v>4.13</v>
      </c>
      <c r="I16" s="19" t="n">
        <v>82</v>
      </c>
    </row>
    <row r="17">
      <c r="A17" s="15" t="inlineStr">
        <is>
          <t>Mar-26</t>
        </is>
      </c>
      <c r="B17" s="16" t="n">
        <v>278.39</v>
      </c>
      <c r="C17" s="16" t="n">
        <v>150.12</v>
      </c>
      <c r="D17" s="16" t="n">
        <v>108.61</v>
      </c>
      <c r="E17" s="16" t="n">
        <v>60.82</v>
      </c>
      <c r="F17" s="17" t="n">
        <v>60</v>
      </c>
      <c r="G17" s="17" t="n">
        <v>3.04</v>
      </c>
      <c r="H17" s="17" t="n">
        <v>4.25</v>
      </c>
      <c r="I17" s="17" t="n">
        <v>80.5</v>
      </c>
    </row>
    <row r="18">
      <c r="A18" s="10" t="inlineStr">
        <is>
          <t>Apr-26</t>
        </is>
      </c>
      <c r="B18" s="18" t="n">
        <v>312.04</v>
      </c>
      <c r="C18" s="18" t="n">
        <v>157.62</v>
      </c>
      <c r="D18" s="18" t="n">
        <v>123.04</v>
      </c>
      <c r="E18" s="18" t="n">
        <v>59.22</v>
      </c>
      <c r="F18" s="19" t="n">
        <v>59</v>
      </c>
      <c r="G18" s="19" t="n">
        <v>2.77</v>
      </c>
      <c r="H18" s="19" t="n">
        <v>4.32</v>
      </c>
      <c r="I18" s="19" t="n">
        <v>84</v>
      </c>
    </row>
    <row r="19">
      <c r="A19" s="15" t="inlineStr">
        <is>
          <t>May-26</t>
        </is>
      </c>
      <c r="B19" s="16" t="n">
        <v>287.31</v>
      </c>
      <c r="C19" s="16" t="n">
        <v>160.01</v>
      </c>
      <c r="D19" s="16" t="n">
        <v>112.7</v>
      </c>
      <c r="E19" s="16" t="n">
        <v>55.89</v>
      </c>
      <c r="F19" s="17" t="n">
        <v>57.5</v>
      </c>
      <c r="G19" s="17" t="n">
        <v>2.94</v>
      </c>
      <c r="H19" s="17" t="n">
        <v>4.48</v>
      </c>
      <c r="I19" s="17" t="n">
        <v>86.5</v>
      </c>
    </row>
    <row r="20">
      <c r="A20" s="10" t="inlineStr">
        <is>
          <t>Jun-26</t>
        </is>
      </c>
      <c r="B20" s="18" t="n">
        <v>247.99</v>
      </c>
      <c r="C20" s="18" t="n">
        <v>158.63</v>
      </c>
      <c r="D20" s="18" t="n">
        <v>101.86</v>
      </c>
      <c r="E20" s="18" t="n">
        <v>53.11</v>
      </c>
      <c r="F20" s="19" t="n">
        <v>56</v>
      </c>
      <c r="G20" s="19" t="n">
        <v>3.15</v>
      </c>
      <c r="H20" s="19" t="n">
        <v>4.47</v>
      </c>
      <c r="I20" s="19" t="n">
        <v>85</v>
      </c>
    </row>
    <row r="21">
      <c r="A21" s="15" t="inlineStr">
        <is>
          <t>Jul-26</t>
        </is>
      </c>
      <c r="B21" s="16" t="n">
        <v>262.35</v>
      </c>
      <c r="C21" s="16" t="n">
        <v>148.19</v>
      </c>
      <c r="D21" s="16" t="n">
        <v>86.38</v>
      </c>
      <c r="E21" s="16" t="n">
        <v>59.55</v>
      </c>
      <c r="F21" s="17" t="n">
        <v>58</v>
      </c>
      <c r="G21" s="17" t="n">
        <v>2.89</v>
      </c>
      <c r="H21" s="17" t="n">
        <v>4.6</v>
      </c>
      <c r="I21" s="17" t="n">
        <v>87</v>
      </c>
    </row>
    <row r="22">
      <c r="A22" s="10" t="inlineStr">
        <is>
          <t>Aug-26</t>
        </is>
      </c>
      <c r="B22" s="18" t="n">
        <v>274.77</v>
      </c>
      <c r="C22" s="18" t="n">
        <v>137.37</v>
      </c>
      <c r="D22" s="18" t="n">
        <v>98.76000000000001</v>
      </c>
      <c r="E22" s="18" t="n">
        <v>63.96</v>
      </c>
      <c r="F22" s="19" t="n">
        <v>60.5</v>
      </c>
      <c r="G22" s="19" t="n">
        <v>2.78</v>
      </c>
      <c r="H22" s="19" t="n">
        <v>4.68</v>
      </c>
      <c r="I22" s="19" t="n">
        <v>88.5</v>
      </c>
    </row>
    <row r="23">
      <c r="A23" s="15" t="inlineStr">
        <is>
          <t>Sep-26</t>
        </is>
      </c>
      <c r="B23" s="16" t="n">
        <v>254.02</v>
      </c>
      <c r="C23" s="16" t="n">
        <v>138.35</v>
      </c>
      <c r="D23" s="16" t="n">
        <v>86.67</v>
      </c>
      <c r="E23" s="16" t="n">
        <v>61.54</v>
      </c>
      <c r="F23" s="17" t="n">
        <v>62</v>
      </c>
      <c r="G23" s="17" t="n">
        <v>2.85</v>
      </c>
      <c r="H23" s="17" t="n">
        <v>4.98</v>
      </c>
      <c r="I23" s="17" t="n">
        <v>89.45</v>
      </c>
    </row>
    <row r="26">
      <c r="A26" s="20" t="inlineStr">
        <is>
          <t>Spot (2026-10-01, intraday)</t>
        </is>
      </c>
      <c r="B26" s="21" t="n">
        <v>264.58</v>
      </c>
      <c r="C26" s="21" t="n">
        <v>139.05</v>
      </c>
      <c r="D26" s="21" t="n">
        <v>87.39</v>
      </c>
      <c r="E26" s="21" t="n">
        <v>61.8</v>
      </c>
      <c r="F26" s="21" t="n">
        <v>62</v>
      </c>
      <c r="G26" s="21" t="n">
        <v>2.85</v>
      </c>
      <c r="H26" s="21" t="n">
        <v>4.98</v>
      </c>
      <c r="I26" s="21" t="n">
        <v>89.45</v>
      </c>
    </row>
    <row r="28" ht="80" customHeight="1">
      <c r="A28" s="22" t="inlineStr">
        <is>
          <t>Sources: CEG/VST/CCJ — digrin.com, StockAnalysis.com, Yahoo Finance, Robinhood (retrieved 2026-10-01). XLE — digrin.com monthly closes. Henry Hub natural gas spot ($/MMBtu) — U.S. EIA (eia.gov/dnav/ng), Sep-2026 value estimated (not yet published at report date). UST 10Y — multpl.com monthly averages, cross-checked against market commentary for Sep-2026. Uranium spot (U3O8, $/lb) — Sep-2026 value sourced from Trading Economics; Jan-2025–Aug-2026 are ANALYST-RECONSTRUCTED APPROXIMATIONS consistent with the publicly reported direction of the uranium market (IMF/NUEXCO series not independently reproducible here) — replace with a UxC/TradeTech subscription feed before relying on these for the Uranium factor column. WTI crude ($/bbl) is similarly an ANALYST-RECONSTRUCTED APPROXIMATION based on EIA STEO commentary (direct EIA/FRED time-series endpoints were not reachable from this environment) — replace with a live feed (EIA, Bloomberg, FactSet) before using the Oil factor column for anything beyond directional illustration.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2">
    <mergeCell ref="A1:I1"/>
    <mergeCell ref="A28:I2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3" customWidth="1" min="6" max="6"/>
    <col width="11" customWidth="1" min="7" max="7"/>
    <col width="11" customWidth="1" min="8" max="8"/>
    <col width="10" customWidth="1" min="9" max="9"/>
    <col width="11" customWidth="1" min="10" max="10"/>
  </cols>
  <sheetData>
    <row r="1" ht="22" customHeight="1">
      <c r="A1" s="13" t="inlineStr">
        <is>
          <t>RETURNS &amp; RISK METRICS — live formulas, linked to Market Data</t>
        </is>
      </c>
    </row>
    <row r="2">
      <c r="A2" s="14" t="inlineStr">
        <is>
          <t>Month</t>
        </is>
      </c>
      <c r="B2" s="14" t="inlineStr">
        <is>
          <t>CEG</t>
        </is>
      </c>
      <c r="C2" s="14" t="inlineStr">
        <is>
          <t>VST</t>
        </is>
      </c>
      <c r="D2" s="14" t="inlineStr">
        <is>
          <t>CCJ</t>
        </is>
      </c>
      <c r="E2" s="14" t="inlineStr">
        <is>
          <t>XLE</t>
        </is>
      </c>
      <c r="F2" s="11" t="n"/>
      <c r="G2" s="14" t="inlineStr">
        <is>
          <t>WTI %chg</t>
        </is>
      </c>
      <c r="H2" s="14" t="inlineStr">
        <is>
          <t>HH %chg</t>
        </is>
      </c>
      <c r="I2" s="14" t="inlineStr">
        <is>
          <t>UST10Y Δ</t>
        </is>
      </c>
      <c r="J2" s="14" t="inlineStr">
        <is>
          <t>Uranium %chg</t>
        </is>
      </c>
      <c r="L2" s="23" t="inlineStr">
        <is>
          <t>CEG dwn²</t>
        </is>
      </c>
      <c r="M2" s="23" t="inlineStr">
        <is>
          <t>VST dwn²</t>
        </is>
      </c>
      <c r="N2" s="23" t="inlineStr">
        <is>
          <t>CCJ dwn²</t>
        </is>
      </c>
    </row>
    <row r="4">
      <c r="A4" s="24">
        <f>'Market Data'!A4</f>
        <v/>
      </c>
      <c r="B4" s="25">
        <f>('Market Data'!B4/'Market Data'!B3)-1</f>
        <v/>
      </c>
      <c r="C4" s="25">
        <f>('Market Data'!C4/'Market Data'!C3)-1</f>
        <v/>
      </c>
      <c r="D4" s="25">
        <f>('Market Data'!D4/'Market Data'!D3)-1</f>
        <v/>
      </c>
      <c r="E4" s="25">
        <f>('Market Data'!E4/'Market Data'!E3)-1</f>
        <v/>
      </c>
      <c r="F4" s="26" t="n"/>
      <c r="G4" s="25">
        <f>('Market Data'!F4/'Market Data'!F3)-1</f>
        <v/>
      </c>
      <c r="H4" s="25">
        <f>('Market Data'!G4/'Market Data'!G3)-1</f>
        <v/>
      </c>
      <c r="I4" s="27">
        <f>('Market Data'!H4-'Market Data'!H3)</f>
        <v/>
      </c>
      <c r="J4" s="25">
        <f>('Market Data'!I4/'Market Data'!I3)-1</f>
        <v/>
      </c>
      <c r="L4" s="28">
        <f>MIN(B4,0)^2</f>
        <v/>
      </c>
      <c r="M4" s="28">
        <f>MIN(C4,0)^2</f>
        <v/>
      </c>
      <c r="N4" s="28">
        <f>MIN(D4,0)^2</f>
        <v/>
      </c>
    </row>
    <row r="5">
      <c r="A5" s="29">
        <f>'Market Data'!A5</f>
        <v/>
      </c>
      <c r="B5" s="30">
        <f>('Market Data'!B5/'Market Data'!B4)-1</f>
        <v/>
      </c>
      <c r="C5" s="30">
        <f>('Market Data'!C5/'Market Data'!C4)-1</f>
        <v/>
      </c>
      <c r="D5" s="30">
        <f>('Market Data'!D5/'Market Data'!D4)-1</f>
        <v/>
      </c>
      <c r="E5" s="30">
        <f>('Market Data'!E5/'Market Data'!E4)-1</f>
        <v/>
      </c>
      <c r="F5" s="11" t="n"/>
      <c r="G5" s="30">
        <f>('Market Data'!F5/'Market Data'!F4)-1</f>
        <v/>
      </c>
      <c r="H5" s="30">
        <f>('Market Data'!G5/'Market Data'!G4)-1</f>
        <v/>
      </c>
      <c r="I5" s="31">
        <f>('Market Data'!H5-'Market Data'!H4)</f>
        <v/>
      </c>
      <c r="J5" s="30">
        <f>('Market Data'!I5/'Market Data'!I4)-1</f>
        <v/>
      </c>
      <c r="L5" s="28">
        <f>MIN(B5,0)^2</f>
        <v/>
      </c>
      <c r="M5" s="28">
        <f>MIN(C5,0)^2</f>
        <v/>
      </c>
      <c r="N5" s="28">
        <f>MIN(D5,0)^2</f>
        <v/>
      </c>
    </row>
    <row r="6">
      <c r="A6" s="24">
        <f>'Market Data'!A6</f>
        <v/>
      </c>
      <c r="B6" s="25">
        <f>('Market Data'!B6/'Market Data'!B5)-1</f>
        <v/>
      </c>
      <c r="C6" s="25">
        <f>('Market Data'!C6/'Market Data'!C5)-1</f>
        <v/>
      </c>
      <c r="D6" s="25">
        <f>('Market Data'!D6/'Market Data'!D5)-1</f>
        <v/>
      </c>
      <c r="E6" s="25">
        <f>('Market Data'!E6/'Market Data'!E5)-1</f>
        <v/>
      </c>
      <c r="F6" s="26" t="n"/>
      <c r="G6" s="25">
        <f>('Market Data'!F6/'Market Data'!F5)-1</f>
        <v/>
      </c>
      <c r="H6" s="25">
        <f>('Market Data'!G6/'Market Data'!G5)-1</f>
        <v/>
      </c>
      <c r="I6" s="27">
        <f>('Market Data'!H6-'Market Data'!H5)</f>
        <v/>
      </c>
      <c r="J6" s="25">
        <f>('Market Data'!I6/'Market Data'!I5)-1</f>
        <v/>
      </c>
      <c r="L6" s="28">
        <f>MIN(B6,0)^2</f>
        <v/>
      </c>
      <c r="M6" s="28">
        <f>MIN(C6,0)^2</f>
        <v/>
      </c>
      <c r="N6" s="28">
        <f>MIN(D6,0)^2</f>
        <v/>
      </c>
    </row>
    <row r="7">
      <c r="A7" s="29">
        <f>'Market Data'!A7</f>
        <v/>
      </c>
      <c r="B7" s="30">
        <f>('Market Data'!B7/'Market Data'!B6)-1</f>
        <v/>
      </c>
      <c r="C7" s="30">
        <f>('Market Data'!C7/'Market Data'!C6)-1</f>
        <v/>
      </c>
      <c r="D7" s="30">
        <f>('Market Data'!D7/'Market Data'!D6)-1</f>
        <v/>
      </c>
      <c r="E7" s="30">
        <f>('Market Data'!E7/'Market Data'!E6)-1</f>
        <v/>
      </c>
      <c r="F7" s="11" t="n"/>
      <c r="G7" s="30">
        <f>('Market Data'!F7/'Market Data'!F6)-1</f>
        <v/>
      </c>
      <c r="H7" s="30">
        <f>('Market Data'!G7/'Market Data'!G6)-1</f>
        <v/>
      </c>
      <c r="I7" s="31">
        <f>('Market Data'!H7-'Market Data'!H6)</f>
        <v/>
      </c>
      <c r="J7" s="30">
        <f>('Market Data'!I7/'Market Data'!I6)-1</f>
        <v/>
      </c>
      <c r="L7" s="28">
        <f>MIN(B7,0)^2</f>
        <v/>
      </c>
      <c r="M7" s="28">
        <f>MIN(C7,0)^2</f>
        <v/>
      </c>
      <c r="N7" s="28">
        <f>MIN(D7,0)^2</f>
        <v/>
      </c>
    </row>
    <row r="8">
      <c r="A8" s="24">
        <f>'Market Data'!A8</f>
        <v/>
      </c>
      <c r="B8" s="25">
        <f>('Market Data'!B8/'Market Data'!B7)-1</f>
        <v/>
      </c>
      <c r="C8" s="25">
        <f>('Market Data'!C8/'Market Data'!C7)-1</f>
        <v/>
      </c>
      <c r="D8" s="25">
        <f>('Market Data'!D8/'Market Data'!D7)-1</f>
        <v/>
      </c>
      <c r="E8" s="25">
        <f>('Market Data'!E8/'Market Data'!E7)-1</f>
        <v/>
      </c>
      <c r="F8" s="26" t="n"/>
      <c r="G8" s="25">
        <f>('Market Data'!F8/'Market Data'!F7)-1</f>
        <v/>
      </c>
      <c r="H8" s="25">
        <f>('Market Data'!G8/'Market Data'!G7)-1</f>
        <v/>
      </c>
      <c r="I8" s="27">
        <f>('Market Data'!H8-'Market Data'!H7)</f>
        <v/>
      </c>
      <c r="J8" s="25">
        <f>('Market Data'!I8/'Market Data'!I7)-1</f>
        <v/>
      </c>
      <c r="L8" s="28">
        <f>MIN(B8,0)^2</f>
        <v/>
      </c>
      <c r="M8" s="28">
        <f>MIN(C8,0)^2</f>
        <v/>
      </c>
      <c r="N8" s="28">
        <f>MIN(D8,0)^2</f>
        <v/>
      </c>
    </row>
    <row r="9">
      <c r="A9" s="29">
        <f>'Market Data'!A9</f>
        <v/>
      </c>
      <c r="B9" s="30">
        <f>('Market Data'!B9/'Market Data'!B8)-1</f>
        <v/>
      </c>
      <c r="C9" s="30">
        <f>('Market Data'!C9/'Market Data'!C8)-1</f>
        <v/>
      </c>
      <c r="D9" s="30">
        <f>('Market Data'!D9/'Market Data'!D8)-1</f>
        <v/>
      </c>
      <c r="E9" s="30">
        <f>('Market Data'!E9/'Market Data'!E8)-1</f>
        <v/>
      </c>
      <c r="F9" s="11" t="n"/>
      <c r="G9" s="30">
        <f>('Market Data'!F9/'Market Data'!F8)-1</f>
        <v/>
      </c>
      <c r="H9" s="30">
        <f>('Market Data'!G9/'Market Data'!G8)-1</f>
        <v/>
      </c>
      <c r="I9" s="31">
        <f>('Market Data'!H9-'Market Data'!H8)</f>
        <v/>
      </c>
      <c r="J9" s="30">
        <f>('Market Data'!I9/'Market Data'!I8)-1</f>
        <v/>
      </c>
      <c r="L9" s="28">
        <f>MIN(B9,0)^2</f>
        <v/>
      </c>
      <c r="M9" s="28">
        <f>MIN(C9,0)^2</f>
        <v/>
      </c>
      <c r="N9" s="28">
        <f>MIN(D9,0)^2</f>
        <v/>
      </c>
    </row>
    <row r="10">
      <c r="A10" s="24">
        <f>'Market Data'!A10</f>
        <v/>
      </c>
      <c r="B10" s="25">
        <f>('Market Data'!B10/'Market Data'!B9)-1</f>
        <v/>
      </c>
      <c r="C10" s="25">
        <f>('Market Data'!C10/'Market Data'!C9)-1</f>
        <v/>
      </c>
      <c r="D10" s="25">
        <f>('Market Data'!D10/'Market Data'!D9)-1</f>
        <v/>
      </c>
      <c r="E10" s="25">
        <f>('Market Data'!E10/'Market Data'!E9)-1</f>
        <v/>
      </c>
      <c r="F10" s="26" t="n"/>
      <c r="G10" s="25">
        <f>('Market Data'!F10/'Market Data'!F9)-1</f>
        <v/>
      </c>
      <c r="H10" s="25">
        <f>('Market Data'!G10/'Market Data'!G9)-1</f>
        <v/>
      </c>
      <c r="I10" s="27">
        <f>('Market Data'!H10-'Market Data'!H9)</f>
        <v/>
      </c>
      <c r="J10" s="25">
        <f>('Market Data'!I10/'Market Data'!I9)-1</f>
        <v/>
      </c>
      <c r="L10" s="28">
        <f>MIN(B10,0)^2</f>
        <v/>
      </c>
      <c r="M10" s="28">
        <f>MIN(C10,0)^2</f>
        <v/>
      </c>
      <c r="N10" s="28">
        <f>MIN(D10,0)^2</f>
        <v/>
      </c>
    </row>
    <row r="11">
      <c r="A11" s="29">
        <f>'Market Data'!A11</f>
        <v/>
      </c>
      <c r="B11" s="30">
        <f>('Market Data'!B11/'Market Data'!B10)-1</f>
        <v/>
      </c>
      <c r="C11" s="30">
        <f>('Market Data'!C11/'Market Data'!C10)-1</f>
        <v/>
      </c>
      <c r="D11" s="30">
        <f>('Market Data'!D11/'Market Data'!D10)-1</f>
        <v/>
      </c>
      <c r="E11" s="30">
        <f>('Market Data'!E11/'Market Data'!E10)-1</f>
        <v/>
      </c>
      <c r="F11" s="11" t="n"/>
      <c r="G11" s="30">
        <f>('Market Data'!F11/'Market Data'!F10)-1</f>
        <v/>
      </c>
      <c r="H11" s="30">
        <f>('Market Data'!G11/'Market Data'!G10)-1</f>
        <v/>
      </c>
      <c r="I11" s="31">
        <f>('Market Data'!H11-'Market Data'!H10)</f>
        <v/>
      </c>
      <c r="J11" s="30">
        <f>('Market Data'!I11/'Market Data'!I10)-1</f>
        <v/>
      </c>
      <c r="L11" s="28">
        <f>MIN(B11,0)^2</f>
        <v/>
      </c>
      <c r="M11" s="28">
        <f>MIN(C11,0)^2</f>
        <v/>
      </c>
      <c r="N11" s="28">
        <f>MIN(D11,0)^2</f>
        <v/>
      </c>
    </row>
    <row r="12">
      <c r="A12" s="24">
        <f>'Market Data'!A12</f>
        <v/>
      </c>
      <c r="B12" s="25">
        <f>('Market Data'!B12/'Market Data'!B11)-1</f>
        <v/>
      </c>
      <c r="C12" s="25">
        <f>('Market Data'!C12/'Market Data'!C11)-1</f>
        <v/>
      </c>
      <c r="D12" s="25">
        <f>('Market Data'!D12/'Market Data'!D11)-1</f>
        <v/>
      </c>
      <c r="E12" s="25">
        <f>('Market Data'!E12/'Market Data'!E11)-1</f>
        <v/>
      </c>
      <c r="F12" s="26" t="n"/>
      <c r="G12" s="25">
        <f>('Market Data'!F12/'Market Data'!F11)-1</f>
        <v/>
      </c>
      <c r="H12" s="25">
        <f>('Market Data'!G12/'Market Data'!G11)-1</f>
        <v/>
      </c>
      <c r="I12" s="27">
        <f>('Market Data'!H12-'Market Data'!H11)</f>
        <v/>
      </c>
      <c r="J12" s="25">
        <f>('Market Data'!I12/'Market Data'!I11)-1</f>
        <v/>
      </c>
      <c r="L12" s="28">
        <f>MIN(B12,0)^2</f>
        <v/>
      </c>
      <c r="M12" s="28">
        <f>MIN(C12,0)^2</f>
        <v/>
      </c>
      <c r="N12" s="28">
        <f>MIN(D12,0)^2</f>
        <v/>
      </c>
    </row>
    <row r="13">
      <c r="A13" s="29">
        <f>'Market Data'!A13</f>
        <v/>
      </c>
      <c r="B13" s="30">
        <f>('Market Data'!B13/'Market Data'!B12)-1</f>
        <v/>
      </c>
      <c r="C13" s="30">
        <f>('Market Data'!C13/'Market Data'!C12)-1</f>
        <v/>
      </c>
      <c r="D13" s="30">
        <f>('Market Data'!D13/'Market Data'!D12)-1</f>
        <v/>
      </c>
      <c r="E13" s="30">
        <f>('Market Data'!E13/'Market Data'!E12)-1</f>
        <v/>
      </c>
      <c r="F13" s="11" t="n"/>
      <c r="G13" s="30">
        <f>('Market Data'!F13/'Market Data'!F12)-1</f>
        <v/>
      </c>
      <c r="H13" s="30">
        <f>('Market Data'!G13/'Market Data'!G12)-1</f>
        <v/>
      </c>
      <c r="I13" s="31">
        <f>('Market Data'!H13-'Market Data'!H12)</f>
        <v/>
      </c>
      <c r="J13" s="30">
        <f>('Market Data'!I13/'Market Data'!I12)-1</f>
        <v/>
      </c>
      <c r="L13" s="28">
        <f>MIN(B13,0)^2</f>
        <v/>
      </c>
      <c r="M13" s="28">
        <f>MIN(C13,0)^2</f>
        <v/>
      </c>
      <c r="N13" s="28">
        <f>MIN(D13,0)^2</f>
        <v/>
      </c>
    </row>
    <row r="14">
      <c r="A14" s="24">
        <f>'Market Data'!A14</f>
        <v/>
      </c>
      <c r="B14" s="25">
        <f>('Market Data'!B14/'Market Data'!B13)-1</f>
        <v/>
      </c>
      <c r="C14" s="25">
        <f>('Market Data'!C14/'Market Data'!C13)-1</f>
        <v/>
      </c>
      <c r="D14" s="25">
        <f>('Market Data'!D14/'Market Data'!D13)-1</f>
        <v/>
      </c>
      <c r="E14" s="25">
        <f>('Market Data'!E14/'Market Data'!E13)-1</f>
        <v/>
      </c>
      <c r="F14" s="26" t="n"/>
      <c r="G14" s="25">
        <f>('Market Data'!F14/'Market Data'!F13)-1</f>
        <v/>
      </c>
      <c r="H14" s="25">
        <f>('Market Data'!G14/'Market Data'!G13)-1</f>
        <v/>
      </c>
      <c r="I14" s="27">
        <f>('Market Data'!H14-'Market Data'!H13)</f>
        <v/>
      </c>
      <c r="J14" s="25">
        <f>('Market Data'!I14/'Market Data'!I13)-1</f>
        <v/>
      </c>
      <c r="L14" s="28">
        <f>MIN(B14,0)^2</f>
        <v/>
      </c>
      <c r="M14" s="28">
        <f>MIN(C14,0)^2</f>
        <v/>
      </c>
      <c r="N14" s="28">
        <f>MIN(D14,0)^2</f>
        <v/>
      </c>
    </row>
    <row r="15">
      <c r="A15" s="29">
        <f>'Market Data'!A15</f>
        <v/>
      </c>
      <c r="B15" s="30">
        <f>('Market Data'!B15/'Market Data'!B14)-1</f>
        <v/>
      </c>
      <c r="C15" s="30">
        <f>('Market Data'!C15/'Market Data'!C14)-1</f>
        <v/>
      </c>
      <c r="D15" s="30">
        <f>('Market Data'!D15/'Market Data'!D14)-1</f>
        <v/>
      </c>
      <c r="E15" s="30">
        <f>('Market Data'!E15/'Market Data'!E14)-1</f>
        <v/>
      </c>
      <c r="F15" s="11" t="n"/>
      <c r="G15" s="30">
        <f>('Market Data'!F15/'Market Data'!F14)-1</f>
        <v/>
      </c>
      <c r="H15" s="30">
        <f>('Market Data'!G15/'Market Data'!G14)-1</f>
        <v/>
      </c>
      <c r="I15" s="31">
        <f>('Market Data'!H15-'Market Data'!H14)</f>
        <v/>
      </c>
      <c r="J15" s="30">
        <f>('Market Data'!I15/'Market Data'!I14)-1</f>
        <v/>
      </c>
      <c r="L15" s="28">
        <f>MIN(B15,0)^2</f>
        <v/>
      </c>
      <c r="M15" s="28">
        <f>MIN(C15,0)^2</f>
        <v/>
      </c>
      <c r="N15" s="28">
        <f>MIN(D15,0)^2</f>
        <v/>
      </c>
    </row>
    <row r="16">
      <c r="A16" s="24">
        <f>'Market Data'!A16</f>
        <v/>
      </c>
      <c r="B16" s="25">
        <f>('Market Data'!B16/'Market Data'!B15)-1</f>
        <v/>
      </c>
      <c r="C16" s="25">
        <f>('Market Data'!C16/'Market Data'!C15)-1</f>
        <v/>
      </c>
      <c r="D16" s="25">
        <f>('Market Data'!D16/'Market Data'!D15)-1</f>
        <v/>
      </c>
      <c r="E16" s="25">
        <f>('Market Data'!E16/'Market Data'!E15)-1</f>
        <v/>
      </c>
      <c r="F16" s="26" t="n"/>
      <c r="G16" s="25">
        <f>('Market Data'!F16/'Market Data'!F15)-1</f>
        <v/>
      </c>
      <c r="H16" s="25">
        <f>('Market Data'!G16/'Market Data'!G15)-1</f>
        <v/>
      </c>
      <c r="I16" s="27">
        <f>('Market Data'!H16-'Market Data'!H15)</f>
        <v/>
      </c>
      <c r="J16" s="25">
        <f>('Market Data'!I16/'Market Data'!I15)-1</f>
        <v/>
      </c>
      <c r="L16" s="28">
        <f>MIN(B16,0)^2</f>
        <v/>
      </c>
      <c r="M16" s="28">
        <f>MIN(C16,0)^2</f>
        <v/>
      </c>
      <c r="N16" s="28">
        <f>MIN(D16,0)^2</f>
        <v/>
      </c>
    </row>
    <row r="17">
      <c r="A17" s="29">
        <f>'Market Data'!A17</f>
        <v/>
      </c>
      <c r="B17" s="30">
        <f>('Market Data'!B17/'Market Data'!B16)-1</f>
        <v/>
      </c>
      <c r="C17" s="30">
        <f>('Market Data'!C17/'Market Data'!C16)-1</f>
        <v/>
      </c>
      <c r="D17" s="30">
        <f>('Market Data'!D17/'Market Data'!D16)-1</f>
        <v/>
      </c>
      <c r="E17" s="30">
        <f>('Market Data'!E17/'Market Data'!E16)-1</f>
        <v/>
      </c>
      <c r="F17" s="11" t="n"/>
      <c r="G17" s="30">
        <f>('Market Data'!F17/'Market Data'!F16)-1</f>
        <v/>
      </c>
      <c r="H17" s="30">
        <f>('Market Data'!G17/'Market Data'!G16)-1</f>
        <v/>
      </c>
      <c r="I17" s="31">
        <f>('Market Data'!H17-'Market Data'!H16)</f>
        <v/>
      </c>
      <c r="J17" s="30">
        <f>('Market Data'!I17/'Market Data'!I16)-1</f>
        <v/>
      </c>
      <c r="L17" s="28">
        <f>MIN(B17,0)^2</f>
        <v/>
      </c>
      <c r="M17" s="28">
        <f>MIN(C17,0)^2</f>
        <v/>
      </c>
      <c r="N17" s="28">
        <f>MIN(D17,0)^2</f>
        <v/>
      </c>
    </row>
    <row r="18">
      <c r="A18" s="24">
        <f>'Market Data'!A18</f>
        <v/>
      </c>
      <c r="B18" s="25">
        <f>('Market Data'!B18/'Market Data'!B17)-1</f>
        <v/>
      </c>
      <c r="C18" s="25">
        <f>('Market Data'!C18/'Market Data'!C17)-1</f>
        <v/>
      </c>
      <c r="D18" s="25">
        <f>('Market Data'!D18/'Market Data'!D17)-1</f>
        <v/>
      </c>
      <c r="E18" s="25">
        <f>('Market Data'!E18/'Market Data'!E17)-1</f>
        <v/>
      </c>
      <c r="F18" s="26" t="n"/>
      <c r="G18" s="25">
        <f>('Market Data'!F18/'Market Data'!F17)-1</f>
        <v/>
      </c>
      <c r="H18" s="25">
        <f>('Market Data'!G18/'Market Data'!G17)-1</f>
        <v/>
      </c>
      <c r="I18" s="27">
        <f>('Market Data'!H18-'Market Data'!H17)</f>
        <v/>
      </c>
      <c r="J18" s="25">
        <f>('Market Data'!I18/'Market Data'!I17)-1</f>
        <v/>
      </c>
      <c r="L18" s="28">
        <f>MIN(B18,0)^2</f>
        <v/>
      </c>
      <c r="M18" s="28">
        <f>MIN(C18,0)^2</f>
        <v/>
      </c>
      <c r="N18" s="28">
        <f>MIN(D18,0)^2</f>
        <v/>
      </c>
    </row>
    <row r="19">
      <c r="A19" s="29">
        <f>'Market Data'!A19</f>
        <v/>
      </c>
      <c r="B19" s="30">
        <f>('Market Data'!B19/'Market Data'!B18)-1</f>
        <v/>
      </c>
      <c r="C19" s="30">
        <f>('Market Data'!C19/'Market Data'!C18)-1</f>
        <v/>
      </c>
      <c r="D19" s="30">
        <f>('Market Data'!D19/'Market Data'!D18)-1</f>
        <v/>
      </c>
      <c r="E19" s="30">
        <f>('Market Data'!E19/'Market Data'!E18)-1</f>
        <v/>
      </c>
      <c r="F19" s="11" t="n"/>
      <c r="G19" s="30">
        <f>('Market Data'!F19/'Market Data'!F18)-1</f>
        <v/>
      </c>
      <c r="H19" s="30">
        <f>('Market Data'!G19/'Market Data'!G18)-1</f>
        <v/>
      </c>
      <c r="I19" s="31">
        <f>('Market Data'!H19-'Market Data'!H18)</f>
        <v/>
      </c>
      <c r="J19" s="30">
        <f>('Market Data'!I19/'Market Data'!I18)-1</f>
        <v/>
      </c>
      <c r="L19" s="28">
        <f>MIN(B19,0)^2</f>
        <v/>
      </c>
      <c r="M19" s="28">
        <f>MIN(C19,0)^2</f>
        <v/>
      </c>
      <c r="N19" s="28">
        <f>MIN(D19,0)^2</f>
        <v/>
      </c>
    </row>
    <row r="20">
      <c r="A20" s="24">
        <f>'Market Data'!A20</f>
        <v/>
      </c>
      <c r="B20" s="25">
        <f>('Market Data'!B20/'Market Data'!B19)-1</f>
        <v/>
      </c>
      <c r="C20" s="25">
        <f>('Market Data'!C20/'Market Data'!C19)-1</f>
        <v/>
      </c>
      <c r="D20" s="25">
        <f>('Market Data'!D20/'Market Data'!D19)-1</f>
        <v/>
      </c>
      <c r="E20" s="25">
        <f>('Market Data'!E20/'Market Data'!E19)-1</f>
        <v/>
      </c>
      <c r="F20" s="26" t="n"/>
      <c r="G20" s="25">
        <f>('Market Data'!F20/'Market Data'!F19)-1</f>
        <v/>
      </c>
      <c r="H20" s="25">
        <f>('Market Data'!G20/'Market Data'!G19)-1</f>
        <v/>
      </c>
      <c r="I20" s="27">
        <f>('Market Data'!H20-'Market Data'!H19)</f>
        <v/>
      </c>
      <c r="J20" s="25">
        <f>('Market Data'!I20/'Market Data'!I19)-1</f>
        <v/>
      </c>
      <c r="L20" s="28">
        <f>MIN(B20,0)^2</f>
        <v/>
      </c>
      <c r="M20" s="28">
        <f>MIN(C20,0)^2</f>
        <v/>
      </c>
      <c r="N20" s="28">
        <f>MIN(D20,0)^2</f>
        <v/>
      </c>
    </row>
    <row r="21">
      <c r="A21" s="29">
        <f>'Market Data'!A21</f>
        <v/>
      </c>
      <c r="B21" s="30">
        <f>('Market Data'!B21/'Market Data'!B20)-1</f>
        <v/>
      </c>
      <c r="C21" s="30">
        <f>('Market Data'!C21/'Market Data'!C20)-1</f>
        <v/>
      </c>
      <c r="D21" s="30">
        <f>('Market Data'!D21/'Market Data'!D20)-1</f>
        <v/>
      </c>
      <c r="E21" s="30">
        <f>('Market Data'!E21/'Market Data'!E20)-1</f>
        <v/>
      </c>
      <c r="F21" s="11" t="n"/>
      <c r="G21" s="30">
        <f>('Market Data'!F21/'Market Data'!F20)-1</f>
        <v/>
      </c>
      <c r="H21" s="30">
        <f>('Market Data'!G21/'Market Data'!G20)-1</f>
        <v/>
      </c>
      <c r="I21" s="31">
        <f>('Market Data'!H21-'Market Data'!H20)</f>
        <v/>
      </c>
      <c r="J21" s="30">
        <f>('Market Data'!I21/'Market Data'!I20)-1</f>
        <v/>
      </c>
      <c r="L21" s="28">
        <f>MIN(B21,0)^2</f>
        <v/>
      </c>
      <c r="M21" s="28">
        <f>MIN(C21,0)^2</f>
        <v/>
      </c>
      <c r="N21" s="28">
        <f>MIN(D21,0)^2</f>
        <v/>
      </c>
    </row>
    <row r="22">
      <c r="A22" s="24">
        <f>'Market Data'!A22</f>
        <v/>
      </c>
      <c r="B22" s="25">
        <f>('Market Data'!B22/'Market Data'!B21)-1</f>
        <v/>
      </c>
      <c r="C22" s="25">
        <f>('Market Data'!C22/'Market Data'!C21)-1</f>
        <v/>
      </c>
      <c r="D22" s="25">
        <f>('Market Data'!D22/'Market Data'!D21)-1</f>
        <v/>
      </c>
      <c r="E22" s="25">
        <f>('Market Data'!E22/'Market Data'!E21)-1</f>
        <v/>
      </c>
      <c r="F22" s="26" t="n"/>
      <c r="G22" s="25">
        <f>('Market Data'!F22/'Market Data'!F21)-1</f>
        <v/>
      </c>
      <c r="H22" s="25">
        <f>('Market Data'!G22/'Market Data'!G21)-1</f>
        <v/>
      </c>
      <c r="I22" s="27">
        <f>('Market Data'!H22-'Market Data'!H21)</f>
        <v/>
      </c>
      <c r="J22" s="25">
        <f>('Market Data'!I22/'Market Data'!I21)-1</f>
        <v/>
      </c>
      <c r="L22" s="28">
        <f>MIN(B22,0)^2</f>
        <v/>
      </c>
      <c r="M22" s="28">
        <f>MIN(C22,0)^2</f>
        <v/>
      </c>
      <c r="N22" s="28">
        <f>MIN(D22,0)^2</f>
        <v/>
      </c>
    </row>
    <row r="23">
      <c r="A23" s="29">
        <f>'Market Data'!A23</f>
        <v/>
      </c>
      <c r="B23" s="30">
        <f>('Market Data'!B23/'Market Data'!B22)-1</f>
        <v/>
      </c>
      <c r="C23" s="30">
        <f>('Market Data'!C23/'Market Data'!C22)-1</f>
        <v/>
      </c>
      <c r="D23" s="30">
        <f>('Market Data'!D23/'Market Data'!D22)-1</f>
        <v/>
      </c>
      <c r="E23" s="30">
        <f>('Market Data'!E23/'Market Data'!E22)-1</f>
        <v/>
      </c>
      <c r="F23" s="11" t="n"/>
      <c r="G23" s="30">
        <f>('Market Data'!F23/'Market Data'!F22)-1</f>
        <v/>
      </c>
      <c r="H23" s="30">
        <f>('Market Data'!G23/'Market Data'!G22)-1</f>
        <v/>
      </c>
      <c r="I23" s="31">
        <f>('Market Data'!H23-'Market Data'!H22)</f>
        <v/>
      </c>
      <c r="J23" s="30">
        <f>('Market Data'!I23/'Market Data'!I22)-1</f>
        <v/>
      </c>
      <c r="L23" s="28">
        <f>MIN(B23,0)^2</f>
        <v/>
      </c>
      <c r="M23" s="28">
        <f>MIN(C23,0)^2</f>
        <v/>
      </c>
      <c r="N23" s="28">
        <f>MIN(D23,0)^2</f>
        <v/>
      </c>
    </row>
    <row r="26">
      <c r="A26" s="7" t="inlineStr">
        <is>
          <t>DRAWDOWN DETAIL — running-peak method (real max drawdown, monthly granularity)</t>
        </is>
      </c>
    </row>
    <row r="27">
      <c r="A27" s="32" t="inlineStr">
        <is>
          <t>Month</t>
        </is>
      </c>
      <c r="B27" s="32" t="inlineStr">
        <is>
          <t>CEG Px</t>
        </is>
      </c>
      <c r="C27" s="32" t="inlineStr">
        <is>
          <t>CEG RunMax</t>
        </is>
      </c>
      <c r="D27" s="32" t="inlineStr">
        <is>
          <t>CEG DD</t>
        </is>
      </c>
      <c r="E27" s="32" t="inlineStr">
        <is>
          <t>VST Px</t>
        </is>
      </c>
      <c r="F27" s="32" t="inlineStr">
        <is>
          <t>VST RunMax</t>
        </is>
      </c>
      <c r="G27" s="32" t="inlineStr">
        <is>
          <t>VST DD</t>
        </is>
      </c>
      <c r="H27" s="32" t="inlineStr">
        <is>
          <t>CCJ Px</t>
        </is>
      </c>
      <c r="I27" s="32" t="inlineStr">
        <is>
          <t>CCJ RunMax</t>
        </is>
      </c>
      <c r="J27" s="32" t="inlineStr">
        <is>
          <t>CCJ DD</t>
        </is>
      </c>
    </row>
    <row r="28">
      <c r="A28" s="33">
        <f>'Market Data'!A3</f>
        <v/>
      </c>
      <c r="B28" s="34">
        <f>'Market Data'!B3</f>
        <v/>
      </c>
      <c r="C28" s="35">
        <f>B28</f>
        <v/>
      </c>
      <c r="D28" s="36">
        <f>(B28/C28)-1</f>
        <v/>
      </c>
      <c r="E28" s="34">
        <f>'Market Data'!C3</f>
        <v/>
      </c>
      <c r="F28" s="35">
        <f>E28</f>
        <v/>
      </c>
      <c r="G28" s="36">
        <f>(E28/F28)-1</f>
        <v/>
      </c>
      <c r="H28" s="34">
        <f>'Market Data'!D3</f>
        <v/>
      </c>
      <c r="I28" s="35">
        <f>H28</f>
        <v/>
      </c>
      <c r="J28" s="36">
        <f>(H28/I28)-1</f>
        <v/>
      </c>
    </row>
    <row r="29">
      <c r="A29" s="37">
        <f>'Market Data'!A4</f>
        <v/>
      </c>
      <c r="B29" s="38">
        <f>'Market Data'!B4</f>
        <v/>
      </c>
      <c r="C29" s="39">
        <f>MAX(C28,B29)</f>
        <v/>
      </c>
      <c r="D29" s="40">
        <f>(B29/C29)-1</f>
        <v/>
      </c>
      <c r="E29" s="38">
        <f>'Market Data'!C4</f>
        <v/>
      </c>
      <c r="F29" s="39">
        <f>MAX(F28,E29)</f>
        <v/>
      </c>
      <c r="G29" s="40">
        <f>(E29/F29)-1</f>
        <v/>
      </c>
      <c r="H29" s="38">
        <f>'Market Data'!D4</f>
        <v/>
      </c>
      <c r="I29" s="39">
        <f>MAX(I28,H29)</f>
        <v/>
      </c>
      <c r="J29" s="40">
        <f>(H29/I29)-1</f>
        <v/>
      </c>
    </row>
    <row r="30">
      <c r="A30" s="33">
        <f>'Market Data'!A5</f>
        <v/>
      </c>
      <c r="B30" s="34">
        <f>'Market Data'!B5</f>
        <v/>
      </c>
      <c r="C30" s="35">
        <f>MAX(C29,B30)</f>
        <v/>
      </c>
      <c r="D30" s="36">
        <f>(B30/C30)-1</f>
        <v/>
      </c>
      <c r="E30" s="34">
        <f>'Market Data'!C5</f>
        <v/>
      </c>
      <c r="F30" s="35">
        <f>MAX(F29,E30)</f>
        <v/>
      </c>
      <c r="G30" s="36">
        <f>(E30/F30)-1</f>
        <v/>
      </c>
      <c r="H30" s="34">
        <f>'Market Data'!D5</f>
        <v/>
      </c>
      <c r="I30" s="35">
        <f>MAX(I29,H30)</f>
        <v/>
      </c>
      <c r="J30" s="36">
        <f>(H30/I30)-1</f>
        <v/>
      </c>
    </row>
    <row r="31">
      <c r="A31" s="37">
        <f>'Market Data'!A6</f>
        <v/>
      </c>
      <c r="B31" s="38">
        <f>'Market Data'!B6</f>
        <v/>
      </c>
      <c r="C31" s="39">
        <f>MAX(C30,B31)</f>
        <v/>
      </c>
      <c r="D31" s="40">
        <f>(B31/C31)-1</f>
        <v/>
      </c>
      <c r="E31" s="38">
        <f>'Market Data'!C6</f>
        <v/>
      </c>
      <c r="F31" s="39">
        <f>MAX(F30,E31)</f>
        <v/>
      </c>
      <c r="G31" s="40">
        <f>(E31/F31)-1</f>
        <v/>
      </c>
      <c r="H31" s="38">
        <f>'Market Data'!D6</f>
        <v/>
      </c>
      <c r="I31" s="39">
        <f>MAX(I30,H31)</f>
        <v/>
      </c>
      <c r="J31" s="40">
        <f>(H31/I31)-1</f>
        <v/>
      </c>
    </row>
    <row r="32">
      <c r="A32" s="33">
        <f>'Market Data'!A7</f>
        <v/>
      </c>
      <c r="B32" s="34">
        <f>'Market Data'!B7</f>
        <v/>
      </c>
      <c r="C32" s="35">
        <f>MAX(C31,B32)</f>
        <v/>
      </c>
      <c r="D32" s="36">
        <f>(B32/C32)-1</f>
        <v/>
      </c>
      <c r="E32" s="34">
        <f>'Market Data'!C7</f>
        <v/>
      </c>
      <c r="F32" s="35">
        <f>MAX(F31,E32)</f>
        <v/>
      </c>
      <c r="G32" s="36">
        <f>(E32/F32)-1</f>
        <v/>
      </c>
      <c r="H32" s="34">
        <f>'Market Data'!D7</f>
        <v/>
      </c>
      <c r="I32" s="35">
        <f>MAX(I31,H32)</f>
        <v/>
      </c>
      <c r="J32" s="36">
        <f>(H32/I32)-1</f>
        <v/>
      </c>
    </row>
    <row r="33">
      <c r="A33" s="37">
        <f>'Market Data'!A8</f>
        <v/>
      </c>
      <c r="B33" s="38">
        <f>'Market Data'!B8</f>
        <v/>
      </c>
      <c r="C33" s="39">
        <f>MAX(C32,B33)</f>
        <v/>
      </c>
      <c r="D33" s="40">
        <f>(B33/C33)-1</f>
        <v/>
      </c>
      <c r="E33" s="38">
        <f>'Market Data'!C8</f>
        <v/>
      </c>
      <c r="F33" s="39">
        <f>MAX(F32,E33)</f>
        <v/>
      </c>
      <c r="G33" s="40">
        <f>(E33/F33)-1</f>
        <v/>
      </c>
      <c r="H33" s="38">
        <f>'Market Data'!D8</f>
        <v/>
      </c>
      <c r="I33" s="39">
        <f>MAX(I32,H33)</f>
        <v/>
      </c>
      <c r="J33" s="40">
        <f>(H33/I33)-1</f>
        <v/>
      </c>
    </row>
    <row r="34">
      <c r="A34" s="33">
        <f>'Market Data'!A9</f>
        <v/>
      </c>
      <c r="B34" s="34">
        <f>'Market Data'!B9</f>
        <v/>
      </c>
      <c r="C34" s="35">
        <f>MAX(C33,B34)</f>
        <v/>
      </c>
      <c r="D34" s="36">
        <f>(B34/C34)-1</f>
        <v/>
      </c>
      <c r="E34" s="34">
        <f>'Market Data'!C9</f>
        <v/>
      </c>
      <c r="F34" s="35">
        <f>MAX(F33,E34)</f>
        <v/>
      </c>
      <c r="G34" s="36">
        <f>(E34/F34)-1</f>
        <v/>
      </c>
      <c r="H34" s="34">
        <f>'Market Data'!D9</f>
        <v/>
      </c>
      <c r="I34" s="35">
        <f>MAX(I33,H34)</f>
        <v/>
      </c>
      <c r="J34" s="36">
        <f>(H34/I34)-1</f>
        <v/>
      </c>
    </row>
    <row r="35">
      <c r="A35" s="37">
        <f>'Market Data'!A10</f>
        <v/>
      </c>
      <c r="B35" s="38">
        <f>'Market Data'!B10</f>
        <v/>
      </c>
      <c r="C35" s="39">
        <f>MAX(C34,B35)</f>
        <v/>
      </c>
      <c r="D35" s="40">
        <f>(B35/C35)-1</f>
        <v/>
      </c>
      <c r="E35" s="38">
        <f>'Market Data'!C10</f>
        <v/>
      </c>
      <c r="F35" s="39">
        <f>MAX(F34,E35)</f>
        <v/>
      </c>
      <c r="G35" s="40">
        <f>(E35/F35)-1</f>
        <v/>
      </c>
      <c r="H35" s="38">
        <f>'Market Data'!D10</f>
        <v/>
      </c>
      <c r="I35" s="39">
        <f>MAX(I34,H35)</f>
        <v/>
      </c>
      <c r="J35" s="40">
        <f>(H35/I35)-1</f>
        <v/>
      </c>
    </row>
    <row r="36">
      <c r="A36" s="33">
        <f>'Market Data'!A11</f>
        <v/>
      </c>
      <c r="B36" s="34">
        <f>'Market Data'!B11</f>
        <v/>
      </c>
      <c r="C36" s="35">
        <f>MAX(C35,B36)</f>
        <v/>
      </c>
      <c r="D36" s="36">
        <f>(B36/C36)-1</f>
        <v/>
      </c>
      <c r="E36" s="34">
        <f>'Market Data'!C11</f>
        <v/>
      </c>
      <c r="F36" s="35">
        <f>MAX(F35,E36)</f>
        <v/>
      </c>
      <c r="G36" s="36">
        <f>(E36/F36)-1</f>
        <v/>
      </c>
      <c r="H36" s="34">
        <f>'Market Data'!D11</f>
        <v/>
      </c>
      <c r="I36" s="35">
        <f>MAX(I35,H36)</f>
        <v/>
      </c>
      <c r="J36" s="36">
        <f>(H36/I36)-1</f>
        <v/>
      </c>
    </row>
    <row r="37">
      <c r="A37" s="37">
        <f>'Market Data'!A12</f>
        <v/>
      </c>
      <c r="B37" s="38">
        <f>'Market Data'!B12</f>
        <v/>
      </c>
      <c r="C37" s="39">
        <f>MAX(C36,B37)</f>
        <v/>
      </c>
      <c r="D37" s="40">
        <f>(B37/C37)-1</f>
        <v/>
      </c>
      <c r="E37" s="38">
        <f>'Market Data'!C12</f>
        <v/>
      </c>
      <c r="F37" s="39">
        <f>MAX(F36,E37)</f>
        <v/>
      </c>
      <c r="G37" s="40">
        <f>(E37/F37)-1</f>
        <v/>
      </c>
      <c r="H37" s="38">
        <f>'Market Data'!D12</f>
        <v/>
      </c>
      <c r="I37" s="39">
        <f>MAX(I36,H37)</f>
        <v/>
      </c>
      <c r="J37" s="40">
        <f>(H37/I37)-1</f>
        <v/>
      </c>
    </row>
    <row r="38">
      <c r="A38" s="33">
        <f>'Market Data'!A13</f>
        <v/>
      </c>
      <c r="B38" s="34">
        <f>'Market Data'!B13</f>
        <v/>
      </c>
      <c r="C38" s="35">
        <f>MAX(C37,B38)</f>
        <v/>
      </c>
      <c r="D38" s="36">
        <f>(B38/C38)-1</f>
        <v/>
      </c>
      <c r="E38" s="34">
        <f>'Market Data'!C13</f>
        <v/>
      </c>
      <c r="F38" s="35">
        <f>MAX(F37,E38)</f>
        <v/>
      </c>
      <c r="G38" s="36">
        <f>(E38/F38)-1</f>
        <v/>
      </c>
      <c r="H38" s="34">
        <f>'Market Data'!D13</f>
        <v/>
      </c>
      <c r="I38" s="35">
        <f>MAX(I37,H38)</f>
        <v/>
      </c>
      <c r="J38" s="36">
        <f>(H38/I38)-1</f>
        <v/>
      </c>
    </row>
    <row r="39">
      <c r="A39" s="37">
        <f>'Market Data'!A14</f>
        <v/>
      </c>
      <c r="B39" s="38">
        <f>'Market Data'!B14</f>
        <v/>
      </c>
      <c r="C39" s="39">
        <f>MAX(C38,B39)</f>
        <v/>
      </c>
      <c r="D39" s="40">
        <f>(B39/C39)-1</f>
        <v/>
      </c>
      <c r="E39" s="38">
        <f>'Market Data'!C14</f>
        <v/>
      </c>
      <c r="F39" s="39">
        <f>MAX(F38,E39)</f>
        <v/>
      </c>
      <c r="G39" s="40">
        <f>(E39/F39)-1</f>
        <v/>
      </c>
      <c r="H39" s="38">
        <f>'Market Data'!D14</f>
        <v/>
      </c>
      <c r="I39" s="39">
        <f>MAX(I38,H39)</f>
        <v/>
      </c>
      <c r="J39" s="40">
        <f>(H39/I39)-1</f>
        <v/>
      </c>
    </row>
    <row r="40">
      <c r="A40" s="33">
        <f>'Market Data'!A15</f>
        <v/>
      </c>
      <c r="B40" s="34">
        <f>'Market Data'!B15</f>
        <v/>
      </c>
      <c r="C40" s="35">
        <f>MAX(C39,B40)</f>
        <v/>
      </c>
      <c r="D40" s="36">
        <f>(B40/C40)-1</f>
        <v/>
      </c>
      <c r="E40" s="34">
        <f>'Market Data'!C15</f>
        <v/>
      </c>
      <c r="F40" s="35">
        <f>MAX(F39,E40)</f>
        <v/>
      </c>
      <c r="G40" s="36">
        <f>(E40/F40)-1</f>
        <v/>
      </c>
      <c r="H40" s="34">
        <f>'Market Data'!D15</f>
        <v/>
      </c>
      <c r="I40" s="35">
        <f>MAX(I39,H40)</f>
        <v/>
      </c>
      <c r="J40" s="36">
        <f>(H40/I40)-1</f>
        <v/>
      </c>
    </row>
    <row r="41">
      <c r="A41" s="37">
        <f>'Market Data'!A16</f>
        <v/>
      </c>
      <c r="B41" s="38">
        <f>'Market Data'!B16</f>
        <v/>
      </c>
      <c r="C41" s="39">
        <f>MAX(C40,B41)</f>
        <v/>
      </c>
      <c r="D41" s="40">
        <f>(B41/C41)-1</f>
        <v/>
      </c>
      <c r="E41" s="38">
        <f>'Market Data'!C16</f>
        <v/>
      </c>
      <c r="F41" s="39">
        <f>MAX(F40,E41)</f>
        <v/>
      </c>
      <c r="G41" s="40">
        <f>(E41/F41)-1</f>
        <v/>
      </c>
      <c r="H41" s="38">
        <f>'Market Data'!D16</f>
        <v/>
      </c>
      <c r="I41" s="39">
        <f>MAX(I40,H41)</f>
        <v/>
      </c>
      <c r="J41" s="40">
        <f>(H41/I41)-1</f>
        <v/>
      </c>
    </row>
    <row r="42">
      <c r="A42" s="33">
        <f>'Market Data'!A17</f>
        <v/>
      </c>
      <c r="B42" s="34">
        <f>'Market Data'!B17</f>
        <v/>
      </c>
      <c r="C42" s="35">
        <f>MAX(C41,B42)</f>
        <v/>
      </c>
      <c r="D42" s="36">
        <f>(B42/C42)-1</f>
        <v/>
      </c>
      <c r="E42" s="34">
        <f>'Market Data'!C17</f>
        <v/>
      </c>
      <c r="F42" s="35">
        <f>MAX(F41,E42)</f>
        <v/>
      </c>
      <c r="G42" s="36">
        <f>(E42/F42)-1</f>
        <v/>
      </c>
      <c r="H42" s="34">
        <f>'Market Data'!D17</f>
        <v/>
      </c>
      <c r="I42" s="35">
        <f>MAX(I41,H42)</f>
        <v/>
      </c>
      <c r="J42" s="36">
        <f>(H42/I42)-1</f>
        <v/>
      </c>
    </row>
    <row r="43">
      <c r="A43" s="37">
        <f>'Market Data'!A18</f>
        <v/>
      </c>
      <c r="B43" s="38">
        <f>'Market Data'!B18</f>
        <v/>
      </c>
      <c r="C43" s="39">
        <f>MAX(C42,B43)</f>
        <v/>
      </c>
      <c r="D43" s="40">
        <f>(B43/C43)-1</f>
        <v/>
      </c>
      <c r="E43" s="38">
        <f>'Market Data'!C18</f>
        <v/>
      </c>
      <c r="F43" s="39">
        <f>MAX(F42,E43)</f>
        <v/>
      </c>
      <c r="G43" s="40">
        <f>(E43/F43)-1</f>
        <v/>
      </c>
      <c r="H43" s="38">
        <f>'Market Data'!D18</f>
        <v/>
      </c>
      <c r="I43" s="39">
        <f>MAX(I42,H43)</f>
        <v/>
      </c>
      <c r="J43" s="40">
        <f>(H43/I43)-1</f>
        <v/>
      </c>
    </row>
    <row r="44">
      <c r="A44" s="33">
        <f>'Market Data'!A19</f>
        <v/>
      </c>
      <c r="B44" s="34">
        <f>'Market Data'!B19</f>
        <v/>
      </c>
      <c r="C44" s="35">
        <f>MAX(C43,B44)</f>
        <v/>
      </c>
      <c r="D44" s="36">
        <f>(B44/C44)-1</f>
        <v/>
      </c>
      <c r="E44" s="34">
        <f>'Market Data'!C19</f>
        <v/>
      </c>
      <c r="F44" s="35">
        <f>MAX(F43,E44)</f>
        <v/>
      </c>
      <c r="G44" s="36">
        <f>(E44/F44)-1</f>
        <v/>
      </c>
      <c r="H44" s="34">
        <f>'Market Data'!D19</f>
        <v/>
      </c>
      <c r="I44" s="35">
        <f>MAX(I43,H44)</f>
        <v/>
      </c>
      <c r="J44" s="36">
        <f>(H44/I44)-1</f>
        <v/>
      </c>
    </row>
    <row r="45">
      <c r="A45" s="37">
        <f>'Market Data'!A20</f>
        <v/>
      </c>
      <c r="B45" s="38">
        <f>'Market Data'!B20</f>
        <v/>
      </c>
      <c r="C45" s="39">
        <f>MAX(C44,B45)</f>
        <v/>
      </c>
      <c r="D45" s="40">
        <f>(B45/C45)-1</f>
        <v/>
      </c>
      <c r="E45" s="38">
        <f>'Market Data'!C20</f>
        <v/>
      </c>
      <c r="F45" s="39">
        <f>MAX(F44,E45)</f>
        <v/>
      </c>
      <c r="G45" s="40">
        <f>(E45/F45)-1</f>
        <v/>
      </c>
      <c r="H45" s="38">
        <f>'Market Data'!D20</f>
        <v/>
      </c>
      <c r="I45" s="39">
        <f>MAX(I44,H45)</f>
        <v/>
      </c>
      <c r="J45" s="40">
        <f>(H45/I45)-1</f>
        <v/>
      </c>
    </row>
    <row r="46">
      <c r="A46" s="33">
        <f>'Market Data'!A21</f>
        <v/>
      </c>
      <c r="B46" s="34">
        <f>'Market Data'!B21</f>
        <v/>
      </c>
      <c r="C46" s="35">
        <f>MAX(C45,B46)</f>
        <v/>
      </c>
      <c r="D46" s="36">
        <f>(B46/C46)-1</f>
        <v/>
      </c>
      <c r="E46" s="34">
        <f>'Market Data'!C21</f>
        <v/>
      </c>
      <c r="F46" s="35">
        <f>MAX(F45,E46)</f>
        <v/>
      </c>
      <c r="G46" s="36">
        <f>(E46/F46)-1</f>
        <v/>
      </c>
      <c r="H46" s="34">
        <f>'Market Data'!D21</f>
        <v/>
      </c>
      <c r="I46" s="35">
        <f>MAX(I45,H46)</f>
        <v/>
      </c>
      <c r="J46" s="36">
        <f>(H46/I46)-1</f>
        <v/>
      </c>
    </row>
    <row r="47">
      <c r="A47" s="37">
        <f>'Market Data'!A22</f>
        <v/>
      </c>
      <c r="B47" s="38">
        <f>'Market Data'!B22</f>
        <v/>
      </c>
      <c r="C47" s="39">
        <f>MAX(C46,B47)</f>
        <v/>
      </c>
      <c r="D47" s="40">
        <f>(B47/C47)-1</f>
        <v/>
      </c>
      <c r="E47" s="38">
        <f>'Market Data'!C22</f>
        <v/>
      </c>
      <c r="F47" s="39">
        <f>MAX(F46,E47)</f>
        <v/>
      </c>
      <c r="G47" s="40">
        <f>(E47/F47)-1</f>
        <v/>
      </c>
      <c r="H47" s="38">
        <f>'Market Data'!D22</f>
        <v/>
      </c>
      <c r="I47" s="39">
        <f>MAX(I46,H47)</f>
        <v/>
      </c>
      <c r="J47" s="40">
        <f>(H47/I47)-1</f>
        <v/>
      </c>
    </row>
    <row r="48">
      <c r="A48" s="33">
        <f>'Market Data'!A23</f>
        <v/>
      </c>
      <c r="B48" s="34">
        <f>'Market Data'!B23</f>
        <v/>
      </c>
      <c r="C48" s="35">
        <f>MAX(C47,B48)</f>
        <v/>
      </c>
      <c r="D48" s="36">
        <f>(B48/C48)-1</f>
        <v/>
      </c>
      <c r="E48" s="34">
        <f>'Market Data'!C23</f>
        <v/>
      </c>
      <c r="F48" s="35">
        <f>MAX(F47,E48)</f>
        <v/>
      </c>
      <c r="G48" s="36">
        <f>(E48/F48)-1</f>
        <v/>
      </c>
      <c r="H48" s="34">
        <f>'Market Data'!D23</f>
        <v/>
      </c>
      <c r="I48" s="35">
        <f>MAX(I47,H48)</f>
        <v/>
      </c>
      <c r="J48" s="36">
        <f>(H48/I48)-1</f>
        <v/>
      </c>
    </row>
    <row r="50">
      <c r="A50" s="7" t="inlineStr">
        <is>
          <t>SUMMARY RISK &amp; RETURN STATISTICS</t>
        </is>
      </c>
    </row>
    <row r="51">
      <c r="A51" s="41" t="inlineStr">
        <is>
          <t>Metric</t>
        </is>
      </c>
      <c r="B51" s="42" t="inlineStr">
        <is>
          <t>CEG</t>
        </is>
      </c>
      <c r="C51" s="42" t="inlineStr">
        <is>
          <t>VST</t>
        </is>
      </c>
      <c r="D51" s="42" t="inlineStr">
        <is>
          <t>CCJ</t>
        </is>
      </c>
      <c r="E51" s="42" t="inlineStr">
        <is>
          <t>XLE</t>
        </is>
      </c>
    </row>
    <row r="52">
      <c r="A52" s="43" t="inlineStr">
        <is>
          <t>Risk-free rate (annual, input)</t>
        </is>
      </c>
      <c r="B52" s="44" t="n">
        <v>0.043</v>
      </c>
      <c r="C52" s="11" t="n"/>
      <c r="D52" s="11" t="n"/>
      <c r="E52" s="11" t="n"/>
    </row>
    <row r="53">
      <c r="A53" s="10" t="inlineStr">
        <is>
          <t>Mean monthly return</t>
        </is>
      </c>
      <c r="B53" s="45">
        <f>AVERAGE(B4:B23)</f>
        <v/>
      </c>
      <c r="C53" s="45">
        <f>AVERAGE(C4:C23)</f>
        <v/>
      </c>
      <c r="D53" s="45">
        <f>AVERAGE(D4:D23)</f>
        <v/>
      </c>
      <c r="E53" s="45">
        <f>AVERAGE(E4:E23)</f>
        <v/>
      </c>
    </row>
    <row r="54">
      <c r="A54" s="15" t="inlineStr">
        <is>
          <t>Std dev, monthly</t>
        </is>
      </c>
      <c r="B54" s="46">
        <f>STDEV(B4:B23)</f>
        <v/>
      </c>
      <c r="C54" s="46">
        <f>STDEV(C4:C23)</f>
        <v/>
      </c>
      <c r="D54" s="46">
        <f>STDEV(D4:D23)</f>
        <v/>
      </c>
      <c r="E54" s="46">
        <f>STDEV(E4:E23)</f>
        <v/>
      </c>
    </row>
    <row r="55">
      <c r="A55" s="10" t="inlineStr">
        <is>
          <t>Annualized return (CAGR)</t>
        </is>
      </c>
      <c r="B55" s="47">
        <f>('Market Data'!B23/'Market Data'!B3)^(12/20)-1</f>
        <v/>
      </c>
      <c r="C55" s="47">
        <f>('Market Data'!C23/'Market Data'!C3)^(12/20)-1</f>
        <v/>
      </c>
      <c r="D55" s="47">
        <f>('Market Data'!D23/'Market Data'!D3)^(12/20)-1</f>
        <v/>
      </c>
      <c r="E55" s="47">
        <f>('Market Data'!E23/'Market Data'!E3)^(12/20)-1</f>
        <v/>
      </c>
    </row>
    <row r="56">
      <c r="A56" s="15" t="inlineStr">
        <is>
          <t>Annualized volatility</t>
        </is>
      </c>
      <c r="B56" s="48">
        <f>B54*SQRT(12)</f>
        <v/>
      </c>
      <c r="C56" s="48">
        <f>C54*SQRT(12)</f>
        <v/>
      </c>
      <c r="D56" s="48">
        <f>D54*SQRT(12)</f>
        <v/>
      </c>
      <c r="E56" s="48">
        <f>E54*SQRT(12)</f>
        <v/>
      </c>
    </row>
    <row r="57">
      <c r="A57" s="10" t="inlineStr">
        <is>
          <t>Max drawdown (real, running-peak)</t>
        </is>
      </c>
      <c r="B57" s="47">
        <f>MIN(D28:D48)</f>
        <v/>
      </c>
      <c r="C57" s="47">
        <f>MIN(G28:G48)</f>
        <v/>
      </c>
      <c r="D57" s="47">
        <f>MIN(J28:J48)</f>
        <v/>
      </c>
      <c r="E57" s="47">
        <f>"n/a"</f>
        <v/>
      </c>
    </row>
    <row r="58">
      <c r="A58" s="15" t="inlineStr">
        <is>
          <t>Skewness (monthly returns)</t>
        </is>
      </c>
      <c r="B58" s="49">
        <f>SKEW(B4:B23)</f>
        <v/>
      </c>
      <c r="C58" s="49">
        <f>SKEW(C4:C23)</f>
        <v/>
      </c>
      <c r="D58" s="49">
        <f>SKEW(D4:D23)</f>
        <v/>
      </c>
      <c r="E58" s="49">
        <f>SKEW(E4:E23)</f>
        <v/>
      </c>
    </row>
    <row r="59">
      <c r="A59" s="10" t="inlineStr">
        <is>
          <t>Kurtosis (excess, monthly)</t>
        </is>
      </c>
      <c r="B59" s="50">
        <f>KURT(B4:B23)</f>
        <v/>
      </c>
      <c r="C59" s="50">
        <f>KURT(C4:C23)</f>
        <v/>
      </c>
      <c r="D59" s="50">
        <f>KURT(D4:D23)</f>
        <v/>
      </c>
      <c r="E59" s="50">
        <f>KURT(E4:E23)</f>
        <v/>
      </c>
    </row>
    <row r="60">
      <c r="A60" s="15" t="inlineStr">
        <is>
          <t>Historical VaR 95% (monthly)</t>
        </is>
      </c>
      <c r="B60" s="46">
        <f>PERCENTILE(B4:B23,0.05)</f>
        <v/>
      </c>
      <c r="C60" s="46">
        <f>PERCENTILE(C4:C23,0.05)</f>
        <v/>
      </c>
      <c r="D60" s="46">
        <f>PERCENTILE(D4:D23,0.05)</f>
        <v/>
      </c>
      <c r="E60" s="46">
        <f>PERCENTILE(E4:E23,0.05)</f>
        <v/>
      </c>
    </row>
    <row r="61">
      <c r="A61" s="10" t="inlineStr">
        <is>
          <t>Historical VaR 99% (monthly)</t>
        </is>
      </c>
      <c r="B61" s="45">
        <f>PERCENTILE(B4:B23,0.01)</f>
        <v/>
      </c>
      <c r="C61" s="45">
        <f>PERCENTILE(C4:C23,0.01)</f>
        <v/>
      </c>
      <c r="D61" s="45">
        <f>PERCENTILE(D4:D23,0.01)</f>
        <v/>
      </c>
      <c r="E61" s="45">
        <f>PERCENTILE(E4:E23,0.01)</f>
        <v/>
      </c>
    </row>
    <row r="62">
      <c r="A62" s="15" t="inlineStr">
        <is>
          <t>Historical CVaR 95% (monthly)</t>
        </is>
      </c>
      <c r="B62" s="46">
        <f>AVERAGEIF(B4:B23,"&lt;="&amp;B60)</f>
        <v/>
      </c>
      <c r="C62" s="46">
        <f>AVERAGEIF(C4:C23,"&lt;="&amp;C60)</f>
        <v/>
      </c>
      <c r="D62" s="46">
        <f>AVERAGEIF(D4:D23,"&lt;="&amp;D60)</f>
        <v/>
      </c>
      <c r="E62" s="46">
        <f>AVERAGEIF(E4:E23,"&lt;="&amp;E60)</f>
        <v/>
      </c>
    </row>
    <row r="63">
      <c r="A63" s="10" t="inlineStr">
        <is>
          <t>Sortino ratio (annualized, MAR=0)</t>
        </is>
      </c>
      <c r="B63" s="50">
        <f>(B55-$B$52)/(SQRT(AVERAGE(L4:L23))*SQRT(12))</f>
        <v/>
      </c>
      <c r="C63" s="50">
        <f>(C55-$B$52)/(SQRT(AVERAGE(M4:M23))*SQRT(12))</f>
        <v/>
      </c>
      <c r="D63" s="50">
        <f>(D55-$B$52)/(SQRT(AVERAGE(N4:N23))*SQRT(12))</f>
        <v/>
      </c>
      <c r="E63" s="50">
        <f>"n/a"</f>
        <v/>
      </c>
    </row>
    <row r="64">
      <c r="A64" s="15" t="inlineStr">
        <is>
          <t>Sharpe ratio (annualized)</t>
        </is>
      </c>
      <c r="B64" s="49">
        <f>(B55-$B$52)/B56</f>
        <v/>
      </c>
      <c r="C64" s="49">
        <f>(C55-$B$52)/C56</f>
        <v/>
      </c>
      <c r="D64" s="49">
        <f>(D55-$B$52)/D56</f>
        <v/>
      </c>
      <c r="E64" s="49">
        <f>(E55-$B$52)/E56</f>
        <v/>
      </c>
    </row>
    <row r="65">
      <c r="A65" s="10" t="inlineStr">
        <is>
          <t>Beta (vs. S&amp;P 500, reported/sourced)</t>
        </is>
      </c>
      <c r="B65" s="51" t="n">
        <v>1.12</v>
      </c>
      <c r="C65" s="51" t="n">
        <v>1.41</v>
      </c>
      <c r="D65" s="51" t="n">
        <v>1.01</v>
      </c>
      <c r="E65" s="51" t="n">
        <v>1</v>
      </c>
    </row>
    <row r="67">
      <c r="A67" s="7" t="inlineStr">
        <is>
          <t>CORRELATION MATRIX (monthly returns, incl. benchmark)</t>
        </is>
      </c>
    </row>
    <row r="68">
      <c r="A68" s="11" t="inlineStr"/>
      <c r="B68" s="42" t="inlineStr">
        <is>
          <t>CEG</t>
        </is>
      </c>
      <c r="C68" s="42" t="inlineStr">
        <is>
          <t>VST</t>
        </is>
      </c>
      <c r="D68" s="42" t="inlineStr">
        <is>
          <t>CCJ</t>
        </is>
      </c>
      <c r="E68" s="42" t="inlineStr">
        <is>
          <t>XLE</t>
        </is>
      </c>
    </row>
    <row r="69">
      <c r="A69" s="9" t="inlineStr">
        <is>
          <t>CEG</t>
        </is>
      </c>
      <c r="B69" s="49">
        <f>CORREL(B4:B23,B4:B23)</f>
        <v/>
      </c>
      <c r="C69" s="50">
        <f>CORREL(B4:B23,C4:C23)</f>
        <v/>
      </c>
      <c r="D69" s="50">
        <f>CORREL(B4:B23,D4:D23)</f>
        <v/>
      </c>
      <c r="E69" s="50">
        <f>CORREL(B4:B23,E4:E23)</f>
        <v/>
      </c>
    </row>
    <row r="70">
      <c r="A70" s="9" t="inlineStr">
        <is>
          <t>VST</t>
        </is>
      </c>
      <c r="B70" s="50">
        <f>CORREL(C4:C23,B4:B23)</f>
        <v/>
      </c>
      <c r="C70" s="49">
        <f>CORREL(C4:C23,C4:C23)</f>
        <v/>
      </c>
      <c r="D70" s="50">
        <f>CORREL(C4:C23,D4:D23)</f>
        <v/>
      </c>
      <c r="E70" s="50">
        <f>CORREL(C4:C23,E4:E23)</f>
        <v/>
      </c>
    </row>
    <row r="71">
      <c r="A71" s="9" t="inlineStr">
        <is>
          <t>CCJ</t>
        </is>
      </c>
      <c r="B71" s="50">
        <f>CORREL(D4:D23,B4:B23)</f>
        <v/>
      </c>
      <c r="C71" s="50">
        <f>CORREL(D4:D23,C4:C23)</f>
        <v/>
      </c>
      <c r="D71" s="49">
        <f>CORREL(D4:D23,D4:D23)</f>
        <v/>
      </c>
      <c r="E71" s="50">
        <f>CORREL(D4:D23,E4:E23)</f>
        <v/>
      </c>
    </row>
    <row r="72">
      <c r="A72" s="9" t="inlineStr">
        <is>
          <t>XLE</t>
        </is>
      </c>
      <c r="B72" s="50">
        <f>CORREL(E4:E23,B4:B23)</f>
        <v/>
      </c>
      <c r="C72" s="50">
        <f>CORREL(E4:E23,C4:C23)</f>
        <v/>
      </c>
      <c r="D72" s="50">
        <f>CORREL(E4:E23,D4:D23)</f>
        <v/>
      </c>
      <c r="E72" s="49">
        <f>CORREL(E4:E23,E4:E23)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4">
    <mergeCell ref="A67:E67"/>
    <mergeCell ref="A1:J1"/>
    <mergeCell ref="A50:E50"/>
    <mergeCell ref="A26:J2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13" t="inlineStr">
        <is>
          <t>BENCHMARK &amp; MACRO FACTOR ANALYSIS — single-factor regressions, linked to Returns &amp; Risk</t>
        </is>
      </c>
    </row>
    <row r="2">
      <c r="K2" s="23" t="inlineStr">
        <is>
          <t>CEG-XLE</t>
        </is>
      </c>
      <c r="L2" s="23" t="inlineStr">
        <is>
          <t>VST-XLE</t>
        </is>
      </c>
      <c r="M2" s="23" t="inlineStr">
        <is>
          <t>CCJ-XLE</t>
        </is>
      </c>
    </row>
    <row r="3">
      <c r="A3" s="7" t="inlineStr">
        <is>
          <t>TABLE A — RELATIVE TO XLE (SECTOR BENCHMARK)</t>
        </is>
      </c>
    </row>
    <row r="4">
      <c r="A4" s="42" t="inlineStr">
        <is>
          <t>Ticker</t>
        </is>
      </c>
      <c r="B4" s="42" t="inlineStr">
        <is>
          <t>Beta (XLE)</t>
        </is>
      </c>
      <c r="C4" s="42" t="inlineStr">
        <is>
          <t>R²</t>
        </is>
      </c>
      <c r="D4" s="42" t="inlineStr">
        <is>
          <t>Alpha (ann., Jensen)</t>
        </is>
      </c>
      <c r="E4" s="42" t="inlineStr">
        <is>
          <t>Tracking Error (ann.)</t>
        </is>
      </c>
      <c r="F4" s="42" t="inlineStr">
        <is>
          <t>Info Ratio</t>
        </is>
      </c>
      <c r="G4" s="42" t="inlineStr">
        <is>
          <t>Up Capture</t>
        </is>
      </c>
      <c r="H4" s="42" t="inlineStr">
        <is>
          <t>Down Capture</t>
        </is>
      </c>
      <c r="K4" s="52">
        <f>'Returns &amp; Risk'!B4-'Returns &amp; Risk'!E4</f>
        <v/>
      </c>
      <c r="L4" s="52">
        <f>'Returns &amp; Risk'!C4-'Returns &amp; Risk'!E4</f>
        <v/>
      </c>
      <c r="M4" s="52">
        <f>'Returns &amp; Risk'!D4-'Returns &amp; Risk'!E4</f>
        <v/>
      </c>
    </row>
    <row r="5">
      <c r="A5" s="53" t="inlineStr">
        <is>
          <t>CEG</t>
        </is>
      </c>
      <c r="B5" s="49">
        <f>SLOPE('Returns &amp; Risk'!B4:B23,'Returns &amp; Risk'!E4:E23)</f>
        <v/>
      </c>
      <c r="C5" s="49">
        <f>RSQ('Returns &amp; Risk'!B4:B23,'Returns &amp; Risk'!E4:E23)</f>
        <v/>
      </c>
      <c r="D5" s="48">
        <f>'Returns &amp; Risk'!B55-('Returns &amp; Risk'!$B$52+B5*('Returns &amp; Risk'!E55-'Returns &amp; Risk'!$B$52))</f>
        <v/>
      </c>
      <c r="E5" s="48">
        <f>STDEV(K4:K23)*SQRT(12)</f>
        <v/>
      </c>
      <c r="F5" s="49">
        <f>('Returns &amp; Risk'!B55-'Returns &amp; Risk'!E55)/E5</f>
        <v/>
      </c>
      <c r="G5" s="49">
        <f>AVERAGEIF('Returns &amp; Risk'!E4:E23,"&gt;0",'Returns &amp; Risk'!B4:B23)/AVERAGEIF('Returns &amp; Risk'!E4:E23,"&gt;0",'Returns &amp; Risk'!E4:E23)</f>
        <v/>
      </c>
      <c r="H5" s="49">
        <f>AVERAGEIF('Returns &amp; Risk'!E4:E23,"&lt;0",'Returns &amp; Risk'!B4:B23)/AVERAGEIF('Returns &amp; Risk'!E4:E23,"&lt;0",'Returns &amp; Risk'!E4:E23)</f>
        <v/>
      </c>
      <c r="K5" s="52">
        <f>'Returns &amp; Risk'!B5-'Returns &amp; Risk'!E5</f>
        <v/>
      </c>
      <c r="L5" s="52">
        <f>'Returns &amp; Risk'!C5-'Returns &amp; Risk'!E5</f>
        <v/>
      </c>
      <c r="M5" s="52">
        <f>'Returns &amp; Risk'!D5-'Returns &amp; Risk'!E5</f>
        <v/>
      </c>
    </row>
    <row r="6">
      <c r="A6" s="9" t="inlineStr">
        <is>
          <t>VST</t>
        </is>
      </c>
      <c r="B6" s="50">
        <f>SLOPE('Returns &amp; Risk'!C4:C23,'Returns &amp; Risk'!E4:E23)</f>
        <v/>
      </c>
      <c r="C6" s="50">
        <f>RSQ('Returns &amp; Risk'!C4:C23,'Returns &amp; Risk'!E4:E23)</f>
        <v/>
      </c>
      <c r="D6" s="47">
        <f>'Returns &amp; Risk'!C55-('Returns &amp; Risk'!$B$52+B6*('Returns &amp; Risk'!E55-'Returns &amp; Risk'!$B$52))</f>
        <v/>
      </c>
      <c r="E6" s="47">
        <f>STDEV(L4:L23)*SQRT(12)</f>
        <v/>
      </c>
      <c r="F6" s="50">
        <f>('Returns &amp; Risk'!C55-'Returns &amp; Risk'!E55)/E6</f>
        <v/>
      </c>
      <c r="G6" s="50">
        <f>AVERAGEIF('Returns &amp; Risk'!E4:E23,"&gt;0",'Returns &amp; Risk'!C4:C23)/AVERAGEIF('Returns &amp; Risk'!E4:E23,"&gt;0",'Returns &amp; Risk'!E4:E23)</f>
        <v/>
      </c>
      <c r="H6" s="50">
        <f>AVERAGEIF('Returns &amp; Risk'!E4:E23,"&lt;0",'Returns &amp; Risk'!C4:C23)/AVERAGEIF('Returns &amp; Risk'!E4:E23,"&lt;0",'Returns &amp; Risk'!E4:E23)</f>
        <v/>
      </c>
      <c r="K6" s="52">
        <f>'Returns &amp; Risk'!B6-'Returns &amp; Risk'!E6</f>
        <v/>
      </c>
      <c r="L6" s="52">
        <f>'Returns &amp; Risk'!C6-'Returns &amp; Risk'!E6</f>
        <v/>
      </c>
      <c r="M6" s="52">
        <f>'Returns &amp; Risk'!D6-'Returns &amp; Risk'!E6</f>
        <v/>
      </c>
    </row>
    <row r="7">
      <c r="A7" s="53" t="inlineStr">
        <is>
          <t>CCJ</t>
        </is>
      </c>
      <c r="B7" s="49">
        <f>SLOPE('Returns &amp; Risk'!D4:D23,'Returns &amp; Risk'!E4:E23)</f>
        <v/>
      </c>
      <c r="C7" s="49">
        <f>RSQ('Returns &amp; Risk'!D4:D23,'Returns &amp; Risk'!E4:E23)</f>
        <v/>
      </c>
      <c r="D7" s="48">
        <f>'Returns &amp; Risk'!D55-('Returns &amp; Risk'!$B$52+B7*('Returns &amp; Risk'!E55-'Returns &amp; Risk'!$B$52))</f>
        <v/>
      </c>
      <c r="E7" s="48">
        <f>STDEV(M4:M23)*SQRT(12)</f>
        <v/>
      </c>
      <c r="F7" s="49">
        <f>('Returns &amp; Risk'!D55-'Returns &amp; Risk'!E55)/E7</f>
        <v/>
      </c>
      <c r="G7" s="49">
        <f>AVERAGEIF('Returns &amp; Risk'!E4:E23,"&gt;0",'Returns &amp; Risk'!D4:D23)/AVERAGEIF('Returns &amp; Risk'!E4:E23,"&gt;0",'Returns &amp; Risk'!E4:E23)</f>
        <v/>
      </c>
      <c r="H7" s="49">
        <f>AVERAGEIF('Returns &amp; Risk'!E4:E23,"&lt;0",'Returns &amp; Risk'!D4:D23)/AVERAGEIF('Returns &amp; Risk'!E4:E23,"&lt;0",'Returns &amp; Risk'!E4:E23)</f>
        <v/>
      </c>
      <c r="K7" s="52">
        <f>'Returns &amp; Risk'!B7-'Returns &amp; Risk'!E7</f>
        <v/>
      </c>
      <c r="L7" s="52">
        <f>'Returns &amp; Risk'!C7-'Returns &amp; Risk'!E7</f>
        <v/>
      </c>
      <c r="M7" s="52">
        <f>'Returns &amp; Risk'!D7-'Returns &amp; Risk'!E7</f>
        <v/>
      </c>
    </row>
    <row r="8">
      <c r="K8" s="52">
        <f>'Returns &amp; Risk'!B8-'Returns &amp; Risk'!E8</f>
        <v/>
      </c>
      <c r="L8" s="52">
        <f>'Returns &amp; Risk'!C8-'Returns &amp; Risk'!E8</f>
        <v/>
      </c>
      <c r="M8" s="52">
        <f>'Returns &amp; Risk'!D8-'Returns &amp; Risk'!E8</f>
        <v/>
      </c>
    </row>
    <row r="9">
      <c r="A9" s="7" t="inlineStr">
        <is>
          <t>TABLE B — MACRO FACTOR SENSITIVITIES (univariate SLOPE/R², one factor at a time)</t>
        </is>
      </c>
      <c r="K9" s="52">
        <f>'Returns &amp; Risk'!B9-'Returns &amp; Risk'!E9</f>
        <v/>
      </c>
      <c r="L9" s="52">
        <f>'Returns &amp; Risk'!C9-'Returns &amp; Risk'!E9</f>
        <v/>
      </c>
      <c r="M9" s="52">
        <f>'Returns &amp; Risk'!D9-'Returns &amp; Risk'!E9</f>
        <v/>
      </c>
    </row>
    <row r="10">
      <c r="A10" s="42" t="inlineStr">
        <is>
          <t>Ticker</t>
        </is>
      </c>
      <c r="B10" s="42" t="inlineStr">
        <is>
          <t>β Oil (WTI)</t>
        </is>
      </c>
      <c r="C10" s="42" t="inlineStr">
        <is>
          <t>R²</t>
        </is>
      </c>
      <c r="D10" s="42" t="inlineStr">
        <is>
          <t>β Nat Gas (HH)</t>
        </is>
      </c>
      <c r="E10" s="42" t="inlineStr">
        <is>
          <t>R²</t>
        </is>
      </c>
      <c r="F10" s="42" t="inlineStr">
        <is>
          <t>β Uranium</t>
        </is>
      </c>
      <c r="G10" s="42" t="inlineStr">
        <is>
          <t>R²</t>
        </is>
      </c>
      <c r="H10" s="42" t="inlineStr">
        <is>
          <t>β Rates (10Y Δ)</t>
        </is>
      </c>
      <c r="I10" s="42" t="inlineStr">
        <is>
          <t>R²</t>
        </is>
      </c>
      <c r="K10" s="52">
        <f>'Returns &amp; Risk'!B10-'Returns &amp; Risk'!E10</f>
        <v/>
      </c>
      <c r="L10" s="52">
        <f>'Returns &amp; Risk'!C10-'Returns &amp; Risk'!E10</f>
        <v/>
      </c>
      <c r="M10" s="52">
        <f>'Returns &amp; Risk'!D10-'Returns &amp; Risk'!E10</f>
        <v/>
      </c>
    </row>
    <row r="11">
      <c r="A11" s="53" t="inlineStr">
        <is>
          <t>CEG</t>
        </is>
      </c>
      <c r="B11" s="49">
        <f>SLOPE('Returns &amp; Risk'!B4:B23,'Returns &amp; Risk'!G4:G23)</f>
        <v/>
      </c>
      <c r="C11" s="49">
        <f>RSQ('Returns &amp; Risk'!B4:B23,'Returns &amp; Risk'!G4:G23)</f>
        <v/>
      </c>
      <c r="D11" s="49">
        <f>SLOPE('Returns &amp; Risk'!B4:B23,'Returns &amp; Risk'!H4:H23)</f>
        <v/>
      </c>
      <c r="E11" s="49">
        <f>RSQ('Returns &amp; Risk'!B4:B23,'Returns &amp; Risk'!H4:H23)</f>
        <v/>
      </c>
      <c r="F11" s="49">
        <f>SLOPE('Returns &amp; Risk'!B4:B23,'Returns &amp; Risk'!J4:J23)</f>
        <v/>
      </c>
      <c r="G11" s="49">
        <f>RSQ('Returns &amp; Risk'!B4:B23,'Returns &amp; Risk'!J4:J23)</f>
        <v/>
      </c>
      <c r="H11" s="49">
        <f>SLOPE('Returns &amp; Risk'!B4:B23,'Returns &amp; Risk'!I4:I23)</f>
        <v/>
      </c>
      <c r="I11" s="49">
        <f>RSQ('Returns &amp; Risk'!B4:B23,'Returns &amp; Risk'!I4:I23)</f>
        <v/>
      </c>
      <c r="K11" s="52">
        <f>'Returns &amp; Risk'!B11-'Returns &amp; Risk'!E11</f>
        <v/>
      </c>
      <c r="L11" s="52">
        <f>'Returns &amp; Risk'!C11-'Returns &amp; Risk'!E11</f>
        <v/>
      </c>
      <c r="M11" s="52">
        <f>'Returns &amp; Risk'!D11-'Returns &amp; Risk'!E11</f>
        <v/>
      </c>
    </row>
    <row r="12">
      <c r="A12" s="9" t="inlineStr">
        <is>
          <t>VST</t>
        </is>
      </c>
      <c r="B12" s="50">
        <f>SLOPE('Returns &amp; Risk'!C4:C23,'Returns &amp; Risk'!G4:G23)</f>
        <v/>
      </c>
      <c r="C12" s="50">
        <f>RSQ('Returns &amp; Risk'!C4:C23,'Returns &amp; Risk'!G4:G23)</f>
        <v/>
      </c>
      <c r="D12" s="50">
        <f>SLOPE('Returns &amp; Risk'!C4:C23,'Returns &amp; Risk'!H4:H23)</f>
        <v/>
      </c>
      <c r="E12" s="50">
        <f>RSQ('Returns &amp; Risk'!C4:C23,'Returns &amp; Risk'!H4:H23)</f>
        <v/>
      </c>
      <c r="F12" s="50">
        <f>SLOPE('Returns &amp; Risk'!C4:C23,'Returns &amp; Risk'!J4:J23)</f>
        <v/>
      </c>
      <c r="G12" s="50">
        <f>RSQ('Returns &amp; Risk'!C4:C23,'Returns &amp; Risk'!J4:J23)</f>
        <v/>
      </c>
      <c r="H12" s="50">
        <f>SLOPE('Returns &amp; Risk'!C4:C23,'Returns &amp; Risk'!I4:I23)</f>
        <v/>
      </c>
      <c r="I12" s="50">
        <f>RSQ('Returns &amp; Risk'!C4:C23,'Returns &amp; Risk'!I4:I23)</f>
        <v/>
      </c>
      <c r="K12" s="52">
        <f>'Returns &amp; Risk'!B12-'Returns &amp; Risk'!E12</f>
        <v/>
      </c>
      <c r="L12" s="52">
        <f>'Returns &amp; Risk'!C12-'Returns &amp; Risk'!E12</f>
        <v/>
      </c>
      <c r="M12" s="52">
        <f>'Returns &amp; Risk'!D12-'Returns &amp; Risk'!E12</f>
        <v/>
      </c>
    </row>
    <row r="13">
      <c r="A13" s="53" t="inlineStr">
        <is>
          <t>CCJ</t>
        </is>
      </c>
      <c r="B13" s="49">
        <f>SLOPE('Returns &amp; Risk'!D4:D23,'Returns &amp; Risk'!G4:G23)</f>
        <v/>
      </c>
      <c r="C13" s="49">
        <f>RSQ('Returns &amp; Risk'!D4:D23,'Returns &amp; Risk'!G4:G23)</f>
        <v/>
      </c>
      <c r="D13" s="49">
        <f>SLOPE('Returns &amp; Risk'!D4:D23,'Returns &amp; Risk'!H4:H23)</f>
        <v/>
      </c>
      <c r="E13" s="49">
        <f>RSQ('Returns &amp; Risk'!D4:D23,'Returns &amp; Risk'!H4:H23)</f>
        <v/>
      </c>
      <c r="F13" s="49">
        <f>SLOPE('Returns &amp; Risk'!D4:D23,'Returns &amp; Risk'!J4:J23)</f>
        <v/>
      </c>
      <c r="G13" s="49">
        <f>RSQ('Returns &amp; Risk'!D4:D23,'Returns &amp; Risk'!J4:J23)</f>
        <v/>
      </c>
      <c r="H13" s="49">
        <f>SLOPE('Returns &amp; Risk'!D4:D23,'Returns &amp; Risk'!I4:I23)</f>
        <v/>
      </c>
      <c r="I13" s="49">
        <f>RSQ('Returns &amp; Risk'!D4:D23,'Returns &amp; Risk'!I4:I23)</f>
        <v/>
      </c>
      <c r="K13" s="52">
        <f>'Returns &amp; Risk'!B13-'Returns &amp; Risk'!E13</f>
        <v/>
      </c>
      <c r="L13" s="52">
        <f>'Returns &amp; Risk'!C13-'Returns &amp; Risk'!E13</f>
        <v/>
      </c>
      <c r="M13" s="52">
        <f>'Returns &amp; Risk'!D13-'Returns &amp; Risk'!E13</f>
        <v/>
      </c>
    </row>
    <row r="14">
      <c r="K14" s="52">
        <f>'Returns &amp; Risk'!B14-'Returns &amp; Risk'!E14</f>
        <v/>
      </c>
      <c r="L14" s="52">
        <f>'Returns &amp; Risk'!C14-'Returns &amp; Risk'!E14</f>
        <v/>
      </c>
      <c r="M14" s="52">
        <f>'Returns &amp; Risk'!D14-'Returns &amp; Risk'!E14</f>
        <v/>
      </c>
    </row>
    <row r="15">
      <c r="K15" s="52">
        <f>'Returns &amp; Risk'!B15-'Returns &amp; Risk'!E15</f>
        <v/>
      </c>
      <c r="L15" s="52">
        <f>'Returns &amp; Risk'!C15-'Returns &amp; Risk'!E15</f>
        <v/>
      </c>
      <c r="M15" s="52">
        <f>'Returns &amp; Risk'!D15-'Returns &amp; Risk'!E15</f>
        <v/>
      </c>
    </row>
    <row r="16">
      <c r="A16" s="12" t="inlineStr">
        <is>
          <t>Reading this tab: Beta(XLE) &gt; 1 means the stock amplifies sector moves; Alpha is the annualized excess return left over after stripping out that market-beta exposure (CAPM/Jensen's alpha) — a positive alpha means the stock did better than its sector-beta alone would predict. Information Ratio is alpha per unit of tracking error — the standard buy-side measure of whether active risk is being paid for. Up/Down Capture above 1.0 in Up and below 1.0 in Down is the textbook 'asymmetric' profile a long-only holder wants. Table B betas are univariate (each factor regressed alone) because oil, gas, uranium and rates are themselves correlated, so a true multi-factor model would need to control for that collinearity — treat these as directional signals of sensitivity, not precise, independent exposures.</t>
        </is>
      </c>
    </row>
    <row r="17"/>
    <row r="18"/>
    <row r="19"/>
    <row r="20"/>
    <row r="21">
      <c r="K21" s="52">
        <f>'Returns &amp; Risk'!B21-'Returns &amp; Risk'!E21</f>
        <v/>
      </c>
      <c r="L21" s="52">
        <f>'Returns &amp; Risk'!C21-'Returns &amp; Risk'!E21</f>
        <v/>
      </c>
      <c r="M21" s="52">
        <f>'Returns &amp; Risk'!D21-'Returns &amp; Risk'!E21</f>
        <v/>
      </c>
    </row>
    <row r="22">
      <c r="K22" s="52">
        <f>'Returns &amp; Risk'!B22-'Returns &amp; Risk'!E22</f>
        <v/>
      </c>
      <c r="L22" s="52">
        <f>'Returns &amp; Risk'!C22-'Returns &amp; Risk'!E22</f>
        <v/>
      </c>
      <c r="M22" s="52">
        <f>'Returns &amp; Risk'!D22-'Returns &amp; Risk'!E22</f>
        <v/>
      </c>
    </row>
    <row r="23">
      <c r="K23" s="52">
        <f>'Returns &amp; Risk'!B23-'Returns &amp; Risk'!E23</f>
        <v/>
      </c>
      <c r="L23" s="52">
        <f>'Returns &amp; Risk'!C23-'Returns &amp; Risk'!E23</f>
        <v/>
      </c>
      <c r="M23" s="52">
        <f>'Returns &amp; Risk'!D23-'Returns &amp; Risk'!E23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4">
    <mergeCell ref="A9:I9"/>
    <mergeCell ref="A3:I3"/>
    <mergeCell ref="A1:M1"/>
    <mergeCell ref="A16:M2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1" customWidth="1" min="6" max="6"/>
    <col width="3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3" t="inlineStr">
        <is>
          <t>PORTFOLIO OPTIMIZATION — Mean-Variance Efficient Frontier (CEG / VST / CCJ)</t>
        </is>
      </c>
    </row>
    <row r="3">
      <c r="A3" s="7" t="inlineStr">
        <is>
          <t>MONTHLY COVARIANCE MATRIX (sample, n-1)</t>
        </is>
      </c>
    </row>
    <row r="4">
      <c r="A4" s="11" t="inlineStr"/>
      <c r="B4" s="42" t="inlineStr">
        <is>
          <t>CEG</t>
        </is>
      </c>
      <c r="C4" s="42" t="inlineStr">
        <is>
          <t>VST</t>
        </is>
      </c>
      <c r="D4" s="42" t="inlineStr">
        <is>
          <t>CCJ</t>
        </is>
      </c>
    </row>
    <row r="5">
      <c r="A5" s="53" t="inlineStr">
        <is>
          <t>CEG</t>
        </is>
      </c>
      <c r="B5" s="54">
        <f>SUMPRODUCT(('Returns &amp; Risk'!B4:B23-AVERAGE('Returns &amp; Risk'!B4:B23)),('Returns &amp; Risk'!B4:B23-AVERAGE('Returns &amp; Risk'!B4:B23)))/19</f>
        <v/>
      </c>
      <c r="C5" s="54">
        <f>SUMPRODUCT(('Returns &amp; Risk'!B4:B23-AVERAGE('Returns &amp; Risk'!B4:B23)),('Returns &amp; Risk'!C4:C23-AVERAGE('Returns &amp; Risk'!C4:C23)))/19</f>
        <v/>
      </c>
      <c r="D5" s="54">
        <f>SUMPRODUCT(('Returns &amp; Risk'!B4:B23-AVERAGE('Returns &amp; Risk'!B4:B23)),('Returns &amp; Risk'!D4:D23-AVERAGE('Returns &amp; Risk'!D4:D23)))/19</f>
        <v/>
      </c>
    </row>
    <row r="6">
      <c r="A6" s="9" t="inlineStr">
        <is>
          <t>VST</t>
        </is>
      </c>
      <c r="B6" s="55">
        <f>SUMPRODUCT(('Returns &amp; Risk'!C4:C23-AVERAGE('Returns &amp; Risk'!C4:C23)),('Returns &amp; Risk'!B4:B23-AVERAGE('Returns &amp; Risk'!B4:B23)))/19</f>
        <v/>
      </c>
      <c r="C6" s="55">
        <f>SUMPRODUCT(('Returns &amp; Risk'!C4:C23-AVERAGE('Returns &amp; Risk'!C4:C23)),('Returns &amp; Risk'!C4:C23-AVERAGE('Returns &amp; Risk'!C4:C23)))/19</f>
        <v/>
      </c>
      <c r="D6" s="55">
        <f>SUMPRODUCT(('Returns &amp; Risk'!C4:C23-AVERAGE('Returns &amp; Risk'!C4:C23)),('Returns &amp; Risk'!D4:D23-AVERAGE('Returns &amp; Risk'!D4:D23)))/19</f>
        <v/>
      </c>
    </row>
    <row r="7">
      <c r="A7" s="53" t="inlineStr">
        <is>
          <t>CCJ</t>
        </is>
      </c>
      <c r="B7" s="54">
        <f>SUMPRODUCT(('Returns &amp; Risk'!D4:D23-AVERAGE('Returns &amp; Risk'!D4:D23)),('Returns &amp; Risk'!B4:B23-AVERAGE('Returns &amp; Risk'!B4:B23)))/19</f>
        <v/>
      </c>
      <c r="C7" s="54">
        <f>SUMPRODUCT(('Returns &amp; Risk'!D4:D23-AVERAGE('Returns &amp; Risk'!D4:D23)),('Returns &amp; Risk'!C4:C23-AVERAGE('Returns &amp; Risk'!C4:C23)))/19</f>
        <v/>
      </c>
      <c r="D7" s="54">
        <f>SUMPRODUCT(('Returns &amp; Risk'!D4:D23-AVERAGE('Returns &amp; Risk'!D4:D23)),('Returns &amp; Risk'!D4:D23-AVERAGE('Returns &amp; Risk'!D4:D23)))/19</f>
        <v/>
      </c>
    </row>
    <row r="10">
      <c r="A10" s="7" t="inlineStr">
        <is>
          <t>EFFICIENT-FRONTIER GRID (10% weight steps) + NAMED PORTFOLIOS</t>
        </is>
      </c>
    </row>
    <row r="11">
      <c r="A11" s="42" t="inlineStr">
        <is>
          <t>w(CEG)</t>
        </is>
      </c>
      <c r="B11" s="42" t="inlineStr">
        <is>
          <t>w(VST)</t>
        </is>
      </c>
      <c r="C11" s="42" t="inlineStr">
        <is>
          <t>w(CCJ)</t>
        </is>
      </c>
      <c r="D11" s="42" t="inlineStr">
        <is>
          <t>Port. Return</t>
        </is>
      </c>
      <c r="E11" s="42" t="inlineStr">
        <is>
          <t>Port. Vol</t>
        </is>
      </c>
      <c r="F11" s="42" t="inlineStr">
        <is>
          <t>Sharpe</t>
        </is>
      </c>
    </row>
    <row r="12">
      <c r="A12" s="56" t="n">
        <v>0</v>
      </c>
      <c r="B12" s="56" t="n">
        <v>0</v>
      </c>
      <c r="C12" s="56" t="n">
        <v>1</v>
      </c>
      <c r="D12" s="57">
        <f>A12*'Returns &amp; Risk'!B55+B12*'Returns &amp; Risk'!C55+C12*'Returns &amp; Risk'!D55</f>
        <v/>
      </c>
      <c r="E12" s="57">
        <f>SQRT(A12^2*$B$5*12 + B12^2*$C$6*12 + C12^2*$D$7*12 + 2*A12*B12*$C$5*12 + 2*A12*C12*$D$5*12 + 2*B12*C12*$D$6*12)</f>
        <v/>
      </c>
      <c r="F12" s="58">
        <f>(D12-'Returns &amp; Risk'!$B$52)/E12</f>
        <v/>
      </c>
    </row>
    <row r="13">
      <c r="A13" s="59" t="n">
        <v>0</v>
      </c>
      <c r="B13" s="59" t="n">
        <v>0.1</v>
      </c>
      <c r="C13" s="59" t="n">
        <v>0.9</v>
      </c>
      <c r="D13" s="60">
        <f>A13*'Returns &amp; Risk'!B55+B13*'Returns &amp; Risk'!C55+C13*'Returns &amp; Risk'!D55</f>
        <v/>
      </c>
      <c r="E13" s="60">
        <f>SQRT(A13^2*$B$5*12 + B13^2*$C$6*12 + C13^2*$D$7*12 + 2*A13*B13*$C$5*12 + 2*A13*C13*$D$5*12 + 2*B13*C13*$D$6*12)</f>
        <v/>
      </c>
      <c r="F13" s="61">
        <f>(D13-'Returns &amp; Risk'!$B$52)/E13</f>
        <v/>
      </c>
    </row>
    <row r="14">
      <c r="A14" s="56" t="n">
        <v>0</v>
      </c>
      <c r="B14" s="56" t="n">
        <v>0.2</v>
      </c>
      <c r="C14" s="56" t="n">
        <v>0.8</v>
      </c>
      <c r="D14" s="57">
        <f>A14*'Returns &amp; Risk'!B55+B14*'Returns &amp; Risk'!C55+C14*'Returns &amp; Risk'!D55</f>
        <v/>
      </c>
      <c r="E14" s="57">
        <f>SQRT(A14^2*$B$5*12 + B14^2*$C$6*12 + C14^2*$D$7*12 + 2*A14*B14*$C$5*12 + 2*A14*C14*$D$5*12 + 2*B14*C14*$D$6*12)</f>
        <v/>
      </c>
      <c r="F14" s="58">
        <f>(D14-'Returns &amp; Risk'!$B$52)/E14</f>
        <v/>
      </c>
    </row>
    <row r="15">
      <c r="A15" s="59" t="n">
        <v>0</v>
      </c>
      <c r="B15" s="59" t="n">
        <v>0.3</v>
      </c>
      <c r="C15" s="59" t="n">
        <v>0.7</v>
      </c>
      <c r="D15" s="60">
        <f>A15*'Returns &amp; Risk'!B55+B15*'Returns &amp; Risk'!C55+C15*'Returns &amp; Risk'!D55</f>
        <v/>
      </c>
      <c r="E15" s="60">
        <f>SQRT(A15^2*$B$5*12 + B15^2*$C$6*12 + C15^2*$D$7*12 + 2*A15*B15*$C$5*12 + 2*A15*C15*$D$5*12 + 2*B15*C15*$D$6*12)</f>
        <v/>
      </c>
      <c r="F15" s="61">
        <f>(D15-'Returns &amp; Risk'!$B$52)/E15</f>
        <v/>
      </c>
    </row>
    <row r="16">
      <c r="A16" s="56" t="n">
        <v>0</v>
      </c>
      <c r="B16" s="56" t="n">
        <v>0.4</v>
      </c>
      <c r="C16" s="56" t="n">
        <v>0.6</v>
      </c>
      <c r="D16" s="57">
        <f>A16*'Returns &amp; Risk'!B55+B16*'Returns &amp; Risk'!C55+C16*'Returns &amp; Risk'!D55</f>
        <v/>
      </c>
      <c r="E16" s="57">
        <f>SQRT(A16^2*$B$5*12 + B16^2*$C$6*12 + C16^2*$D$7*12 + 2*A16*B16*$C$5*12 + 2*A16*C16*$D$5*12 + 2*B16*C16*$D$6*12)</f>
        <v/>
      </c>
      <c r="F16" s="58">
        <f>(D16-'Returns &amp; Risk'!$B$52)/E16</f>
        <v/>
      </c>
    </row>
    <row r="17">
      <c r="A17" s="59" t="n">
        <v>0</v>
      </c>
      <c r="B17" s="59" t="n">
        <v>0.5</v>
      </c>
      <c r="C17" s="59" t="n">
        <v>0.5</v>
      </c>
      <c r="D17" s="60">
        <f>A17*'Returns &amp; Risk'!B55+B17*'Returns &amp; Risk'!C55+C17*'Returns &amp; Risk'!D55</f>
        <v/>
      </c>
      <c r="E17" s="60">
        <f>SQRT(A17^2*$B$5*12 + B17^2*$C$6*12 + C17^2*$D$7*12 + 2*A17*B17*$C$5*12 + 2*A17*C17*$D$5*12 + 2*B17*C17*$D$6*12)</f>
        <v/>
      </c>
      <c r="F17" s="61">
        <f>(D17-'Returns &amp; Risk'!$B$52)/E17</f>
        <v/>
      </c>
    </row>
    <row r="18">
      <c r="A18" s="56" t="n">
        <v>0</v>
      </c>
      <c r="B18" s="56" t="n">
        <v>0.6</v>
      </c>
      <c r="C18" s="56" t="n">
        <v>0.4</v>
      </c>
      <c r="D18" s="57">
        <f>A18*'Returns &amp; Risk'!B55+B18*'Returns &amp; Risk'!C55+C18*'Returns &amp; Risk'!D55</f>
        <v/>
      </c>
      <c r="E18" s="57">
        <f>SQRT(A18^2*$B$5*12 + B18^2*$C$6*12 + C18^2*$D$7*12 + 2*A18*B18*$C$5*12 + 2*A18*C18*$D$5*12 + 2*B18*C18*$D$6*12)</f>
        <v/>
      </c>
      <c r="F18" s="58">
        <f>(D18-'Returns &amp; Risk'!$B$52)/E18</f>
        <v/>
      </c>
    </row>
    <row r="19">
      <c r="A19" s="59" t="n">
        <v>0</v>
      </c>
      <c r="B19" s="59" t="n">
        <v>0.7</v>
      </c>
      <c r="C19" s="59" t="n">
        <v>0.3</v>
      </c>
      <c r="D19" s="60">
        <f>A19*'Returns &amp; Risk'!B55+B19*'Returns &amp; Risk'!C55+C19*'Returns &amp; Risk'!D55</f>
        <v/>
      </c>
      <c r="E19" s="60">
        <f>SQRT(A19^2*$B$5*12 + B19^2*$C$6*12 + C19^2*$D$7*12 + 2*A19*B19*$C$5*12 + 2*A19*C19*$D$5*12 + 2*B19*C19*$D$6*12)</f>
        <v/>
      </c>
      <c r="F19" s="61">
        <f>(D19-'Returns &amp; Risk'!$B$52)/E19</f>
        <v/>
      </c>
    </row>
    <row r="20">
      <c r="A20" s="56" t="n">
        <v>0</v>
      </c>
      <c r="B20" s="56" t="n">
        <v>0.8</v>
      </c>
      <c r="C20" s="56" t="n">
        <v>0.2</v>
      </c>
      <c r="D20" s="57">
        <f>A20*'Returns &amp; Risk'!B55+B20*'Returns &amp; Risk'!C55+C20*'Returns &amp; Risk'!D55</f>
        <v/>
      </c>
      <c r="E20" s="57">
        <f>SQRT(A20^2*$B$5*12 + B20^2*$C$6*12 + C20^2*$D$7*12 + 2*A20*B20*$C$5*12 + 2*A20*C20*$D$5*12 + 2*B20*C20*$D$6*12)</f>
        <v/>
      </c>
      <c r="F20" s="58">
        <f>(D20-'Returns &amp; Risk'!$B$52)/E20</f>
        <v/>
      </c>
    </row>
    <row r="21">
      <c r="A21" s="59" t="n">
        <v>0</v>
      </c>
      <c r="B21" s="59" t="n">
        <v>0.9</v>
      </c>
      <c r="C21" s="59" t="n">
        <v>0.1</v>
      </c>
      <c r="D21" s="60">
        <f>A21*'Returns &amp; Risk'!B55+B21*'Returns &amp; Risk'!C55+C21*'Returns &amp; Risk'!D55</f>
        <v/>
      </c>
      <c r="E21" s="60">
        <f>SQRT(A21^2*$B$5*12 + B21^2*$C$6*12 + C21^2*$D$7*12 + 2*A21*B21*$C$5*12 + 2*A21*C21*$D$5*12 + 2*B21*C21*$D$6*12)</f>
        <v/>
      </c>
      <c r="F21" s="61">
        <f>(D21-'Returns &amp; Risk'!$B$52)/E21</f>
        <v/>
      </c>
    </row>
    <row r="22">
      <c r="A22" s="56" t="n">
        <v>0</v>
      </c>
      <c r="B22" s="56" t="n">
        <v>1</v>
      </c>
      <c r="C22" s="56" t="n">
        <v>0</v>
      </c>
      <c r="D22" s="57">
        <f>A22*'Returns &amp; Risk'!B55+B22*'Returns &amp; Risk'!C55+C22*'Returns &amp; Risk'!D55</f>
        <v/>
      </c>
      <c r="E22" s="57">
        <f>SQRT(A22^2*$B$5*12 + B22^2*$C$6*12 + C22^2*$D$7*12 + 2*A22*B22*$C$5*12 + 2*A22*C22*$D$5*12 + 2*B22*C22*$D$6*12)</f>
        <v/>
      </c>
      <c r="F22" s="58">
        <f>(D22-'Returns &amp; Risk'!$B$52)/E22</f>
        <v/>
      </c>
    </row>
    <row r="23">
      <c r="A23" s="59" t="n">
        <v>0.1</v>
      </c>
      <c r="B23" s="59" t="n">
        <v>0</v>
      </c>
      <c r="C23" s="59" t="n">
        <v>0.9</v>
      </c>
      <c r="D23" s="60">
        <f>A23*'Returns &amp; Risk'!B55+B23*'Returns &amp; Risk'!C55+C23*'Returns &amp; Risk'!D55</f>
        <v/>
      </c>
      <c r="E23" s="60">
        <f>SQRT(A23^2*$B$5*12 + B23^2*$C$6*12 + C23^2*$D$7*12 + 2*A23*B23*$C$5*12 + 2*A23*C23*$D$5*12 + 2*B23*C23*$D$6*12)</f>
        <v/>
      </c>
      <c r="F23" s="61">
        <f>(D23-'Returns &amp; Risk'!$B$52)/E23</f>
        <v/>
      </c>
    </row>
    <row r="24">
      <c r="A24" s="56" t="n">
        <v>0.1</v>
      </c>
      <c r="B24" s="56" t="n">
        <v>0.1</v>
      </c>
      <c r="C24" s="56" t="n">
        <v>0.8</v>
      </c>
      <c r="D24" s="57">
        <f>A24*'Returns &amp; Risk'!B55+B24*'Returns &amp; Risk'!C55+C24*'Returns &amp; Risk'!D55</f>
        <v/>
      </c>
      <c r="E24" s="57">
        <f>SQRT(A24^2*$B$5*12 + B24^2*$C$6*12 + C24^2*$D$7*12 + 2*A24*B24*$C$5*12 + 2*A24*C24*$D$5*12 + 2*B24*C24*$D$6*12)</f>
        <v/>
      </c>
      <c r="F24" s="58">
        <f>(D24-'Returns &amp; Risk'!$B$52)/E24</f>
        <v/>
      </c>
    </row>
    <row r="25">
      <c r="A25" s="59" t="n">
        <v>0.1</v>
      </c>
      <c r="B25" s="59" t="n">
        <v>0.2</v>
      </c>
      <c r="C25" s="59" t="n">
        <v>0.7</v>
      </c>
      <c r="D25" s="60">
        <f>A25*'Returns &amp; Risk'!B55+B25*'Returns &amp; Risk'!C55+C25*'Returns &amp; Risk'!D55</f>
        <v/>
      </c>
      <c r="E25" s="60">
        <f>SQRT(A25^2*$B$5*12 + B25^2*$C$6*12 + C25^2*$D$7*12 + 2*A25*B25*$C$5*12 + 2*A25*C25*$D$5*12 + 2*B25*C25*$D$6*12)</f>
        <v/>
      </c>
      <c r="F25" s="61">
        <f>(D25-'Returns &amp; Risk'!$B$52)/E25</f>
        <v/>
      </c>
    </row>
    <row r="26">
      <c r="A26" s="56" t="n">
        <v>0.1</v>
      </c>
      <c r="B26" s="56" t="n">
        <v>0.3</v>
      </c>
      <c r="C26" s="56" t="n">
        <v>0.6</v>
      </c>
      <c r="D26" s="57">
        <f>A26*'Returns &amp; Risk'!B55+B26*'Returns &amp; Risk'!C55+C26*'Returns &amp; Risk'!D55</f>
        <v/>
      </c>
      <c r="E26" s="57">
        <f>SQRT(A26^2*$B$5*12 + B26^2*$C$6*12 + C26^2*$D$7*12 + 2*A26*B26*$C$5*12 + 2*A26*C26*$D$5*12 + 2*B26*C26*$D$6*12)</f>
        <v/>
      </c>
      <c r="F26" s="58">
        <f>(D26-'Returns &amp; Risk'!$B$52)/E26</f>
        <v/>
      </c>
    </row>
    <row r="27">
      <c r="A27" s="59" t="n">
        <v>0.1</v>
      </c>
      <c r="B27" s="59" t="n">
        <v>0.4</v>
      </c>
      <c r="C27" s="59" t="n">
        <v>0.5</v>
      </c>
      <c r="D27" s="60">
        <f>A27*'Returns &amp; Risk'!B55+B27*'Returns &amp; Risk'!C55+C27*'Returns &amp; Risk'!D55</f>
        <v/>
      </c>
      <c r="E27" s="60">
        <f>SQRT(A27^2*$B$5*12 + B27^2*$C$6*12 + C27^2*$D$7*12 + 2*A27*B27*$C$5*12 + 2*A27*C27*$D$5*12 + 2*B27*C27*$D$6*12)</f>
        <v/>
      </c>
      <c r="F27" s="61">
        <f>(D27-'Returns &amp; Risk'!$B$52)/E27</f>
        <v/>
      </c>
    </row>
    <row r="28">
      <c r="A28" s="56" t="n">
        <v>0.1</v>
      </c>
      <c r="B28" s="56" t="n">
        <v>0.5</v>
      </c>
      <c r="C28" s="56" t="n">
        <v>0.4</v>
      </c>
      <c r="D28" s="57">
        <f>A28*'Returns &amp; Risk'!B55+B28*'Returns &amp; Risk'!C55+C28*'Returns &amp; Risk'!D55</f>
        <v/>
      </c>
      <c r="E28" s="57">
        <f>SQRT(A28^2*$B$5*12 + B28^2*$C$6*12 + C28^2*$D$7*12 + 2*A28*B28*$C$5*12 + 2*A28*C28*$D$5*12 + 2*B28*C28*$D$6*12)</f>
        <v/>
      </c>
      <c r="F28" s="58">
        <f>(D28-'Returns &amp; Risk'!$B$52)/E28</f>
        <v/>
      </c>
    </row>
    <row r="29">
      <c r="A29" s="59" t="n">
        <v>0.1</v>
      </c>
      <c r="B29" s="59" t="n">
        <v>0.6</v>
      </c>
      <c r="C29" s="59" t="n">
        <v>0.3</v>
      </c>
      <c r="D29" s="60">
        <f>A29*'Returns &amp; Risk'!B55+B29*'Returns &amp; Risk'!C55+C29*'Returns &amp; Risk'!D55</f>
        <v/>
      </c>
      <c r="E29" s="60">
        <f>SQRT(A29^2*$B$5*12 + B29^2*$C$6*12 + C29^2*$D$7*12 + 2*A29*B29*$C$5*12 + 2*A29*C29*$D$5*12 + 2*B29*C29*$D$6*12)</f>
        <v/>
      </c>
      <c r="F29" s="61">
        <f>(D29-'Returns &amp; Risk'!$B$52)/E29</f>
        <v/>
      </c>
    </row>
    <row r="30">
      <c r="A30" s="56" t="n">
        <v>0.1</v>
      </c>
      <c r="B30" s="56" t="n">
        <v>0.7</v>
      </c>
      <c r="C30" s="56" t="n">
        <v>0.2</v>
      </c>
      <c r="D30" s="57">
        <f>A30*'Returns &amp; Risk'!B55+B30*'Returns &amp; Risk'!C55+C30*'Returns &amp; Risk'!D55</f>
        <v/>
      </c>
      <c r="E30" s="57">
        <f>SQRT(A30^2*$B$5*12 + B30^2*$C$6*12 + C30^2*$D$7*12 + 2*A30*B30*$C$5*12 + 2*A30*C30*$D$5*12 + 2*B30*C30*$D$6*12)</f>
        <v/>
      </c>
      <c r="F30" s="58">
        <f>(D30-'Returns &amp; Risk'!$B$52)/E30</f>
        <v/>
      </c>
    </row>
    <row r="31">
      <c r="A31" s="59" t="n">
        <v>0.1</v>
      </c>
      <c r="B31" s="59" t="n">
        <v>0.8</v>
      </c>
      <c r="C31" s="59" t="n">
        <v>0.1</v>
      </c>
      <c r="D31" s="60">
        <f>A31*'Returns &amp; Risk'!B55+B31*'Returns &amp; Risk'!C55+C31*'Returns &amp; Risk'!D55</f>
        <v/>
      </c>
      <c r="E31" s="60">
        <f>SQRT(A31^2*$B$5*12 + B31^2*$C$6*12 + C31^2*$D$7*12 + 2*A31*B31*$C$5*12 + 2*A31*C31*$D$5*12 + 2*B31*C31*$D$6*12)</f>
        <v/>
      </c>
      <c r="F31" s="61">
        <f>(D31-'Returns &amp; Risk'!$B$52)/E31</f>
        <v/>
      </c>
    </row>
    <row r="32">
      <c r="A32" s="56" t="n">
        <v>0.1</v>
      </c>
      <c r="B32" s="56" t="n">
        <v>0.9</v>
      </c>
      <c r="C32" s="56" t="n">
        <v>0</v>
      </c>
      <c r="D32" s="57">
        <f>A32*'Returns &amp; Risk'!B55+B32*'Returns &amp; Risk'!C55+C32*'Returns &amp; Risk'!D55</f>
        <v/>
      </c>
      <c r="E32" s="57">
        <f>SQRT(A32^2*$B$5*12 + B32^2*$C$6*12 + C32^2*$D$7*12 + 2*A32*B32*$C$5*12 + 2*A32*C32*$D$5*12 + 2*B32*C32*$D$6*12)</f>
        <v/>
      </c>
      <c r="F32" s="58">
        <f>(D32-'Returns &amp; Risk'!$B$52)/E32</f>
        <v/>
      </c>
    </row>
    <row r="33">
      <c r="A33" s="59" t="n">
        <v>0.2</v>
      </c>
      <c r="B33" s="59" t="n">
        <v>0</v>
      </c>
      <c r="C33" s="59" t="n">
        <v>0.8</v>
      </c>
      <c r="D33" s="60">
        <f>A33*'Returns &amp; Risk'!B55+B33*'Returns &amp; Risk'!C55+C33*'Returns &amp; Risk'!D55</f>
        <v/>
      </c>
      <c r="E33" s="60">
        <f>SQRT(A33^2*$B$5*12 + B33^2*$C$6*12 + C33^2*$D$7*12 + 2*A33*B33*$C$5*12 + 2*A33*C33*$D$5*12 + 2*B33*C33*$D$6*12)</f>
        <v/>
      </c>
      <c r="F33" s="61">
        <f>(D33-'Returns &amp; Risk'!$B$52)/E33</f>
        <v/>
      </c>
    </row>
    <row r="34">
      <c r="A34" s="56" t="n">
        <v>0.2</v>
      </c>
      <c r="B34" s="56" t="n">
        <v>0.1</v>
      </c>
      <c r="C34" s="56" t="n">
        <v>0.7</v>
      </c>
      <c r="D34" s="57">
        <f>A34*'Returns &amp; Risk'!B55+B34*'Returns &amp; Risk'!C55+C34*'Returns &amp; Risk'!D55</f>
        <v/>
      </c>
      <c r="E34" s="57">
        <f>SQRT(A34^2*$B$5*12 + B34^2*$C$6*12 + C34^2*$D$7*12 + 2*A34*B34*$C$5*12 + 2*A34*C34*$D$5*12 + 2*B34*C34*$D$6*12)</f>
        <v/>
      </c>
      <c r="F34" s="58">
        <f>(D34-'Returns &amp; Risk'!$B$52)/E34</f>
        <v/>
      </c>
    </row>
    <row r="35">
      <c r="A35" s="59" t="n">
        <v>0.2</v>
      </c>
      <c r="B35" s="59" t="n">
        <v>0.2</v>
      </c>
      <c r="C35" s="59" t="n">
        <v>0.6</v>
      </c>
      <c r="D35" s="60">
        <f>A35*'Returns &amp; Risk'!B55+B35*'Returns &amp; Risk'!C55+C35*'Returns &amp; Risk'!D55</f>
        <v/>
      </c>
      <c r="E35" s="60">
        <f>SQRT(A35^2*$B$5*12 + B35^2*$C$6*12 + C35^2*$D$7*12 + 2*A35*B35*$C$5*12 + 2*A35*C35*$D$5*12 + 2*B35*C35*$D$6*12)</f>
        <v/>
      </c>
      <c r="F35" s="61">
        <f>(D35-'Returns &amp; Risk'!$B$52)/E35</f>
        <v/>
      </c>
    </row>
    <row r="36">
      <c r="A36" s="56" t="n">
        <v>0.2</v>
      </c>
      <c r="B36" s="56" t="n">
        <v>0.3</v>
      </c>
      <c r="C36" s="56" t="n">
        <v>0.5</v>
      </c>
      <c r="D36" s="57">
        <f>A36*'Returns &amp; Risk'!B55+B36*'Returns &amp; Risk'!C55+C36*'Returns &amp; Risk'!D55</f>
        <v/>
      </c>
      <c r="E36" s="57">
        <f>SQRT(A36^2*$B$5*12 + B36^2*$C$6*12 + C36^2*$D$7*12 + 2*A36*B36*$C$5*12 + 2*A36*C36*$D$5*12 + 2*B36*C36*$D$6*12)</f>
        <v/>
      </c>
      <c r="F36" s="58">
        <f>(D36-'Returns &amp; Risk'!$B$52)/E36</f>
        <v/>
      </c>
    </row>
    <row r="37">
      <c r="A37" s="59" t="n">
        <v>0.2</v>
      </c>
      <c r="B37" s="59" t="n">
        <v>0.4</v>
      </c>
      <c r="C37" s="59" t="n">
        <v>0.4</v>
      </c>
      <c r="D37" s="60">
        <f>A37*'Returns &amp; Risk'!B55+B37*'Returns &amp; Risk'!C55+C37*'Returns &amp; Risk'!D55</f>
        <v/>
      </c>
      <c r="E37" s="60">
        <f>SQRT(A37^2*$B$5*12 + B37^2*$C$6*12 + C37^2*$D$7*12 + 2*A37*B37*$C$5*12 + 2*A37*C37*$D$5*12 + 2*B37*C37*$D$6*12)</f>
        <v/>
      </c>
      <c r="F37" s="61">
        <f>(D37-'Returns &amp; Risk'!$B$52)/E37</f>
        <v/>
      </c>
    </row>
    <row r="38">
      <c r="A38" s="56" t="n">
        <v>0.2</v>
      </c>
      <c r="B38" s="56" t="n">
        <v>0.5</v>
      </c>
      <c r="C38" s="56" t="n">
        <v>0.3</v>
      </c>
      <c r="D38" s="57">
        <f>A38*'Returns &amp; Risk'!B55+B38*'Returns &amp; Risk'!C55+C38*'Returns &amp; Risk'!D55</f>
        <v/>
      </c>
      <c r="E38" s="57">
        <f>SQRT(A38^2*$B$5*12 + B38^2*$C$6*12 + C38^2*$D$7*12 + 2*A38*B38*$C$5*12 + 2*A38*C38*$D$5*12 + 2*B38*C38*$D$6*12)</f>
        <v/>
      </c>
      <c r="F38" s="58">
        <f>(D38-'Returns &amp; Risk'!$B$52)/E38</f>
        <v/>
      </c>
    </row>
    <row r="39">
      <c r="A39" s="59" t="n">
        <v>0.2</v>
      </c>
      <c r="B39" s="59" t="n">
        <v>0.6</v>
      </c>
      <c r="C39" s="59" t="n">
        <v>0.2</v>
      </c>
      <c r="D39" s="60">
        <f>A39*'Returns &amp; Risk'!B55+B39*'Returns &amp; Risk'!C55+C39*'Returns &amp; Risk'!D55</f>
        <v/>
      </c>
      <c r="E39" s="60">
        <f>SQRT(A39^2*$B$5*12 + B39^2*$C$6*12 + C39^2*$D$7*12 + 2*A39*B39*$C$5*12 + 2*A39*C39*$D$5*12 + 2*B39*C39*$D$6*12)</f>
        <v/>
      </c>
      <c r="F39" s="61">
        <f>(D39-'Returns &amp; Risk'!$B$52)/E39</f>
        <v/>
      </c>
    </row>
    <row r="40">
      <c r="A40" s="56" t="n">
        <v>0.2</v>
      </c>
      <c r="B40" s="56" t="n">
        <v>0.7</v>
      </c>
      <c r="C40" s="56" t="n">
        <v>0.1</v>
      </c>
      <c r="D40" s="57">
        <f>A40*'Returns &amp; Risk'!B55+B40*'Returns &amp; Risk'!C55+C40*'Returns &amp; Risk'!D55</f>
        <v/>
      </c>
      <c r="E40" s="57">
        <f>SQRT(A40^2*$B$5*12 + B40^2*$C$6*12 + C40^2*$D$7*12 + 2*A40*B40*$C$5*12 + 2*A40*C40*$D$5*12 + 2*B40*C40*$D$6*12)</f>
        <v/>
      </c>
      <c r="F40" s="58">
        <f>(D40-'Returns &amp; Risk'!$B$52)/E40</f>
        <v/>
      </c>
    </row>
    <row r="41">
      <c r="A41" s="59" t="n">
        <v>0.2</v>
      </c>
      <c r="B41" s="59" t="n">
        <v>0.8</v>
      </c>
      <c r="C41" s="59" t="n">
        <v>0</v>
      </c>
      <c r="D41" s="60">
        <f>A41*'Returns &amp; Risk'!B55+B41*'Returns &amp; Risk'!C55+C41*'Returns &amp; Risk'!D55</f>
        <v/>
      </c>
      <c r="E41" s="60">
        <f>SQRT(A41^2*$B$5*12 + B41^2*$C$6*12 + C41^2*$D$7*12 + 2*A41*B41*$C$5*12 + 2*A41*C41*$D$5*12 + 2*B41*C41*$D$6*12)</f>
        <v/>
      </c>
      <c r="F41" s="61">
        <f>(D41-'Returns &amp; Risk'!$B$52)/E41</f>
        <v/>
      </c>
    </row>
    <row r="42">
      <c r="A42" s="56" t="n">
        <v>0.3</v>
      </c>
      <c r="B42" s="56" t="n">
        <v>0</v>
      </c>
      <c r="C42" s="56" t="n">
        <v>0.7</v>
      </c>
      <c r="D42" s="57">
        <f>A42*'Returns &amp; Risk'!B55+B42*'Returns &amp; Risk'!C55+C42*'Returns &amp; Risk'!D55</f>
        <v/>
      </c>
      <c r="E42" s="57">
        <f>SQRT(A42^2*$B$5*12 + B42^2*$C$6*12 + C42^2*$D$7*12 + 2*A42*B42*$C$5*12 + 2*A42*C42*$D$5*12 + 2*B42*C42*$D$6*12)</f>
        <v/>
      </c>
      <c r="F42" s="58">
        <f>(D42-'Returns &amp; Risk'!$B$52)/E42</f>
        <v/>
      </c>
    </row>
    <row r="43">
      <c r="A43" s="59" t="n">
        <v>0.3</v>
      </c>
      <c r="B43" s="59" t="n">
        <v>0.1</v>
      </c>
      <c r="C43" s="59" t="n">
        <v>0.6</v>
      </c>
      <c r="D43" s="60">
        <f>A43*'Returns &amp; Risk'!B55+B43*'Returns &amp; Risk'!C55+C43*'Returns &amp; Risk'!D55</f>
        <v/>
      </c>
      <c r="E43" s="60">
        <f>SQRT(A43^2*$B$5*12 + B43^2*$C$6*12 + C43^2*$D$7*12 + 2*A43*B43*$C$5*12 + 2*A43*C43*$D$5*12 + 2*B43*C43*$D$6*12)</f>
        <v/>
      </c>
      <c r="F43" s="61">
        <f>(D43-'Returns &amp; Risk'!$B$52)/E43</f>
        <v/>
      </c>
    </row>
    <row r="44">
      <c r="A44" s="56" t="n">
        <v>0.3</v>
      </c>
      <c r="B44" s="56" t="n">
        <v>0.2</v>
      </c>
      <c r="C44" s="56" t="n">
        <v>0.5</v>
      </c>
      <c r="D44" s="57">
        <f>A44*'Returns &amp; Risk'!B55+B44*'Returns &amp; Risk'!C55+C44*'Returns &amp; Risk'!D55</f>
        <v/>
      </c>
      <c r="E44" s="57">
        <f>SQRT(A44^2*$B$5*12 + B44^2*$C$6*12 + C44^2*$D$7*12 + 2*A44*B44*$C$5*12 + 2*A44*C44*$D$5*12 + 2*B44*C44*$D$6*12)</f>
        <v/>
      </c>
      <c r="F44" s="58">
        <f>(D44-'Returns &amp; Risk'!$B$52)/E44</f>
        <v/>
      </c>
    </row>
    <row r="45">
      <c r="A45" s="59" t="n">
        <v>0.3</v>
      </c>
      <c r="B45" s="59" t="n">
        <v>0.3</v>
      </c>
      <c r="C45" s="59" t="n">
        <v>0.4</v>
      </c>
      <c r="D45" s="60">
        <f>A45*'Returns &amp; Risk'!B55+B45*'Returns &amp; Risk'!C55+C45*'Returns &amp; Risk'!D55</f>
        <v/>
      </c>
      <c r="E45" s="60">
        <f>SQRT(A45^2*$B$5*12 + B45^2*$C$6*12 + C45^2*$D$7*12 + 2*A45*B45*$C$5*12 + 2*A45*C45*$D$5*12 + 2*B45*C45*$D$6*12)</f>
        <v/>
      </c>
      <c r="F45" s="61">
        <f>(D45-'Returns &amp; Risk'!$B$52)/E45</f>
        <v/>
      </c>
    </row>
    <row r="46">
      <c r="A46" s="56" t="n">
        <v>0.3</v>
      </c>
      <c r="B46" s="56" t="n">
        <v>0.4</v>
      </c>
      <c r="C46" s="56" t="n">
        <v>0.3</v>
      </c>
      <c r="D46" s="57">
        <f>A46*'Returns &amp; Risk'!B55+B46*'Returns &amp; Risk'!C55+C46*'Returns &amp; Risk'!D55</f>
        <v/>
      </c>
      <c r="E46" s="57">
        <f>SQRT(A46^2*$B$5*12 + B46^2*$C$6*12 + C46^2*$D$7*12 + 2*A46*B46*$C$5*12 + 2*A46*C46*$D$5*12 + 2*B46*C46*$D$6*12)</f>
        <v/>
      </c>
      <c r="F46" s="58">
        <f>(D46-'Returns &amp; Risk'!$B$52)/E46</f>
        <v/>
      </c>
    </row>
    <row r="47">
      <c r="A47" s="59" t="n">
        <v>0.3</v>
      </c>
      <c r="B47" s="59" t="n">
        <v>0.5</v>
      </c>
      <c r="C47" s="59" t="n">
        <v>0.2</v>
      </c>
      <c r="D47" s="60">
        <f>A47*'Returns &amp; Risk'!B55+B47*'Returns &amp; Risk'!C55+C47*'Returns &amp; Risk'!D55</f>
        <v/>
      </c>
      <c r="E47" s="60">
        <f>SQRT(A47^2*$B$5*12 + B47^2*$C$6*12 + C47^2*$D$7*12 + 2*A47*B47*$C$5*12 + 2*A47*C47*$D$5*12 + 2*B47*C47*$D$6*12)</f>
        <v/>
      </c>
      <c r="F47" s="61">
        <f>(D47-'Returns &amp; Risk'!$B$52)/E47</f>
        <v/>
      </c>
    </row>
    <row r="48">
      <c r="A48" s="56" t="n">
        <v>0.3</v>
      </c>
      <c r="B48" s="56" t="n">
        <v>0.6</v>
      </c>
      <c r="C48" s="56" t="n">
        <v>0.1</v>
      </c>
      <c r="D48" s="57">
        <f>A48*'Returns &amp; Risk'!B55+B48*'Returns &amp; Risk'!C55+C48*'Returns &amp; Risk'!D55</f>
        <v/>
      </c>
      <c r="E48" s="57">
        <f>SQRT(A48^2*$B$5*12 + B48^2*$C$6*12 + C48^2*$D$7*12 + 2*A48*B48*$C$5*12 + 2*A48*C48*$D$5*12 + 2*B48*C48*$D$6*12)</f>
        <v/>
      </c>
      <c r="F48" s="58">
        <f>(D48-'Returns &amp; Risk'!$B$52)/E48</f>
        <v/>
      </c>
    </row>
    <row r="49">
      <c r="A49" s="59" t="n">
        <v>0.3</v>
      </c>
      <c r="B49" s="59" t="n">
        <v>0.7</v>
      </c>
      <c r="C49" s="59" t="n">
        <v>0</v>
      </c>
      <c r="D49" s="60">
        <f>A49*'Returns &amp; Risk'!B55+B49*'Returns &amp; Risk'!C55+C49*'Returns &amp; Risk'!D55</f>
        <v/>
      </c>
      <c r="E49" s="60">
        <f>SQRT(A49^2*$B$5*12 + B49^2*$C$6*12 + C49^2*$D$7*12 + 2*A49*B49*$C$5*12 + 2*A49*C49*$D$5*12 + 2*B49*C49*$D$6*12)</f>
        <v/>
      </c>
      <c r="F49" s="61">
        <f>(D49-'Returns &amp; Risk'!$B$52)/E49</f>
        <v/>
      </c>
    </row>
    <row r="50">
      <c r="A50" s="56" t="n">
        <v>0.4</v>
      </c>
      <c r="B50" s="56" t="n">
        <v>0</v>
      </c>
      <c r="C50" s="56" t="n">
        <v>0.6</v>
      </c>
      <c r="D50" s="57">
        <f>A50*'Returns &amp; Risk'!B55+B50*'Returns &amp; Risk'!C55+C50*'Returns &amp; Risk'!D55</f>
        <v/>
      </c>
      <c r="E50" s="57">
        <f>SQRT(A50^2*$B$5*12 + B50^2*$C$6*12 + C50^2*$D$7*12 + 2*A50*B50*$C$5*12 + 2*A50*C50*$D$5*12 + 2*B50*C50*$D$6*12)</f>
        <v/>
      </c>
      <c r="F50" s="58">
        <f>(D50-'Returns &amp; Risk'!$B$52)/E50</f>
        <v/>
      </c>
    </row>
    <row r="51">
      <c r="A51" s="59" t="n">
        <v>0.4</v>
      </c>
      <c r="B51" s="59" t="n">
        <v>0.1</v>
      </c>
      <c r="C51" s="59" t="n">
        <v>0.5</v>
      </c>
      <c r="D51" s="60">
        <f>A51*'Returns &amp; Risk'!B55+B51*'Returns &amp; Risk'!C55+C51*'Returns &amp; Risk'!D55</f>
        <v/>
      </c>
      <c r="E51" s="60">
        <f>SQRT(A51^2*$B$5*12 + B51^2*$C$6*12 + C51^2*$D$7*12 + 2*A51*B51*$C$5*12 + 2*A51*C51*$D$5*12 + 2*B51*C51*$D$6*12)</f>
        <v/>
      </c>
      <c r="F51" s="61">
        <f>(D51-'Returns &amp; Risk'!$B$52)/E51</f>
        <v/>
      </c>
    </row>
    <row r="52">
      <c r="A52" s="56" t="n">
        <v>0.4</v>
      </c>
      <c r="B52" s="56" t="n">
        <v>0.2</v>
      </c>
      <c r="C52" s="56" t="n">
        <v>0.4</v>
      </c>
      <c r="D52" s="57">
        <f>A52*'Returns &amp; Risk'!B55+B52*'Returns &amp; Risk'!C55+C52*'Returns &amp; Risk'!D55</f>
        <v/>
      </c>
      <c r="E52" s="57">
        <f>SQRT(A52^2*$B$5*12 + B52^2*$C$6*12 + C52^2*$D$7*12 + 2*A52*B52*$C$5*12 + 2*A52*C52*$D$5*12 + 2*B52*C52*$D$6*12)</f>
        <v/>
      </c>
      <c r="F52" s="58">
        <f>(D52-'Returns &amp; Risk'!$B$52)/E52</f>
        <v/>
      </c>
    </row>
    <row r="53">
      <c r="A53" s="59" t="n">
        <v>0.4</v>
      </c>
      <c r="B53" s="59" t="n">
        <v>0.3</v>
      </c>
      <c r="C53" s="59" t="n">
        <v>0.3</v>
      </c>
      <c r="D53" s="60">
        <f>A53*'Returns &amp; Risk'!B55+B53*'Returns &amp; Risk'!C55+C53*'Returns &amp; Risk'!D55</f>
        <v/>
      </c>
      <c r="E53" s="60">
        <f>SQRT(A53^2*$B$5*12 + B53^2*$C$6*12 + C53^2*$D$7*12 + 2*A53*B53*$C$5*12 + 2*A53*C53*$D$5*12 + 2*B53*C53*$D$6*12)</f>
        <v/>
      </c>
      <c r="F53" s="61">
        <f>(D53-'Returns &amp; Risk'!$B$52)/E53</f>
        <v/>
      </c>
    </row>
    <row r="54">
      <c r="A54" s="56" t="n">
        <v>0.4</v>
      </c>
      <c r="B54" s="56" t="n">
        <v>0.4</v>
      </c>
      <c r="C54" s="56" t="n">
        <v>0.2</v>
      </c>
      <c r="D54" s="57">
        <f>A54*'Returns &amp; Risk'!B55+B54*'Returns &amp; Risk'!C55+C54*'Returns &amp; Risk'!D55</f>
        <v/>
      </c>
      <c r="E54" s="57">
        <f>SQRT(A54^2*$B$5*12 + B54^2*$C$6*12 + C54^2*$D$7*12 + 2*A54*B54*$C$5*12 + 2*A54*C54*$D$5*12 + 2*B54*C54*$D$6*12)</f>
        <v/>
      </c>
      <c r="F54" s="58">
        <f>(D54-'Returns &amp; Risk'!$B$52)/E54</f>
        <v/>
      </c>
    </row>
    <row r="55">
      <c r="A55" s="59" t="n">
        <v>0.4</v>
      </c>
      <c r="B55" s="59" t="n">
        <v>0.5</v>
      </c>
      <c r="C55" s="59" t="n">
        <v>0.1</v>
      </c>
      <c r="D55" s="60">
        <f>A55*'Returns &amp; Risk'!B55+B55*'Returns &amp; Risk'!C55+C55*'Returns &amp; Risk'!D55</f>
        <v/>
      </c>
      <c r="E55" s="60">
        <f>SQRT(A55^2*$B$5*12 + B55^2*$C$6*12 + C55^2*$D$7*12 + 2*A55*B55*$C$5*12 + 2*A55*C55*$D$5*12 + 2*B55*C55*$D$6*12)</f>
        <v/>
      </c>
      <c r="F55" s="61">
        <f>(D55-'Returns &amp; Risk'!$B$52)/E55</f>
        <v/>
      </c>
    </row>
    <row r="56">
      <c r="A56" s="56" t="n">
        <v>0.4</v>
      </c>
      <c r="B56" s="56" t="n">
        <v>0.6</v>
      </c>
      <c r="C56" s="56" t="n">
        <v>0</v>
      </c>
      <c r="D56" s="57">
        <f>A56*'Returns &amp; Risk'!B55+B56*'Returns &amp; Risk'!C55+C56*'Returns &amp; Risk'!D55</f>
        <v/>
      </c>
      <c r="E56" s="57">
        <f>SQRT(A56^2*$B$5*12 + B56^2*$C$6*12 + C56^2*$D$7*12 + 2*A56*B56*$C$5*12 + 2*A56*C56*$D$5*12 + 2*B56*C56*$D$6*12)</f>
        <v/>
      </c>
      <c r="F56" s="58">
        <f>(D56-'Returns &amp; Risk'!$B$52)/E56</f>
        <v/>
      </c>
    </row>
    <row r="57">
      <c r="A57" s="59" t="n">
        <v>0.5</v>
      </c>
      <c r="B57" s="59" t="n">
        <v>0</v>
      </c>
      <c r="C57" s="59" t="n">
        <v>0.5</v>
      </c>
      <c r="D57" s="60">
        <f>A57*'Returns &amp; Risk'!B55+B57*'Returns &amp; Risk'!C55+C57*'Returns &amp; Risk'!D55</f>
        <v/>
      </c>
      <c r="E57" s="60">
        <f>SQRT(A57^2*$B$5*12 + B57^2*$C$6*12 + C57^2*$D$7*12 + 2*A57*B57*$C$5*12 + 2*A57*C57*$D$5*12 + 2*B57*C57*$D$6*12)</f>
        <v/>
      </c>
      <c r="F57" s="61">
        <f>(D57-'Returns &amp; Risk'!$B$52)/E57</f>
        <v/>
      </c>
    </row>
    <row r="58">
      <c r="A58" s="56" t="n">
        <v>0.5</v>
      </c>
      <c r="B58" s="56" t="n">
        <v>0.1</v>
      </c>
      <c r="C58" s="56" t="n">
        <v>0.4</v>
      </c>
      <c r="D58" s="57">
        <f>A58*'Returns &amp; Risk'!B55+B58*'Returns &amp; Risk'!C55+C58*'Returns &amp; Risk'!D55</f>
        <v/>
      </c>
      <c r="E58" s="57">
        <f>SQRT(A58^2*$B$5*12 + B58^2*$C$6*12 + C58^2*$D$7*12 + 2*A58*B58*$C$5*12 + 2*A58*C58*$D$5*12 + 2*B58*C58*$D$6*12)</f>
        <v/>
      </c>
      <c r="F58" s="58">
        <f>(D58-'Returns &amp; Risk'!$B$52)/E58</f>
        <v/>
      </c>
    </row>
    <row r="59">
      <c r="A59" s="59" t="n">
        <v>0.5</v>
      </c>
      <c r="B59" s="59" t="n">
        <v>0.2</v>
      </c>
      <c r="C59" s="59" t="n">
        <v>0.3</v>
      </c>
      <c r="D59" s="60">
        <f>A59*'Returns &amp; Risk'!B55+B59*'Returns &amp; Risk'!C55+C59*'Returns &amp; Risk'!D55</f>
        <v/>
      </c>
      <c r="E59" s="60">
        <f>SQRT(A59^2*$B$5*12 + B59^2*$C$6*12 + C59^2*$D$7*12 + 2*A59*B59*$C$5*12 + 2*A59*C59*$D$5*12 + 2*B59*C59*$D$6*12)</f>
        <v/>
      </c>
      <c r="F59" s="61">
        <f>(D59-'Returns &amp; Risk'!$B$52)/E59</f>
        <v/>
      </c>
    </row>
    <row r="60">
      <c r="A60" s="56" t="n">
        <v>0.5</v>
      </c>
      <c r="B60" s="56" t="n">
        <v>0.3</v>
      </c>
      <c r="C60" s="56" t="n">
        <v>0.2</v>
      </c>
      <c r="D60" s="57">
        <f>A60*'Returns &amp; Risk'!B55+B60*'Returns &amp; Risk'!C55+C60*'Returns &amp; Risk'!D55</f>
        <v/>
      </c>
      <c r="E60" s="57">
        <f>SQRT(A60^2*$B$5*12 + B60^2*$C$6*12 + C60^2*$D$7*12 + 2*A60*B60*$C$5*12 + 2*A60*C60*$D$5*12 + 2*B60*C60*$D$6*12)</f>
        <v/>
      </c>
      <c r="F60" s="58">
        <f>(D60-'Returns &amp; Risk'!$B$52)/E60</f>
        <v/>
      </c>
    </row>
    <row r="61">
      <c r="A61" s="59" t="n">
        <v>0.5</v>
      </c>
      <c r="B61" s="59" t="n">
        <v>0.4</v>
      </c>
      <c r="C61" s="59" t="n">
        <v>0.1</v>
      </c>
      <c r="D61" s="60">
        <f>A61*'Returns &amp; Risk'!B55+B61*'Returns &amp; Risk'!C55+C61*'Returns &amp; Risk'!D55</f>
        <v/>
      </c>
      <c r="E61" s="60">
        <f>SQRT(A61^2*$B$5*12 + B61^2*$C$6*12 + C61^2*$D$7*12 + 2*A61*B61*$C$5*12 + 2*A61*C61*$D$5*12 + 2*B61*C61*$D$6*12)</f>
        <v/>
      </c>
      <c r="F61" s="61">
        <f>(D61-'Returns &amp; Risk'!$B$52)/E61</f>
        <v/>
      </c>
    </row>
    <row r="62">
      <c r="A62" s="56" t="n">
        <v>0.5</v>
      </c>
      <c r="B62" s="56" t="n">
        <v>0.5</v>
      </c>
      <c r="C62" s="56" t="n">
        <v>0</v>
      </c>
      <c r="D62" s="57">
        <f>A62*'Returns &amp; Risk'!B55+B62*'Returns &amp; Risk'!C55+C62*'Returns &amp; Risk'!D55</f>
        <v/>
      </c>
      <c r="E62" s="57">
        <f>SQRT(A62^2*$B$5*12 + B62^2*$C$6*12 + C62^2*$D$7*12 + 2*A62*B62*$C$5*12 + 2*A62*C62*$D$5*12 + 2*B62*C62*$D$6*12)</f>
        <v/>
      </c>
      <c r="F62" s="58">
        <f>(D62-'Returns &amp; Risk'!$B$52)/E62</f>
        <v/>
      </c>
    </row>
    <row r="63">
      <c r="A63" s="59" t="n">
        <v>0.6</v>
      </c>
      <c r="B63" s="59" t="n">
        <v>0</v>
      </c>
      <c r="C63" s="59" t="n">
        <v>0.4</v>
      </c>
      <c r="D63" s="60">
        <f>A63*'Returns &amp; Risk'!B55+B63*'Returns &amp; Risk'!C55+C63*'Returns &amp; Risk'!D55</f>
        <v/>
      </c>
      <c r="E63" s="60">
        <f>SQRT(A63^2*$B$5*12 + B63^2*$C$6*12 + C63^2*$D$7*12 + 2*A63*B63*$C$5*12 + 2*A63*C63*$D$5*12 + 2*B63*C63*$D$6*12)</f>
        <v/>
      </c>
      <c r="F63" s="61">
        <f>(D63-'Returns &amp; Risk'!$B$52)/E63</f>
        <v/>
      </c>
    </row>
    <row r="64">
      <c r="A64" s="56" t="n">
        <v>0.6</v>
      </c>
      <c r="B64" s="56" t="n">
        <v>0.1</v>
      </c>
      <c r="C64" s="56" t="n">
        <v>0.3</v>
      </c>
      <c r="D64" s="57">
        <f>A64*'Returns &amp; Risk'!B55+B64*'Returns &amp; Risk'!C55+C64*'Returns &amp; Risk'!D55</f>
        <v/>
      </c>
      <c r="E64" s="57">
        <f>SQRT(A64^2*$B$5*12 + B64^2*$C$6*12 + C64^2*$D$7*12 + 2*A64*B64*$C$5*12 + 2*A64*C64*$D$5*12 + 2*B64*C64*$D$6*12)</f>
        <v/>
      </c>
      <c r="F64" s="58">
        <f>(D64-'Returns &amp; Risk'!$B$52)/E64</f>
        <v/>
      </c>
    </row>
    <row r="65">
      <c r="A65" s="59" t="n">
        <v>0.6</v>
      </c>
      <c r="B65" s="59" t="n">
        <v>0.2</v>
      </c>
      <c r="C65" s="59" t="n">
        <v>0.2</v>
      </c>
      <c r="D65" s="60">
        <f>A65*'Returns &amp; Risk'!B55+B65*'Returns &amp; Risk'!C55+C65*'Returns &amp; Risk'!D55</f>
        <v/>
      </c>
      <c r="E65" s="60">
        <f>SQRT(A65^2*$B$5*12 + B65^2*$C$6*12 + C65^2*$D$7*12 + 2*A65*B65*$C$5*12 + 2*A65*C65*$D$5*12 + 2*B65*C65*$D$6*12)</f>
        <v/>
      </c>
      <c r="F65" s="61">
        <f>(D65-'Returns &amp; Risk'!$B$52)/E65</f>
        <v/>
      </c>
    </row>
    <row r="66">
      <c r="A66" s="56" t="n">
        <v>0.6</v>
      </c>
      <c r="B66" s="56" t="n">
        <v>0.3</v>
      </c>
      <c r="C66" s="56" t="n">
        <v>0.1</v>
      </c>
      <c r="D66" s="57">
        <f>A66*'Returns &amp; Risk'!B55+B66*'Returns &amp; Risk'!C55+C66*'Returns &amp; Risk'!D55</f>
        <v/>
      </c>
      <c r="E66" s="57">
        <f>SQRT(A66^2*$B$5*12 + B66^2*$C$6*12 + C66^2*$D$7*12 + 2*A66*B66*$C$5*12 + 2*A66*C66*$D$5*12 + 2*B66*C66*$D$6*12)</f>
        <v/>
      </c>
      <c r="F66" s="58">
        <f>(D66-'Returns &amp; Risk'!$B$52)/E66</f>
        <v/>
      </c>
    </row>
    <row r="67">
      <c r="A67" s="59" t="n">
        <v>0.6</v>
      </c>
      <c r="B67" s="59" t="n">
        <v>0.4</v>
      </c>
      <c r="C67" s="59" t="n">
        <v>0</v>
      </c>
      <c r="D67" s="60">
        <f>A67*'Returns &amp; Risk'!B55+B67*'Returns &amp; Risk'!C55+C67*'Returns &amp; Risk'!D55</f>
        <v/>
      </c>
      <c r="E67" s="60">
        <f>SQRT(A67^2*$B$5*12 + B67^2*$C$6*12 + C67^2*$D$7*12 + 2*A67*B67*$C$5*12 + 2*A67*C67*$D$5*12 + 2*B67*C67*$D$6*12)</f>
        <v/>
      </c>
      <c r="F67" s="61">
        <f>(D67-'Returns &amp; Risk'!$B$52)/E67</f>
        <v/>
      </c>
    </row>
    <row r="68">
      <c r="A68" s="56" t="n">
        <v>0.7</v>
      </c>
      <c r="B68" s="56" t="n">
        <v>0</v>
      </c>
      <c r="C68" s="56" t="n">
        <v>0.3</v>
      </c>
      <c r="D68" s="57">
        <f>A68*'Returns &amp; Risk'!B55+B68*'Returns &amp; Risk'!C55+C68*'Returns &amp; Risk'!D55</f>
        <v/>
      </c>
      <c r="E68" s="57">
        <f>SQRT(A68^2*$B$5*12 + B68^2*$C$6*12 + C68^2*$D$7*12 + 2*A68*B68*$C$5*12 + 2*A68*C68*$D$5*12 + 2*B68*C68*$D$6*12)</f>
        <v/>
      </c>
      <c r="F68" s="58">
        <f>(D68-'Returns &amp; Risk'!$B$52)/E68</f>
        <v/>
      </c>
    </row>
    <row r="69">
      <c r="A69" s="59" t="n">
        <v>0.7</v>
      </c>
      <c r="B69" s="59" t="n">
        <v>0.1</v>
      </c>
      <c r="C69" s="59" t="n">
        <v>0.2</v>
      </c>
      <c r="D69" s="60">
        <f>A69*'Returns &amp; Risk'!B55+B69*'Returns &amp; Risk'!C55+C69*'Returns &amp; Risk'!D55</f>
        <v/>
      </c>
      <c r="E69" s="60">
        <f>SQRT(A69^2*$B$5*12 + B69^2*$C$6*12 + C69^2*$D$7*12 + 2*A69*B69*$C$5*12 + 2*A69*C69*$D$5*12 + 2*B69*C69*$D$6*12)</f>
        <v/>
      </c>
      <c r="F69" s="61">
        <f>(D69-'Returns &amp; Risk'!$B$52)/E69</f>
        <v/>
      </c>
    </row>
    <row r="70">
      <c r="A70" s="56" t="n">
        <v>0.7</v>
      </c>
      <c r="B70" s="56" t="n">
        <v>0.2</v>
      </c>
      <c r="C70" s="56" t="n">
        <v>0.1</v>
      </c>
      <c r="D70" s="57">
        <f>A70*'Returns &amp; Risk'!B55+B70*'Returns &amp; Risk'!C55+C70*'Returns &amp; Risk'!D55</f>
        <v/>
      </c>
      <c r="E70" s="57">
        <f>SQRT(A70^2*$B$5*12 + B70^2*$C$6*12 + C70^2*$D$7*12 + 2*A70*B70*$C$5*12 + 2*A70*C70*$D$5*12 + 2*B70*C70*$D$6*12)</f>
        <v/>
      </c>
      <c r="F70" s="58">
        <f>(D70-'Returns &amp; Risk'!$B$52)/E70</f>
        <v/>
      </c>
    </row>
    <row r="71">
      <c r="A71" s="59" t="n">
        <v>0.7</v>
      </c>
      <c r="B71" s="59" t="n">
        <v>0.3</v>
      </c>
      <c r="C71" s="59" t="n">
        <v>0</v>
      </c>
      <c r="D71" s="60">
        <f>A71*'Returns &amp; Risk'!B55+B71*'Returns &amp; Risk'!C55+C71*'Returns &amp; Risk'!D55</f>
        <v/>
      </c>
      <c r="E71" s="60">
        <f>SQRT(A71^2*$B$5*12 + B71^2*$C$6*12 + C71^2*$D$7*12 + 2*A71*B71*$C$5*12 + 2*A71*C71*$D$5*12 + 2*B71*C71*$D$6*12)</f>
        <v/>
      </c>
      <c r="F71" s="61">
        <f>(D71-'Returns &amp; Risk'!$B$52)/E71</f>
        <v/>
      </c>
    </row>
    <row r="72">
      <c r="A72" s="56" t="n">
        <v>0.8</v>
      </c>
      <c r="B72" s="56" t="n">
        <v>0</v>
      </c>
      <c r="C72" s="56" t="n">
        <v>0.2</v>
      </c>
      <c r="D72" s="57">
        <f>A72*'Returns &amp; Risk'!B55+B72*'Returns &amp; Risk'!C55+C72*'Returns &amp; Risk'!D55</f>
        <v/>
      </c>
      <c r="E72" s="57">
        <f>SQRT(A72^2*$B$5*12 + B72^2*$C$6*12 + C72^2*$D$7*12 + 2*A72*B72*$C$5*12 + 2*A72*C72*$D$5*12 + 2*B72*C72*$D$6*12)</f>
        <v/>
      </c>
      <c r="F72" s="58">
        <f>(D72-'Returns &amp; Risk'!$B$52)/E72</f>
        <v/>
      </c>
    </row>
    <row r="73">
      <c r="A73" s="59" t="n">
        <v>0.8</v>
      </c>
      <c r="B73" s="59" t="n">
        <v>0.1</v>
      </c>
      <c r="C73" s="59" t="n">
        <v>0.1</v>
      </c>
      <c r="D73" s="60">
        <f>A73*'Returns &amp; Risk'!B55+B73*'Returns &amp; Risk'!C55+C73*'Returns &amp; Risk'!D55</f>
        <v/>
      </c>
      <c r="E73" s="60">
        <f>SQRT(A73^2*$B$5*12 + B73^2*$C$6*12 + C73^2*$D$7*12 + 2*A73*B73*$C$5*12 + 2*A73*C73*$D$5*12 + 2*B73*C73*$D$6*12)</f>
        <v/>
      </c>
      <c r="F73" s="61">
        <f>(D73-'Returns &amp; Risk'!$B$52)/E73</f>
        <v/>
      </c>
    </row>
    <row r="74">
      <c r="A74" s="56" t="n">
        <v>0.8</v>
      </c>
      <c r="B74" s="56" t="n">
        <v>0.2</v>
      </c>
      <c r="C74" s="56" t="n">
        <v>-0</v>
      </c>
      <c r="D74" s="57">
        <f>A74*'Returns &amp; Risk'!B55+B74*'Returns &amp; Risk'!C55+C74*'Returns &amp; Risk'!D55</f>
        <v/>
      </c>
      <c r="E74" s="57">
        <f>SQRT(A74^2*$B$5*12 + B74^2*$C$6*12 + C74^2*$D$7*12 + 2*A74*B74*$C$5*12 + 2*A74*C74*$D$5*12 + 2*B74*C74*$D$6*12)</f>
        <v/>
      </c>
      <c r="F74" s="58">
        <f>(D74-'Returns &amp; Risk'!$B$52)/E74</f>
        <v/>
      </c>
    </row>
    <row r="75">
      <c r="A75" s="59" t="n">
        <v>0.9</v>
      </c>
      <c r="B75" s="59" t="n">
        <v>0</v>
      </c>
      <c r="C75" s="59" t="n">
        <v>0.1</v>
      </c>
      <c r="D75" s="60">
        <f>A75*'Returns &amp; Risk'!B55+B75*'Returns &amp; Risk'!C55+C75*'Returns &amp; Risk'!D55</f>
        <v/>
      </c>
      <c r="E75" s="60">
        <f>SQRT(A75^2*$B$5*12 + B75^2*$C$6*12 + C75^2*$D$7*12 + 2*A75*B75*$C$5*12 + 2*A75*C75*$D$5*12 + 2*B75*C75*$D$6*12)</f>
        <v/>
      </c>
      <c r="F75" s="61">
        <f>(D75-'Returns &amp; Risk'!$B$52)/E75</f>
        <v/>
      </c>
    </row>
    <row r="76">
      <c r="A76" s="56" t="n">
        <v>0.9</v>
      </c>
      <c r="B76" s="56" t="n">
        <v>0.1</v>
      </c>
      <c r="C76" s="56" t="n">
        <v>-0</v>
      </c>
      <c r="D76" s="57">
        <f>A76*'Returns &amp; Risk'!B55+B76*'Returns &amp; Risk'!C55+C76*'Returns &amp; Risk'!D55</f>
        <v/>
      </c>
      <c r="E76" s="57">
        <f>SQRT(A76^2*$B$5*12 + B76^2*$C$6*12 + C76^2*$D$7*12 + 2*A76*B76*$C$5*12 + 2*A76*C76*$D$5*12 + 2*B76*C76*$D$6*12)</f>
        <v/>
      </c>
      <c r="F76" s="58">
        <f>(D76-'Returns &amp; Risk'!$B$52)/E76</f>
        <v/>
      </c>
    </row>
    <row r="77">
      <c r="A77" s="59" t="n">
        <v>1</v>
      </c>
      <c r="B77" s="59" t="n">
        <v>0</v>
      </c>
      <c r="C77" s="59" t="n">
        <v>0</v>
      </c>
      <c r="D77" s="60">
        <f>A77*'Returns &amp; Risk'!B55+B77*'Returns &amp; Risk'!C55+C77*'Returns &amp; Risk'!D55</f>
        <v/>
      </c>
      <c r="E77" s="60">
        <f>SQRT(A77^2*$B$5*12 + B77^2*$C$6*12 + C77^2*$D$7*12 + 2*A77*B77*$C$5*12 + 2*A77*C77*$D$5*12 + 2*B77*C77*$D$6*12)</f>
        <v/>
      </c>
      <c r="F77" s="61">
        <f>(D77-'Returns &amp; Risk'!$B$52)/E77</f>
        <v/>
      </c>
    </row>
    <row r="79">
      <c r="A79" s="62" t="inlineStr">
        <is>
          <t>NAMED REFERENCE PORTFOLIOS</t>
        </is>
      </c>
    </row>
    <row r="80">
      <c r="A80" s="63" t="inlineStr">
        <is>
          <t>w(CEG)</t>
        </is>
      </c>
      <c r="B80" s="63" t="inlineStr">
        <is>
          <t>w(VST)</t>
        </is>
      </c>
      <c r="C80" s="63" t="inlineStr">
        <is>
          <t>w(CCJ)</t>
        </is>
      </c>
      <c r="D80" s="63" t="inlineStr">
        <is>
          <t>Port. Return</t>
        </is>
      </c>
      <c r="E80" s="63" t="inlineStr">
        <is>
          <t>Port. Vol</t>
        </is>
      </c>
      <c r="F80" s="63" t="inlineStr">
        <is>
          <t>Sharpe</t>
        </is>
      </c>
    </row>
    <row r="81">
      <c r="A81" s="59" t="n">
        <v>0.3333</v>
      </c>
      <c r="B81" s="59" t="n">
        <v>0.3333</v>
      </c>
      <c r="C81" s="59" t="n">
        <v>0.3333</v>
      </c>
      <c r="D81" s="60">
        <f>A81*'Returns &amp; Risk'!B55+B81*'Returns &amp; Risk'!C55+C81*'Returns &amp; Risk'!D55</f>
        <v/>
      </c>
      <c r="E81" s="60">
        <f>SQRT(A81^2*$B$5*12 + B81^2*$C$6*12 + C81^2*$D$7*12 + 2*A81*B81*$C$5*12 + 2*A81*C81*$D$5*12 + 2*B81*C81*$D$6*12)</f>
        <v/>
      </c>
      <c r="F81" s="61">
        <f>(D81-'Returns &amp; Risk'!$B$52)/E81</f>
        <v/>
      </c>
      <c r="H81" s="64" t="inlineStr">
        <is>
          <t>Equal-Weight (33/33/33)</t>
        </is>
      </c>
    </row>
    <row r="82">
      <c r="A82" s="59" t="n">
        <v>0.4</v>
      </c>
      <c r="B82" s="59" t="n">
        <v>0.35</v>
      </c>
      <c r="C82" s="59" t="n">
        <v>0.25</v>
      </c>
      <c r="D82" s="60">
        <f>A82*'Returns &amp; Risk'!B55+B82*'Returns &amp; Risk'!C55+C82*'Returns &amp; Risk'!D55</f>
        <v/>
      </c>
      <c r="E82" s="60">
        <f>SQRT(A82^2*$B$5*12 + B82^2*$C$6*12 + C82^2*$D$7*12 + 2*A82*B82*$C$5*12 + 2*A82*C82*$D$5*12 + 2*B82*C82*$D$6*12)</f>
        <v/>
      </c>
      <c r="F82" s="61">
        <f>(D82-'Returns &amp; Risk'!$B$52)/E82</f>
        <v/>
      </c>
      <c r="H82" s="64" t="inlineStr">
        <is>
          <t>Research Reco (40/35/25)</t>
        </is>
      </c>
    </row>
    <row r="84">
      <c r="A84" s="65" t="inlineStr">
        <is>
          <t>IDENTIFIED OPTIMAL PORTFOLIOS (from the grid above)</t>
        </is>
      </c>
    </row>
    <row r="85">
      <c r="A85" s="42" t="inlineStr">
        <is>
          <t>Portfolio</t>
        </is>
      </c>
      <c r="B85" s="42" t="inlineStr">
        <is>
          <t>w(CEG)</t>
        </is>
      </c>
      <c r="C85" s="42" t="inlineStr">
        <is>
          <t>w(VST)</t>
        </is>
      </c>
      <c r="D85" s="42" t="inlineStr">
        <is>
          <t>w(CCJ)</t>
        </is>
      </c>
      <c r="E85" s="42" t="inlineStr">
        <is>
          <t>Port. Return</t>
        </is>
      </c>
      <c r="F85" s="42" t="inlineStr">
        <is>
          <t>Port. Vol</t>
        </is>
      </c>
      <c r="G85" s="42" t="inlineStr">
        <is>
          <t>Sharpe</t>
        </is>
      </c>
    </row>
    <row r="86">
      <c r="A86" s="66" t="inlineStr">
        <is>
          <t>Max-Sharpe</t>
        </is>
      </c>
      <c r="B86" s="67">
        <f>INDEX(A12:A77,MATCH(MAX(F12:F77),F12:F77,0))</f>
        <v/>
      </c>
      <c r="C86" s="67">
        <f>INDEX(B12:B77,MATCH(MAX(F12:F77),F12:F77,0))</f>
        <v/>
      </c>
      <c r="D86" s="67">
        <f>INDEX(C12:C77,MATCH(MAX(F12:F77),F12:F77,0))</f>
        <v/>
      </c>
      <c r="E86" s="68">
        <f>INDEX(D12:D77,MATCH(MAX(F12:F77),F12:F77,0))</f>
        <v/>
      </c>
      <c r="F86" s="68">
        <f>INDEX(E12:E77,MATCH(MAX(F12:F77),F12:F77,0))</f>
        <v/>
      </c>
      <c r="G86" s="69">
        <f>INDEX(F12:F77,MATCH(MAX(F12:F77),F12:F77,0))</f>
        <v/>
      </c>
    </row>
    <row r="87">
      <c r="A87" s="70" t="inlineStr">
        <is>
          <t>Min-Volatility</t>
        </is>
      </c>
      <c r="B87" s="71">
        <f>INDEX(A12:A77,MATCH(MIN(E12:E77),E12:E77,0))</f>
        <v/>
      </c>
      <c r="C87" s="71">
        <f>INDEX(B12:B77,MATCH(MIN(E12:E77),E12:E77,0))</f>
        <v/>
      </c>
      <c r="D87" s="71">
        <f>INDEX(C12:C77,MATCH(MIN(E12:E77),E12:E77,0))</f>
        <v/>
      </c>
      <c r="E87" s="72">
        <f>INDEX(D12:D77,MATCH(MIN(E12:E77),E12:E77,0))</f>
        <v/>
      </c>
      <c r="F87" s="72">
        <f>INDEX(E12:E77,MATCH(MIN(E12:E77),E12:E77,0))</f>
        <v/>
      </c>
      <c r="G87" s="73">
        <f>INDEX(F12:F77,MATCH(MIN(E12:E77),E12:E77,0))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5">
    <mergeCell ref="A10:F10"/>
    <mergeCell ref="A84:F84"/>
    <mergeCell ref="A1:F1"/>
    <mergeCell ref="A3:D3"/>
    <mergeCell ref="A79:F7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3" t="inlineStr">
        <is>
          <t>MONTE CARLO SIMULATION — 12-Month Portfolio Outcomes (10,000 paths)</t>
        </is>
      </c>
    </row>
    <row r="2" ht="28" customHeight="1">
      <c r="A2" s="74" t="inlineStr">
        <is>
          <t>Pre-computed by src/monte_carlo.py (seed=42, multivariate-normal monthly returns fit to the 20-month sample, 40/35/25 CEG/VST/CCJ weights). Re-run that script to refresh these values — they are NOT live Excel formulas. See Cover tab for method and limitations.</t>
        </is>
      </c>
    </row>
    <row r="4">
      <c r="A4" s="14" t="inlineStr">
        <is>
          <t>SIMULATION SUMMARY (terminal, 12-month)</t>
        </is>
      </c>
      <c r="B4" s="11" t="n"/>
    </row>
    <row r="5">
      <c r="A5" s="15" t="inlineStr">
        <is>
          <t>Simulations run</t>
        </is>
      </c>
      <c r="B5" s="75" t="inlineStr">
        <is>
          <t>10000</t>
        </is>
      </c>
    </row>
    <row r="6">
      <c r="A6" s="10" t="inlineStr">
        <is>
          <t>Mean terminal return</t>
        </is>
      </c>
      <c r="B6" s="76" t="n">
        <v>0.1408043162586112</v>
      </c>
    </row>
    <row r="7">
      <c r="A7" s="15" t="inlineStr">
        <is>
          <t>Median terminal return</t>
        </is>
      </c>
      <c r="B7" s="77" t="n">
        <v>0.05921796660845458</v>
      </c>
    </row>
    <row r="8">
      <c r="A8" s="10" t="inlineStr">
        <is>
          <t>Std dev, terminal return</t>
        </is>
      </c>
      <c r="B8" s="76" t="n">
        <v>0.4748536582536152</v>
      </c>
    </row>
    <row r="9">
      <c r="A9" s="15" t="inlineStr">
        <is>
          <t>Simulated VaR 95% (12-mo)</t>
        </is>
      </c>
      <c r="B9" s="77" t="n">
        <v>-0.4609330512570471</v>
      </c>
    </row>
    <row r="10">
      <c r="A10" s="10" t="inlineStr">
        <is>
          <t>Simulated VaR 99% (12-mo)</t>
        </is>
      </c>
      <c r="B10" s="76" t="n">
        <v>-0.5952190449579706</v>
      </c>
    </row>
    <row r="11">
      <c r="A11" s="15" t="inlineStr">
        <is>
          <t>Simulated CVaR 95% (12-mo)</t>
        </is>
      </c>
      <c r="B11" s="77" t="n">
        <v>-0.5434803054696774</v>
      </c>
    </row>
    <row r="12">
      <c r="A12" s="10" t="inlineStr">
        <is>
          <t>Simulated CVaR 99% (12-mo)</t>
        </is>
      </c>
      <c r="B12" s="76" t="n">
        <v>-0.6410589934731464</v>
      </c>
    </row>
    <row r="13">
      <c r="A13" s="15" t="inlineStr">
        <is>
          <t>P(loss) over 12 months</t>
        </is>
      </c>
      <c r="B13" s="77" t="n">
        <v>0.4433</v>
      </c>
    </row>
    <row r="14">
      <c r="A14" s="10" t="inlineStr">
        <is>
          <t>P(loss &gt; 10%) over 12 months</t>
        </is>
      </c>
      <c r="B14" s="76" t="n">
        <v>0.3483</v>
      </c>
    </row>
    <row r="15">
      <c r="A15" s="15" t="inlineStr">
        <is>
          <t>P(gain &gt; 25%) over 12 months</t>
        </is>
      </c>
      <c r="B15" s="77" t="n">
        <v>0.3416</v>
      </c>
    </row>
    <row r="17">
      <c r="A17" s="7" t="inlineStr">
        <is>
          <t>PERCENTILE FAN — PORTFOLIO INDEX PATH (start = 1.00)</t>
        </is>
      </c>
    </row>
    <row r="18">
      <c r="A18" s="78" t="inlineStr">
        <is>
          <t>MONTH</t>
        </is>
      </c>
      <c r="B18" s="78" t="inlineStr">
        <is>
          <t>P5</t>
        </is>
      </c>
      <c r="C18" s="78" t="inlineStr">
        <is>
          <t>P10</t>
        </is>
      </c>
      <c r="D18" s="78" t="inlineStr">
        <is>
          <t>P25</t>
        </is>
      </c>
      <c r="E18" s="78" t="inlineStr">
        <is>
          <t>P50</t>
        </is>
      </c>
      <c r="F18" s="78" t="inlineStr">
        <is>
          <t>P75</t>
        </is>
      </c>
      <c r="G18" s="78" t="inlineStr">
        <is>
          <t>P90</t>
        </is>
      </c>
      <c r="H18" s="78" t="inlineStr">
        <is>
          <t>P95</t>
        </is>
      </c>
    </row>
    <row r="19">
      <c r="A19" s="24" t="n">
        <v>1</v>
      </c>
      <c r="B19" s="79" t="n">
        <v>0.8146721235810895</v>
      </c>
      <c r="C19" s="79" t="n">
        <v>0.8589146599790898</v>
      </c>
      <c r="D19" s="79" t="n">
        <v>0.9307602076207995</v>
      </c>
      <c r="E19" s="79" t="n">
        <v>1.008658970635699</v>
      </c>
      <c r="F19" s="79" t="n">
        <v>1.086423392020638</v>
      </c>
      <c r="G19" s="79" t="n">
        <v>1.157364149940126</v>
      </c>
      <c r="H19" s="79" t="n">
        <v>1.202850975893941</v>
      </c>
    </row>
    <row r="20">
      <c r="A20" s="29" t="n">
        <v>2</v>
      </c>
      <c r="B20" s="80" t="n">
        <v>0.7576895936941429</v>
      </c>
      <c r="C20" s="80" t="n">
        <v>0.8105442873693299</v>
      </c>
      <c r="D20" s="80" t="n">
        <v>0.9050123617405312</v>
      </c>
      <c r="E20" s="80" t="n">
        <v>1.014245469415887</v>
      </c>
      <c r="F20" s="80" t="n">
        <v>1.127187851523037</v>
      </c>
      <c r="G20" s="80" t="n">
        <v>1.233947805193349</v>
      </c>
      <c r="H20" s="80" t="n">
        <v>1.304272410961926</v>
      </c>
    </row>
    <row r="21">
      <c r="A21" s="24" t="n">
        <v>3</v>
      </c>
      <c r="B21" s="79" t="n">
        <v>0.7190279977653856</v>
      </c>
      <c r="C21" s="79" t="n">
        <v>0.7768806939172046</v>
      </c>
      <c r="D21" s="79" t="n">
        <v>0.8876465949312364</v>
      </c>
      <c r="E21" s="79" t="n">
        <v>1.019638436372491</v>
      </c>
      <c r="F21" s="79" t="n">
        <v>1.159661598988067</v>
      </c>
      <c r="G21" s="79" t="n">
        <v>1.30002806654521</v>
      </c>
      <c r="H21" s="79" t="n">
        <v>1.391714530521563</v>
      </c>
    </row>
    <row r="22">
      <c r="A22" s="29" t="n">
        <v>4</v>
      </c>
      <c r="B22" s="80" t="n">
        <v>0.6860950738299046</v>
      </c>
      <c r="C22" s="80" t="n">
        <v>0.7493357251873953</v>
      </c>
      <c r="D22" s="80" t="n">
        <v>0.8701716195270659</v>
      </c>
      <c r="E22" s="80" t="n">
        <v>1.023017910783897</v>
      </c>
      <c r="F22" s="80" t="n">
        <v>1.186727035221222</v>
      </c>
      <c r="G22" s="80" t="n">
        <v>1.356650037091278</v>
      </c>
      <c r="H22" s="80" t="n">
        <v>1.472579678356166</v>
      </c>
    </row>
    <row r="23">
      <c r="A23" s="24" t="n">
        <v>5</v>
      </c>
      <c r="B23" s="79" t="n">
        <v>0.6596486667916543</v>
      </c>
      <c r="C23" s="79" t="n">
        <v>0.7307690286414251</v>
      </c>
      <c r="D23" s="79" t="n">
        <v>0.8588482013163619</v>
      </c>
      <c r="E23" s="79" t="n">
        <v>1.024066002803138</v>
      </c>
      <c r="F23" s="79" t="n">
        <v>1.212668433779099</v>
      </c>
      <c r="G23" s="79" t="n">
        <v>1.402177313910397</v>
      </c>
      <c r="H23" s="79" t="n">
        <v>1.539397929364553</v>
      </c>
    </row>
    <row r="24">
      <c r="A24" s="29" t="n">
        <v>6</v>
      </c>
      <c r="B24" s="80" t="n">
        <v>0.6402405324881256</v>
      </c>
      <c r="C24" s="80" t="n">
        <v>0.7134151832671455</v>
      </c>
      <c r="D24" s="80" t="n">
        <v>0.8493186420158957</v>
      </c>
      <c r="E24" s="80" t="n">
        <v>1.026957818861477</v>
      </c>
      <c r="F24" s="80" t="n">
        <v>1.238359425766002</v>
      </c>
      <c r="G24" s="80" t="n">
        <v>1.460955222007905</v>
      </c>
      <c r="H24" s="80" t="n">
        <v>1.603883891868202</v>
      </c>
    </row>
    <row r="25">
      <c r="A25" s="24" t="n">
        <v>7</v>
      </c>
      <c r="B25" s="79" t="n">
        <v>0.6175736780897995</v>
      </c>
      <c r="C25" s="79" t="n">
        <v>0.6951693755073369</v>
      </c>
      <c r="D25" s="79" t="n">
        <v>0.837416432780016</v>
      </c>
      <c r="E25" s="79" t="n">
        <v>1.030981337523083</v>
      </c>
      <c r="F25" s="79" t="n">
        <v>1.259402366868764</v>
      </c>
      <c r="G25" s="79" t="n">
        <v>1.508067507838409</v>
      </c>
      <c r="H25" s="79" t="n">
        <v>1.679635068806455</v>
      </c>
    </row>
    <row r="26">
      <c r="A26" s="29" t="n">
        <v>8</v>
      </c>
      <c r="B26" s="80" t="n">
        <v>0.5977951335575539</v>
      </c>
      <c r="C26" s="80" t="n">
        <v>0.6760577775632308</v>
      </c>
      <c r="D26" s="80" t="n">
        <v>0.8267421206644713</v>
      </c>
      <c r="E26" s="80" t="n">
        <v>1.032703280709551</v>
      </c>
      <c r="F26" s="80" t="n">
        <v>1.285606452472573</v>
      </c>
      <c r="G26" s="80" t="n">
        <v>1.560793640573228</v>
      </c>
      <c r="H26" s="80" t="n">
        <v>1.756277480426354</v>
      </c>
    </row>
    <row r="27">
      <c r="A27" s="24" t="n">
        <v>9</v>
      </c>
      <c r="B27" s="79" t="n">
        <v>0.5770638146634175</v>
      </c>
      <c r="C27" s="79" t="n">
        <v>0.6619359000939073</v>
      </c>
      <c r="D27" s="79" t="n">
        <v>0.8214086883398004</v>
      </c>
      <c r="E27" s="79" t="n">
        <v>1.039433176247512</v>
      </c>
      <c r="F27" s="79" t="n">
        <v>1.315654348463422</v>
      </c>
      <c r="G27" s="79" t="n">
        <v>1.606908313053652</v>
      </c>
      <c r="H27" s="79" t="n">
        <v>1.813576097575094</v>
      </c>
    </row>
    <row r="28">
      <c r="A28" s="29" t="n">
        <v>10</v>
      </c>
      <c r="B28" s="80" t="n">
        <v>0.5599376875264208</v>
      </c>
      <c r="C28" s="80" t="n">
        <v>0.6493247026951917</v>
      </c>
      <c r="D28" s="80" t="n">
        <v>0.8121546739709495</v>
      </c>
      <c r="E28" s="80" t="n">
        <v>1.043611445039588</v>
      </c>
      <c r="F28" s="80" t="n">
        <v>1.343782713210321</v>
      </c>
      <c r="G28" s="80" t="n">
        <v>1.660934824520873</v>
      </c>
      <c r="H28" s="80" t="n">
        <v>1.898995533845221</v>
      </c>
    </row>
    <row r="29">
      <c r="A29" s="24" t="n">
        <v>11</v>
      </c>
      <c r="B29" s="79" t="n">
        <v>0.5501436153733767</v>
      </c>
      <c r="C29" s="79" t="n">
        <v>0.6383215794153461</v>
      </c>
      <c r="D29" s="79" t="n">
        <v>0.8048751978337512</v>
      </c>
      <c r="E29" s="79" t="n">
        <v>1.051719884207297</v>
      </c>
      <c r="F29" s="79" t="n">
        <v>1.37378570675121</v>
      </c>
      <c r="G29" s="79" t="n">
        <v>1.720766143132259</v>
      </c>
      <c r="H29" s="79" t="n">
        <v>1.966248288284698</v>
      </c>
    </row>
    <row r="30">
      <c r="A30" s="29" t="n">
        <v>12</v>
      </c>
      <c r="B30" s="80" t="n">
        <v>0.5390669487429529</v>
      </c>
      <c r="C30" s="80" t="n">
        <v>0.6177005121136316</v>
      </c>
      <c r="D30" s="80" t="n">
        <v>0.7992725675537105</v>
      </c>
      <c r="E30" s="80" t="n">
        <v>1.059217966608454</v>
      </c>
      <c r="F30" s="80" t="n">
        <v>1.388430057532778</v>
      </c>
      <c r="G30" s="80" t="n">
        <v>1.758056260379506</v>
      </c>
      <c r="H30" s="80" t="n">
        <v>2.033269882471074</v>
      </c>
    </row>
    <row r="32">
      <c r="A32" s="7" t="inlineStr">
        <is>
          <t>TERMINAL RETURN DISTRIBUTION (histogram, 30 bins)</t>
        </is>
      </c>
    </row>
    <row r="33">
      <c r="A33" s="78" t="inlineStr">
        <is>
          <t>Bin (left edge)</t>
        </is>
      </c>
      <c r="B33" s="78" t="inlineStr">
        <is>
          <t>Frequency</t>
        </is>
      </c>
    </row>
    <row r="34">
      <c r="A34" s="81" t="n">
        <v>-0.8133400033564261</v>
      </c>
      <c r="B34" s="82" t="n">
        <v>0.0053</v>
      </c>
    </row>
    <row r="35">
      <c r="A35" s="81" t="n">
        <v>-0.6237639762489651</v>
      </c>
      <c r="B35" s="82" t="n">
        <v>0.0594</v>
      </c>
    </row>
    <row r="36">
      <c r="A36" s="81" t="n">
        <v>-0.4341879491415042</v>
      </c>
      <c r="B36" s="82" t="n">
        <v>0.1433</v>
      </c>
    </row>
    <row r="37">
      <c r="A37" s="81" t="n">
        <v>-0.2446119220340431</v>
      </c>
      <c r="B37" s="82" t="n">
        <v>0.1821</v>
      </c>
    </row>
    <row r="38">
      <c r="A38" s="81" t="n">
        <v>-0.05503589492658223</v>
      </c>
      <c r="B38" s="82" t="n">
        <v>0.178</v>
      </c>
    </row>
    <row r="39">
      <c r="A39" s="81" t="n">
        <v>0.1345401321808787</v>
      </c>
      <c r="B39" s="82" t="n">
        <v>0.1431</v>
      </c>
    </row>
    <row r="40">
      <c r="A40" s="81" t="n">
        <v>0.3241161592883398</v>
      </c>
      <c r="B40" s="82" t="n">
        <v>0.1039</v>
      </c>
    </row>
    <row r="41">
      <c r="A41" s="81" t="n">
        <v>0.5136921863958007</v>
      </c>
      <c r="B41" s="82" t="n">
        <v>0.0704</v>
      </c>
    </row>
    <row r="42">
      <c r="A42" s="81" t="n">
        <v>0.7032682135032616</v>
      </c>
      <c r="B42" s="82" t="n">
        <v>0.0445</v>
      </c>
    </row>
    <row r="43">
      <c r="A43" s="81" t="n">
        <v>0.8928442406107225</v>
      </c>
      <c r="B43" s="82" t="n">
        <v>0.0261</v>
      </c>
    </row>
    <row r="44">
      <c r="A44" s="81" t="n">
        <v>1.082420267718184</v>
      </c>
      <c r="B44" s="82" t="n">
        <v>0.0169</v>
      </c>
    </row>
    <row r="45">
      <c r="A45" s="81" t="n">
        <v>1.271996294825644</v>
      </c>
      <c r="B45" s="82" t="n">
        <v>0.0102</v>
      </c>
    </row>
    <row r="46">
      <c r="A46" s="81" t="n">
        <v>1.461572321933106</v>
      </c>
      <c r="B46" s="82" t="n">
        <v>0.007</v>
      </c>
    </row>
    <row r="47">
      <c r="A47" s="81" t="n">
        <v>1.651148349040567</v>
      </c>
      <c r="B47" s="82" t="n">
        <v>0.0037</v>
      </c>
    </row>
    <row r="48">
      <c r="A48" s="81" t="n">
        <v>1.840724376148028</v>
      </c>
      <c r="B48" s="82" t="n">
        <v>0.0026</v>
      </c>
    </row>
    <row r="49">
      <c r="A49" s="81" t="n">
        <v>2.030300403255489</v>
      </c>
      <c r="B49" s="82" t="n">
        <v>0.0017</v>
      </c>
    </row>
    <row r="50">
      <c r="A50" s="81" t="n">
        <v>2.219876430362949</v>
      </c>
      <c r="B50" s="82" t="n">
        <v>0.0009</v>
      </c>
    </row>
    <row r="51">
      <c r="A51" s="81" t="n">
        <v>2.40945245747041</v>
      </c>
      <c r="B51" s="82" t="n">
        <v>0.0004</v>
      </c>
    </row>
    <row r="52">
      <c r="A52" s="81" t="n">
        <v>2.599028484577871</v>
      </c>
      <c r="B52" s="82" t="n">
        <v>0.0002</v>
      </c>
    </row>
    <row r="53">
      <c r="A53" s="81" t="n">
        <v>2.788604511685332</v>
      </c>
      <c r="B53" s="82" t="n">
        <v>0</v>
      </c>
    </row>
    <row r="54">
      <c r="A54" s="81" t="n">
        <v>2.978180538792793</v>
      </c>
      <c r="B54" s="82" t="n">
        <v>0</v>
      </c>
    </row>
    <row r="55">
      <c r="A55" s="81" t="n">
        <v>3.167756565900254</v>
      </c>
      <c r="B55" s="82" t="n">
        <v>0.0001</v>
      </c>
    </row>
    <row r="56">
      <c r="A56" s="81" t="n">
        <v>3.357332593007715</v>
      </c>
      <c r="B56" s="82" t="n">
        <v>0.0001</v>
      </c>
    </row>
    <row r="57">
      <c r="A57" s="81" t="n">
        <v>3.546908620115176</v>
      </c>
      <c r="B57" s="82" t="n">
        <v>0</v>
      </c>
    </row>
    <row r="58">
      <c r="A58" s="81" t="n">
        <v>3.736484647222638</v>
      </c>
      <c r="B58" s="82" t="n">
        <v>0</v>
      </c>
    </row>
    <row r="59">
      <c r="A59" s="81" t="n">
        <v>3.926060674330099</v>
      </c>
      <c r="B59" s="82" t="n">
        <v>0</v>
      </c>
    </row>
    <row r="60">
      <c r="A60" s="81" t="n">
        <v>4.115636701437559</v>
      </c>
      <c r="B60" s="82" t="n">
        <v>0</v>
      </c>
    </row>
    <row r="61">
      <c r="A61" s="81" t="n">
        <v>4.30521272854502</v>
      </c>
      <c r="B61" s="82" t="n">
        <v>0</v>
      </c>
    </row>
    <row r="62">
      <c r="A62" s="81" t="n">
        <v>4.494788755652481</v>
      </c>
      <c r="B62" s="82" t="n">
        <v>0</v>
      </c>
    </row>
    <row r="63">
      <c r="A63" s="81" t="n">
        <v>4.684364782759942</v>
      </c>
      <c r="B63" s="82" t="n">
        <v>0.0001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5">
    <mergeCell ref="A4:B4"/>
    <mergeCell ref="A2:H2"/>
    <mergeCell ref="A1:H1"/>
    <mergeCell ref="A32:H32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" customWidth="1" min="4" max="4"/>
    <col width="16" customWidth="1" min="5" max="5"/>
    <col width="30" customWidth="1" min="6" max="6"/>
  </cols>
  <sheetData>
    <row r="1" ht="24" customHeight="1">
      <c r="A1" s="83" t="inlineStr">
        <is>
          <t>CEG — Constellation Energy Corporation</t>
        </is>
      </c>
    </row>
    <row r="2" ht="16" customHeight="1">
      <c r="A2" s="84" t="inlineStr">
        <is>
          <t>Sector: Utilities — Independent Power Producers | Largest U.S. nuclear fleet operator (~31,676 MW) | Baltimore, MD</t>
        </is>
      </c>
    </row>
    <row r="4">
      <c r="A4" s="14" t="inlineStr">
        <is>
          <t>KEY FUNDAMENTALS</t>
        </is>
      </c>
      <c r="B4" s="11" t="n"/>
      <c r="C4" s="11" t="n"/>
    </row>
    <row r="5">
      <c r="A5" s="10" t="inlineStr">
        <is>
          <t>Price (2026-10-01)</t>
        </is>
      </c>
      <c r="B5" s="9" t="inlineStr">
        <is>
          <t>$264.58</t>
        </is>
      </c>
      <c r="C5" s="11" t="n"/>
    </row>
    <row r="6">
      <c r="A6" s="15" t="inlineStr">
        <is>
          <t>Market capitalization</t>
        </is>
      </c>
      <c r="B6" s="53" t="inlineStr">
        <is>
          <t>~$92.3B</t>
        </is>
      </c>
      <c r="C6" s="26" t="n"/>
    </row>
    <row r="7">
      <c r="A7" s="10" t="inlineStr">
        <is>
          <t>52-week range</t>
        </is>
      </c>
      <c r="B7" s="9" t="inlineStr">
        <is>
          <t>$228.63 – $412.70</t>
        </is>
      </c>
      <c r="C7" s="11" t="n"/>
    </row>
    <row r="8">
      <c r="A8" s="15" t="inlineStr">
        <is>
          <t>P/E ratio (TTM)</t>
        </is>
      </c>
      <c r="B8" s="53" t="inlineStr">
        <is>
          <t>25.5x</t>
        </is>
      </c>
      <c r="C8" s="26" t="n"/>
    </row>
    <row r="9">
      <c r="A9" s="10" t="inlineStr">
        <is>
          <t>Forward P/E</t>
        </is>
      </c>
      <c r="B9" s="9" t="inlineStr">
        <is>
          <t>21.4x</t>
        </is>
      </c>
      <c r="C9" s="11" t="n"/>
    </row>
    <row r="10">
      <c r="A10" s="15" t="inlineStr">
        <is>
          <t>EPS (TTM)</t>
        </is>
      </c>
      <c r="B10" s="53" t="inlineStr">
        <is>
          <t>$10.24 – $10.33</t>
        </is>
      </c>
      <c r="C10" s="26" t="n"/>
    </row>
    <row r="11">
      <c r="A11" s="10" t="inlineStr">
        <is>
          <t>Revenue (TTM)</t>
        </is>
      </c>
      <c r="B11" s="9" t="inlineStr">
        <is>
          <t>$31.27B (+26.0% YoY)</t>
        </is>
      </c>
      <c r="C11" s="11" t="n"/>
    </row>
    <row r="12">
      <c r="A12" s="15" t="inlineStr">
        <is>
          <t>Dividend yield</t>
        </is>
      </c>
      <c r="B12" s="53" t="inlineStr">
        <is>
          <t>0.64%</t>
        </is>
      </c>
      <c r="C12" s="26" t="n"/>
    </row>
    <row r="13">
      <c r="A13" s="10" t="inlineStr">
        <is>
          <t>Beta (5Y monthly)</t>
        </is>
      </c>
      <c r="B13" s="9" t="inlineStr">
        <is>
          <t>1.12</t>
        </is>
      </c>
      <c r="C13" s="11" t="n"/>
    </row>
    <row r="14">
      <c r="A14" s="15" t="inlineStr">
        <is>
          <t>FY2026 EPS guidance (raised)</t>
        </is>
      </c>
      <c r="B14" s="53" t="inlineStr">
        <is>
          <t>$11.50 – $12.50</t>
        </is>
      </c>
      <c r="C14" s="26" t="n"/>
    </row>
    <row r="15">
      <c r="A15" s="10" t="inlineStr">
        <is>
          <t>Analyst consensus</t>
        </is>
      </c>
      <c r="B15" s="9" t="inlineStr">
        <is>
          <t>Buy / Strong Buy</t>
        </is>
      </c>
      <c r="C15" s="11" t="n"/>
    </row>
    <row r="16">
      <c r="A16" s="15" t="inlineStr">
        <is>
          <t>Avg. 12-mo price target</t>
        </is>
      </c>
      <c r="B16" s="53" t="inlineStr">
        <is>
          <t>~$379 (BMO, Aug-2026)</t>
        </is>
      </c>
      <c r="C16" s="26" t="n"/>
    </row>
    <row r="18">
      <c r="A18" s="7" t="inlineStr">
        <is>
          <t>TECHNICAL PICTURE</t>
        </is>
      </c>
    </row>
    <row r="19">
      <c r="A19" s="10" t="inlineStr">
        <is>
          <t>Trend status</t>
        </is>
      </c>
      <c r="B19" s="9" t="inlineStr">
        <is>
          <t>Below 200-day SMA; lower half of 52-wk range</t>
        </is>
      </c>
      <c r="C19" s="11" t="n"/>
    </row>
    <row r="20">
      <c r="A20" s="15" t="inlineStr">
        <is>
          <t>Price vs. 52-wk high/low</t>
        </is>
      </c>
      <c r="B20" s="53" t="inlineStr">
        <is>
          <t>-35.9% / +15.7%</t>
        </is>
      </c>
      <c r="C20" s="26" t="n"/>
    </row>
    <row r="21">
      <c r="A21" s="10" t="inlineStr">
        <is>
          <t>1-year price return</t>
        </is>
      </c>
      <c r="B21" s="9" t="inlineStr">
        <is>
          <t>-20.3%</t>
        </is>
      </c>
      <c r="C21" s="11" t="n"/>
    </row>
    <row r="22">
      <c r="A22" s="15" t="inlineStr">
        <is>
          <t>Key support / resistance</t>
        </is>
      </c>
      <c r="B22" s="53" t="inlineStr">
        <is>
          <t>~$250 support / ~$310–330 resistance</t>
        </is>
      </c>
      <c r="C22" s="26" t="n"/>
    </row>
    <row r="25">
      <c r="A25" s="7" t="inlineStr">
        <is>
          <t>RECENT QUARTERLY EARNINGS HISTORY</t>
        </is>
      </c>
    </row>
    <row r="26">
      <c r="A26" s="63" t="inlineStr">
        <is>
          <t>Quarter</t>
        </is>
      </c>
      <c r="B26" s="63" t="inlineStr">
        <is>
          <t>Report Date</t>
        </is>
      </c>
      <c r="C26" s="63" t="inlineStr">
        <is>
          <t>EPS Est.</t>
        </is>
      </c>
      <c r="D26" s="63" t="inlineStr">
        <is>
          <t>EPS Actual</t>
        </is>
      </c>
      <c r="E26" s="63" t="inlineStr">
        <is>
          <t>Surprise</t>
        </is>
      </c>
      <c r="F26" s="63" t="inlineStr">
        <is>
          <t>Price Reaction</t>
        </is>
      </c>
    </row>
    <row r="27">
      <c r="A27" s="85" t="inlineStr">
        <is>
          <t>Q2 2026</t>
        </is>
      </c>
      <c r="B27" s="85" t="inlineStr">
        <is>
          <t>2026-08-06</t>
        </is>
      </c>
      <c r="C27" s="85" t="inlineStr">
        <is>
          <t>$2.28</t>
        </is>
      </c>
      <c r="D27" s="85" t="inlineStr">
        <is>
          <t>$2.55</t>
        </is>
      </c>
      <c r="E27" s="86" t="inlineStr">
        <is>
          <t>+11.7%</t>
        </is>
      </c>
      <c r="F27" s="85" t="inlineStr">
        <is>
          <t>Guidance raised to $11.50-12.50</t>
        </is>
      </c>
    </row>
    <row r="28">
      <c r="A28" s="85" t="inlineStr">
        <is>
          <t>Q1 2026</t>
        </is>
      </c>
      <c r="B28" s="85" t="inlineStr">
        <is>
          <t>2026-05-11</t>
        </is>
      </c>
      <c r="C28" s="85" t="inlineStr">
        <is>
          <t>$2.60</t>
        </is>
      </c>
      <c r="D28" s="85" t="inlineStr">
        <is>
          <t>$2.74</t>
        </is>
      </c>
      <c r="E28" s="86" t="inlineStr">
        <is>
          <t>+5.3%</t>
        </is>
      </c>
      <c r="F28" s="85" t="inlineStr">
        <is>
          <t>-1.3% (1-day)</t>
        </is>
      </c>
    </row>
    <row r="29">
      <c r="A29" s="85" t="inlineStr">
        <is>
          <t>Q4 2025</t>
        </is>
      </c>
      <c r="B29" s="85" t="inlineStr">
        <is>
          <t>2026-02-24</t>
        </is>
      </c>
      <c r="C29" s="85" t="inlineStr">
        <is>
          <t>N/A</t>
        </is>
      </c>
      <c r="D29" s="85" t="inlineStr">
        <is>
          <t>$2.30</t>
        </is>
      </c>
      <c r="E29" s="86" t="inlineStr">
        <is>
          <t>+2.4%</t>
        </is>
      </c>
      <c r="F29" s="85" t="inlineStr">
        <is>
          <t>+6.4% (1-day)</t>
        </is>
      </c>
    </row>
    <row r="30">
      <c r="A30" s="85" t="inlineStr">
        <is>
          <t>Q3 2025</t>
        </is>
      </c>
      <c r="B30" s="85" t="inlineStr">
        <is>
          <t>2025-11-07</t>
        </is>
      </c>
      <c r="C30" s="85" t="inlineStr">
        <is>
          <t>$3.13</t>
        </is>
      </c>
      <c r="D30" s="85" t="inlineStr">
        <is>
          <t>$3.04</t>
        </is>
      </c>
      <c r="E30" s="87" t="inlineStr">
        <is>
          <t>-2.9%</t>
        </is>
      </c>
      <c r="F30" s="85" t="inlineStr">
        <is>
          <t>+2.0% (1-day)</t>
        </is>
      </c>
    </row>
    <row r="32">
      <c r="A32" s="7" t="inlineStr">
        <is>
          <t>CATALYST CALENDAR &amp; RECENT EVENTS (chronological)</t>
        </is>
      </c>
    </row>
    <row r="33" ht="28" customHeight="1">
      <c r="A33" s="9" t="inlineStr">
        <is>
          <t>2026-08-06</t>
        </is>
      </c>
      <c r="B33" s="88" t="inlineStr">
        <is>
          <t>Q2 2026 results; FY26 guidance raised to $11.50-12.50; 920 MW of new long-term PPAs signed.</t>
        </is>
      </c>
      <c r="C33" s="11" t="n"/>
      <c r="D33" s="11" t="n"/>
      <c r="E33" s="11" t="n"/>
      <c r="F33" s="11" t="n"/>
    </row>
    <row r="34" ht="28" customHeight="1">
      <c r="A34" s="53" t="inlineStr">
        <is>
          <t>2026 (ongoing)</t>
        </is>
      </c>
      <c r="B34" s="89" t="inlineStr">
        <is>
          <t>FERC/NRC approvals advance Crane Clean Energy Center (former TMI Unit 1) restart for Microsoft.</t>
        </is>
      </c>
      <c r="C34" s="26" t="n"/>
      <c r="D34" s="26" t="n"/>
      <c r="E34" s="26" t="n"/>
      <c r="F34" s="26" t="n"/>
    </row>
    <row r="35" ht="28" customHeight="1">
      <c r="A35" s="9" t="inlineStr">
        <is>
          <t>2026 (ongoing)</t>
        </is>
      </c>
      <c r="B35" s="88" t="inlineStr">
        <is>
          <t>Calpine acquisition ($16.4B) integration; divesting Brazos Valley + 4.4GW PJM assets to LS Power for DOJ clearance.</t>
        </is>
      </c>
      <c r="C35" s="11" t="n"/>
      <c r="D35" s="11" t="n"/>
      <c r="E35" s="11" t="n"/>
      <c r="F35" s="11" t="n"/>
    </row>
    <row r="36" ht="28" customHeight="1">
      <c r="A36" s="53" t="inlineStr">
        <is>
          <t>2026-11-09</t>
        </is>
      </c>
      <c r="B36" s="89" t="inlineStr">
        <is>
          <t>Q3 2026 earnings (confirmed). Consensus EPS $3.65–$3.67.</t>
        </is>
      </c>
      <c r="C36" s="26" t="n"/>
      <c r="D36" s="26" t="n"/>
      <c r="E36" s="26" t="n"/>
      <c r="F36" s="26" t="n"/>
    </row>
    <row r="38">
      <c r="A38" s="90" t="inlineStr">
        <is>
          <t>BULL CASE</t>
        </is>
      </c>
    </row>
    <row r="39" ht="26" customHeight="1">
      <c r="A39" s="91" t="inlineStr">
        <is>
          <t>✓  Largest U.S. nuclear fleet = irreplaceable carbon-free baseload exactly as hyperscalers sign 20-yr PPAs for that profile.</t>
        </is>
      </c>
    </row>
    <row r="40" ht="26" customHeight="1">
      <c r="A40" s="91" t="inlineStr">
        <is>
          <t>✓  Guidance raised twice in 2026 even as the stock sits ~36% below its Oct-2025 high — a valuation reset, not a broken thesis.</t>
        </is>
      </c>
    </row>
    <row r="42">
      <c r="A42" s="92" t="inlineStr">
        <is>
          <t>BEAR CASE / RISKS</t>
        </is>
      </c>
    </row>
    <row r="43" ht="26" customHeight="1">
      <c r="A43" s="93" t="inlineStr">
        <is>
          <t>⚠  Premium multiple (25x+ TTM) for a utility, even after the pullback.</t>
        </is>
      </c>
    </row>
    <row r="44" ht="26" customHeight="1">
      <c r="A44" s="93" t="inlineStr">
        <is>
          <t>⚠  Large, complex Calpine integration with forced divestitures still in progress; PJM market-design intervention risk sector-wide.</t>
        </is>
      </c>
    </row>
    <row r="46" ht="30" customHeight="1">
      <c r="A46" s="22" t="inlineStr">
        <is>
          <t>Sources: SEC EDGAR 8-K, TipRanks, StockAnalysis.com, Yahoo Finance — retrieved 2026-10-01.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17">
    <mergeCell ref="A2:F2"/>
    <mergeCell ref="A46:F46"/>
    <mergeCell ref="B38:F38"/>
    <mergeCell ref="B34:F34"/>
    <mergeCell ref="A44:F44"/>
    <mergeCell ref="B33:F33"/>
    <mergeCell ref="A1:F1"/>
    <mergeCell ref="B42:F42"/>
    <mergeCell ref="A32:F32"/>
    <mergeCell ref="A43:F43"/>
    <mergeCell ref="A18:C18"/>
    <mergeCell ref="A40:F40"/>
    <mergeCell ref="B36:F36"/>
    <mergeCell ref="A4:C4"/>
    <mergeCell ref="A39:F39"/>
    <mergeCell ref="A25:F25"/>
    <mergeCell ref="B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" customWidth="1" min="4" max="4"/>
    <col width="16" customWidth="1" min="5" max="5"/>
    <col width="30" customWidth="1" min="6" max="6"/>
  </cols>
  <sheetData>
    <row r="1" ht="24" customHeight="1">
      <c r="A1" s="83" t="inlineStr">
        <is>
          <t>VST — Vistra Corp.</t>
        </is>
      </c>
    </row>
    <row r="2" ht="16" customHeight="1">
      <c r="A2" s="84" t="inlineStr">
        <is>
          <t>Sector: Utilities — Independent Power Producers | Integrated retail + generation (~39GW) | Irving, TX</t>
        </is>
      </c>
    </row>
    <row r="4">
      <c r="A4" s="14" t="inlineStr">
        <is>
          <t>KEY FUNDAMENTALS</t>
        </is>
      </c>
      <c r="B4" s="11" t="n"/>
      <c r="C4" s="11" t="n"/>
    </row>
    <row r="5">
      <c r="A5" s="10" t="inlineStr">
        <is>
          <t>Price (2026-10-01)</t>
        </is>
      </c>
      <c r="B5" s="9" t="inlineStr">
        <is>
          <t>$139.05</t>
        </is>
      </c>
      <c r="C5" s="11" t="n"/>
    </row>
    <row r="6">
      <c r="A6" s="15" t="inlineStr">
        <is>
          <t>Market capitalization</t>
        </is>
      </c>
      <c r="B6" s="53" t="inlineStr">
        <is>
          <t>~$46.4B</t>
        </is>
      </c>
      <c r="C6" s="26" t="n"/>
    </row>
    <row r="7">
      <c r="A7" s="10" t="inlineStr">
        <is>
          <t>52-week range</t>
        </is>
      </c>
      <c r="B7" s="9" t="inlineStr">
        <is>
          <t>$132.66 – $217.10</t>
        </is>
      </c>
      <c r="C7" s="11" t="n"/>
    </row>
    <row r="8">
      <c r="A8" s="15" t="inlineStr">
        <is>
          <t>P/E ratio (TTM)</t>
        </is>
      </c>
      <c r="B8" s="53" t="inlineStr">
        <is>
          <t>21.5x – 23.8x</t>
        </is>
      </c>
      <c r="C8" s="26" t="n"/>
    </row>
    <row r="9">
      <c r="A9" s="10" t="inlineStr">
        <is>
          <t>EPS (TTM)</t>
        </is>
      </c>
      <c r="B9" s="9" t="inlineStr">
        <is>
          <t>$6.00</t>
        </is>
      </c>
      <c r="C9" s="11" t="n"/>
    </row>
    <row r="10">
      <c r="A10" s="15" t="inlineStr">
        <is>
          <t>Revenue (FY2025)</t>
        </is>
      </c>
      <c r="B10" s="53" t="inlineStr">
        <is>
          <t>$17.74B (+3.0% YoY)</t>
        </is>
      </c>
      <c r="C10" s="26" t="n"/>
    </row>
    <row r="11">
      <c r="A11" s="10" t="inlineStr">
        <is>
          <t>Dividend yield</t>
        </is>
      </c>
      <c r="B11" s="9" t="inlineStr">
        <is>
          <t>0.65%</t>
        </is>
      </c>
      <c r="C11" s="11" t="n"/>
    </row>
    <row r="12">
      <c r="A12" s="15" t="inlineStr">
        <is>
          <t>Beta (5Y monthly, reported)</t>
        </is>
      </c>
      <c r="B12" s="53" t="inlineStr">
        <is>
          <t>1.41 (cross-provider range 0.4–1.9)</t>
        </is>
      </c>
      <c r="C12" s="26" t="n"/>
    </row>
    <row r="13">
      <c r="A13" s="10" t="inlineStr">
        <is>
          <t>FY2026 adj. EBITDA guidance</t>
        </is>
      </c>
      <c r="B13" s="9" t="inlineStr">
        <is>
          <t>$6.8B – $7.6B (reaffirmed)</t>
        </is>
      </c>
      <c r="C13" s="11" t="n"/>
    </row>
    <row r="14">
      <c r="A14" s="15" t="inlineStr">
        <is>
          <t>Credit rating</t>
        </is>
      </c>
      <c r="B14" s="53" t="inlineStr">
        <is>
          <t>BBB- (Fitch upgrade, Mar-2026)</t>
        </is>
      </c>
      <c r="C14" s="26" t="n"/>
    </row>
    <row r="15">
      <c r="A15" s="10" t="inlineStr">
        <is>
          <t>Analyst consensus</t>
        </is>
      </c>
      <c r="B15" s="9" t="inlineStr">
        <is>
          <t>Strong Buy</t>
        </is>
      </c>
      <c r="C15" s="11" t="n"/>
    </row>
    <row r="16">
      <c r="A16" s="15" t="inlineStr">
        <is>
          <t>Avg. 12-mo price target</t>
        </is>
      </c>
      <c r="B16" s="53" t="inlineStr">
        <is>
          <t>~$217.58 (+54.5% implied)</t>
        </is>
      </c>
      <c r="C16" s="26" t="n"/>
    </row>
    <row r="18">
      <c r="A18" s="7" t="inlineStr">
        <is>
          <t>TECHNICAL PICTURE</t>
        </is>
      </c>
    </row>
    <row r="19">
      <c r="A19" s="10" t="inlineStr">
        <is>
          <t>Trend status</t>
        </is>
      </c>
      <c r="B19" s="9" t="inlineStr">
        <is>
          <t>Downtrend since Aug-2025 ($217) to ~$139</t>
        </is>
      </c>
      <c r="C19" s="11" t="n"/>
    </row>
    <row r="20">
      <c r="A20" s="15" t="inlineStr">
        <is>
          <t>Price vs. 52-wk high/low</t>
        </is>
      </c>
      <c r="B20" s="53" t="inlineStr">
        <is>
          <t>-36.0% / +4.8%</t>
        </is>
      </c>
      <c r="C20" s="26" t="n"/>
    </row>
    <row r="21">
      <c r="A21" s="10" t="inlineStr">
        <is>
          <t>1-year price return</t>
        </is>
      </c>
      <c r="B21" s="9" t="inlineStr">
        <is>
          <t>-32.4%</t>
        </is>
      </c>
      <c r="C21" s="11" t="n"/>
    </row>
    <row r="22">
      <c r="A22" s="15" t="inlineStr">
        <is>
          <t>Key support / resistance</t>
        </is>
      </c>
      <c r="B22" s="53" t="inlineStr">
        <is>
          <t>~$132–138 support / ~$160–175 resistance</t>
        </is>
      </c>
      <c r="C22" s="26" t="n"/>
    </row>
    <row r="25">
      <c r="A25" s="7" t="inlineStr">
        <is>
          <t>RECENT QUARTERLY EARNINGS HISTORY</t>
        </is>
      </c>
    </row>
    <row r="26">
      <c r="A26" s="63" t="inlineStr">
        <is>
          <t>Quarter</t>
        </is>
      </c>
      <c r="B26" s="63" t="inlineStr">
        <is>
          <t>Report Date</t>
        </is>
      </c>
      <c r="C26" s="63" t="inlineStr">
        <is>
          <t>EPS Est.</t>
        </is>
      </c>
      <c r="D26" s="63" t="inlineStr">
        <is>
          <t>EPS Actual</t>
        </is>
      </c>
      <c r="E26" s="63" t="inlineStr">
        <is>
          <t>Surprise</t>
        </is>
      </c>
      <c r="F26" s="63" t="inlineStr">
        <is>
          <t>Price Reaction</t>
        </is>
      </c>
    </row>
    <row r="27">
      <c r="A27" s="85" t="inlineStr">
        <is>
          <t>Q2 2026</t>
        </is>
      </c>
      <c r="B27" s="85" t="inlineStr">
        <is>
          <t>2026-08-07</t>
        </is>
      </c>
      <c r="C27" s="85" t="inlineStr">
        <is>
          <t>N/A</t>
        </is>
      </c>
      <c r="D27" s="85" t="inlineStr">
        <is>
          <t>N/A</t>
        </is>
      </c>
      <c r="E27" s="85" t="inlineStr">
        <is>
          <t>N/A</t>
        </is>
      </c>
      <c r="F27" s="85" t="inlineStr">
        <is>
          <t>YTD adj. EBITDA $3.261B vs $2.589B PY</t>
        </is>
      </c>
    </row>
    <row r="28">
      <c r="A28" s="85" t="inlineStr">
        <is>
          <t>Q1 2026</t>
        </is>
      </c>
      <c r="B28" s="85" t="inlineStr">
        <is>
          <t>2026-05-11</t>
        </is>
      </c>
      <c r="C28" s="85" t="inlineStr">
        <is>
          <t>N/A</t>
        </is>
      </c>
      <c r="D28" s="85" t="inlineStr">
        <is>
          <t>N/A</t>
        </is>
      </c>
      <c r="E28" s="85" t="inlineStr">
        <is>
          <t>Record Q1 EBITDA</t>
        </is>
      </c>
      <c r="F28" s="85" t="inlineStr">
        <is>
          <t>+5% premarket</t>
        </is>
      </c>
    </row>
    <row r="29">
      <c r="A29" s="85" t="inlineStr">
        <is>
          <t>FY2025</t>
        </is>
      </c>
      <c r="B29" s="85" t="inlineStr">
        <is>
          <t>2026-02 (approx.)</t>
        </is>
      </c>
      <c r="C29" s="85" t="inlineStr">
        <is>
          <t>N/A</t>
        </is>
      </c>
      <c r="D29" s="85" t="inlineStr">
        <is>
          <t>$752M net income</t>
        </is>
      </c>
      <c r="E29" s="87" t="inlineStr">
        <is>
          <t>-69.5% YoY</t>
        </is>
      </c>
      <c r="F29" s="85" t="inlineStr">
        <is>
          <t>Weather/deal-related noise</t>
        </is>
      </c>
    </row>
    <row r="30">
      <c r="A30" s="85" t="inlineStr">
        <is>
          <t>Q3 2025</t>
        </is>
      </c>
      <c r="B30" s="85" t="inlineStr">
        <is>
          <t>2025-11-06</t>
        </is>
      </c>
      <c r="C30" s="85" t="inlineStr">
        <is>
          <t>N/A</t>
        </is>
      </c>
      <c r="D30" s="85" t="inlineStr">
        <is>
          <t>N/A</t>
        </is>
      </c>
      <c r="E30" s="85" t="inlineStr">
        <is>
          <t>N/A</t>
        </is>
      </c>
      <c r="F30" s="85" t="inlineStr">
        <is>
          <t>-6.1% (1-day)</t>
        </is>
      </c>
    </row>
    <row r="32">
      <c r="A32" s="7" t="inlineStr">
        <is>
          <t>CATALYST CALENDAR &amp; RECENT EVENTS (chronological)</t>
        </is>
      </c>
    </row>
    <row r="33" ht="28" customHeight="1">
      <c r="A33" s="9" t="inlineStr">
        <is>
          <t>2026-01-12</t>
        </is>
      </c>
      <c r="B33" s="88" t="inlineStr">
        <is>
          <t>20-year, 2.6 GW nuclear PPA with Meta — flagship zero-carbon long-duration contract.</t>
        </is>
      </c>
      <c r="C33" s="11" t="n"/>
      <c r="D33" s="11" t="n"/>
      <c r="E33" s="11" t="n"/>
      <c r="F33" s="11" t="n"/>
    </row>
    <row r="34" ht="28" customHeight="1">
      <c r="A34" s="53" t="inlineStr">
        <is>
          <t>2026-01-15</t>
        </is>
      </c>
      <c r="B34" s="89" t="inlineStr">
        <is>
          <t>PJM market-intervention headline risk — shares fell ~9% on affordability-regulation reports.</t>
        </is>
      </c>
      <c r="C34" s="26" t="n"/>
      <c r="D34" s="26" t="n"/>
      <c r="E34" s="26" t="n"/>
      <c r="F34" s="26" t="n"/>
    </row>
    <row r="35" ht="28" customHeight="1">
      <c r="A35" s="9" t="inlineStr">
        <is>
          <t>2026-03</t>
        </is>
      </c>
      <c r="B35" s="88" t="inlineStr">
        <is>
          <t>Fitch upgraded Vistra to investment grade (BBB-).</t>
        </is>
      </c>
      <c r="C35" s="11" t="n"/>
      <c r="D35" s="11" t="n"/>
      <c r="E35" s="11" t="n"/>
      <c r="F35" s="11" t="n"/>
    </row>
    <row r="36" ht="28" customHeight="1">
      <c r="A36" s="53" t="inlineStr">
        <is>
          <t>2026 H2 (pending)</t>
        </is>
      </c>
      <c r="B36" s="89" t="inlineStr">
        <is>
          <t>Cogentrix gas portfolio acquisition (5,500 MW) targeted to close; not yet in guidance.</t>
        </is>
      </c>
      <c r="C36" s="26" t="n"/>
      <c r="D36" s="26" t="n"/>
      <c r="E36" s="26" t="n"/>
      <c r="F36" s="26" t="n"/>
    </row>
    <row r="37" ht="28" customHeight="1">
      <c r="A37" s="9" t="inlineStr">
        <is>
          <t>2026-11-06</t>
        </is>
      </c>
      <c r="B37" s="88" t="inlineStr">
        <is>
          <t>Q3 2026 earnings (confirmed) — first quarter with potential Cogentrix commentary.</t>
        </is>
      </c>
      <c r="C37" s="11" t="n"/>
      <c r="D37" s="11" t="n"/>
      <c r="E37" s="11" t="n"/>
      <c r="F37" s="11" t="n"/>
    </row>
    <row r="39">
      <c r="A39" s="90" t="inlineStr">
        <is>
          <t>BULL CASE</t>
        </is>
      </c>
    </row>
    <row r="40" ht="26" customHeight="1">
      <c r="A40" s="91" t="inlineStr">
        <is>
          <t>✓  Purest merchant-power / direct-hyperscaler-PPA exposure of the three (Meta 2.6GW/20-yr deal).</t>
        </is>
      </c>
    </row>
    <row r="41" ht="26" customHeight="1">
      <c r="A41" s="91" t="inlineStr">
        <is>
          <t>✓  Investment-grade upgrade lowers financing cost during an active M&amp;A phase; highest analyst conviction of the group (~55% implied upside).</t>
        </is>
      </c>
    </row>
    <row r="43">
      <c r="A43" s="92" t="inlineStr">
        <is>
          <t>BEAR CASE / RISKS</t>
        </is>
      </c>
    </row>
    <row r="44" ht="26" customHeight="1">
      <c r="A44" s="93" t="inlineStr">
        <is>
          <t>⚠  Most exposed of the three to PJM/ERCOT regulatory intervention — already proven with a 9% single-day drop.</t>
        </is>
      </c>
    </row>
    <row r="45" ht="26" customHeight="1">
      <c r="A45" s="93" t="inlineStr">
        <is>
          <t>⚠  Merchant power economics are inherently more volatile than regulated/contracted revenue; Cogentrix deal unclosed.</t>
        </is>
      </c>
    </row>
    <row r="47" ht="30" customHeight="1">
      <c r="A47" s="22" t="inlineStr">
        <is>
          <t>Sources: StockAnalysis.com, TradingView, Robinhood, Morningstar, PR Newswire — retrieved 2026-10-01.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18">
    <mergeCell ref="A41:F41"/>
    <mergeCell ref="A2:F2"/>
    <mergeCell ref="B43:F43"/>
    <mergeCell ref="B39:F39"/>
    <mergeCell ref="A47:F47"/>
    <mergeCell ref="B34:F34"/>
    <mergeCell ref="A44:F44"/>
    <mergeCell ref="B33:F33"/>
    <mergeCell ref="A1:F1"/>
    <mergeCell ref="A45:F45"/>
    <mergeCell ref="A32:F32"/>
    <mergeCell ref="B37:F37"/>
    <mergeCell ref="A18:C18"/>
    <mergeCell ref="A40:F40"/>
    <mergeCell ref="B36:F36"/>
    <mergeCell ref="A4:C4"/>
    <mergeCell ref="A25:F25"/>
    <mergeCell ref="B35:F3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" customWidth="1" min="4" max="4"/>
    <col width="16" customWidth="1" min="5" max="5"/>
    <col width="30" customWidth="1" min="6" max="6"/>
  </cols>
  <sheetData>
    <row r="1" ht="24" customHeight="1">
      <c r="A1" s="83" t="inlineStr">
        <is>
          <t>CCJ — Cameco Corporation</t>
        </is>
      </c>
    </row>
    <row r="2" ht="16" customHeight="1">
      <c r="A2" s="84" t="inlineStr">
        <is>
          <t>Sector: Energy — Uranium Mining &amp; Nuclear Fuel Cycle | Uranium, Fuel Services, Westinghouse (49%) | Saskatoon, Canada</t>
        </is>
      </c>
    </row>
    <row r="4">
      <c r="A4" s="14" t="inlineStr">
        <is>
          <t>KEY FUNDAMENTALS</t>
        </is>
      </c>
      <c r="B4" s="11" t="n"/>
      <c r="C4" s="11" t="n"/>
    </row>
    <row r="5">
      <c r="A5" s="10" t="inlineStr">
        <is>
          <t>Price (2026-10-01)</t>
        </is>
      </c>
      <c r="B5" s="9" t="inlineStr">
        <is>
          <t>$87.39</t>
        </is>
      </c>
      <c r="C5" s="11" t="n"/>
    </row>
    <row r="6">
      <c r="A6" s="15" t="inlineStr">
        <is>
          <t>Market capitalization</t>
        </is>
      </c>
      <c r="B6" s="53" t="inlineStr">
        <is>
          <t>~$37.8B</t>
        </is>
      </c>
      <c r="C6" s="26" t="n"/>
    </row>
    <row r="7">
      <c r="A7" s="10" t="inlineStr">
        <is>
          <t>52-week range</t>
        </is>
      </c>
      <c r="B7" s="9" t="inlineStr">
        <is>
          <t>$77.70 – $135.24</t>
        </is>
      </c>
      <c r="C7" s="11" t="n"/>
    </row>
    <row r="8">
      <c r="A8" s="15" t="inlineStr">
        <is>
          <t>P/E ratio (TTM)</t>
        </is>
      </c>
      <c r="B8" s="53" t="inlineStr">
        <is>
          <t>~147x–152x (thin TTM earnings)</t>
        </is>
      </c>
      <c r="C8" s="26" t="n"/>
    </row>
    <row r="9">
      <c r="A9" s="10" t="inlineStr">
        <is>
          <t>EPS (TTM)</t>
        </is>
      </c>
      <c r="B9" s="9" t="inlineStr">
        <is>
          <t>$0.57</t>
        </is>
      </c>
      <c r="C9" s="11" t="n"/>
    </row>
    <row r="10">
      <c r="A10" s="15" t="inlineStr">
        <is>
          <t>Revenue (FY2025)</t>
        </is>
      </c>
      <c r="B10" s="53" t="inlineStr">
        <is>
          <t>$3.48B (+11.0% YoY)</t>
        </is>
      </c>
      <c r="C10" s="26" t="n"/>
    </row>
    <row r="11">
      <c r="A11" s="10" t="inlineStr">
        <is>
          <t>Net income (FY2025)</t>
        </is>
      </c>
      <c r="B11" s="9" t="inlineStr">
        <is>
          <t>$589.6M (+243.1% YoY)</t>
        </is>
      </c>
      <c r="C11" s="11" t="n"/>
    </row>
    <row r="12">
      <c r="A12" s="15" t="inlineStr">
        <is>
          <t>Dividend yield</t>
        </is>
      </c>
      <c r="B12" s="53" t="inlineStr">
        <is>
          <t>0.20%</t>
        </is>
      </c>
      <c r="C12" s="26" t="n"/>
    </row>
    <row r="13">
      <c r="A13" s="10" t="inlineStr">
        <is>
          <t>Beta (5Y monthly)</t>
        </is>
      </c>
      <c r="B13" s="9" t="inlineStr">
        <is>
          <t>1.01</t>
        </is>
      </c>
      <c r="C13" s="11" t="n"/>
    </row>
    <row r="14">
      <c r="A14" s="15" t="inlineStr">
        <is>
          <t>Analyst consensus</t>
        </is>
      </c>
      <c r="B14" s="53" t="inlineStr">
        <is>
          <t>Buy / Moderate Buy</t>
        </is>
      </c>
      <c r="C14" s="26" t="n"/>
    </row>
    <row r="15">
      <c r="A15" s="10" t="inlineStr">
        <is>
          <t>Avg. 12-mo price target</t>
        </is>
      </c>
      <c r="B15" s="9" t="inlineStr">
        <is>
          <t>$127.77 – $148.68 (wide dispersion)</t>
        </is>
      </c>
      <c r="C15" s="11" t="n"/>
    </row>
    <row r="17">
      <c r="A17" s="7" t="inlineStr">
        <is>
          <t>TECHNICAL PICTURE</t>
        </is>
      </c>
    </row>
    <row r="18">
      <c r="A18" s="15" t="inlineStr">
        <is>
          <t>Trend status</t>
        </is>
      </c>
      <c r="B18" s="53" t="inlineStr">
        <is>
          <t>Round-trip: $78 (Apr-25) → $135 (Oct-25/Jan-26) → ~$87 now</t>
        </is>
      </c>
      <c r="C18" s="26" t="n"/>
    </row>
    <row r="19">
      <c r="A19" s="10" t="inlineStr">
        <is>
          <t>Price vs. 52-wk high/low</t>
        </is>
      </c>
      <c r="B19" s="9" t="inlineStr">
        <is>
          <t>-35.4% / +12.5%</t>
        </is>
      </c>
      <c r="C19" s="11" t="n"/>
    </row>
    <row r="20">
      <c r="A20" s="15" t="inlineStr">
        <is>
          <t>1-year price return</t>
        </is>
      </c>
      <c r="B20" s="53" t="inlineStr">
        <is>
          <t>-4.2% (highly path-dependent)</t>
        </is>
      </c>
      <c r="C20" s="26" t="n"/>
    </row>
    <row r="21">
      <c r="A21" s="10" t="inlineStr">
        <is>
          <t>Key support / resistance</t>
        </is>
      </c>
      <c r="B21" s="9" t="inlineStr">
        <is>
          <t>~$86–90 support / ~$110–123 resistance</t>
        </is>
      </c>
      <c r="C21" s="11" t="n"/>
    </row>
    <row r="24">
      <c r="A24" s="7" t="inlineStr">
        <is>
          <t>RECENT QUARTERLY EARNINGS HISTORY</t>
        </is>
      </c>
    </row>
    <row r="25">
      <c r="A25" s="63" t="inlineStr">
        <is>
          <t>Quarter</t>
        </is>
      </c>
      <c r="B25" s="63" t="inlineStr">
        <is>
          <t>Report Date</t>
        </is>
      </c>
      <c r="C25" s="63" t="inlineStr">
        <is>
          <t>EPS Est.</t>
        </is>
      </c>
      <c r="D25" s="63" t="inlineStr">
        <is>
          <t>EPS Actual</t>
        </is>
      </c>
      <c r="E25" s="63" t="inlineStr">
        <is>
          <t>Surprise</t>
        </is>
      </c>
      <c r="F25" s="63" t="inlineStr">
        <is>
          <t>Price Reaction</t>
        </is>
      </c>
    </row>
    <row r="26">
      <c r="A26" s="85" t="inlineStr">
        <is>
          <t>Q2 2026</t>
        </is>
      </c>
      <c r="B26" s="85" t="inlineStr">
        <is>
          <t>2026-07-31</t>
        </is>
      </c>
      <c r="C26" s="85" t="inlineStr">
        <is>
          <t>$0.26</t>
        </is>
      </c>
      <c r="D26" s="85" t="inlineStr">
        <is>
          <t>$0.13</t>
        </is>
      </c>
      <c r="E26" s="87" t="inlineStr">
        <is>
          <t>-50% to -64%</t>
        </is>
      </c>
      <c r="F26" s="85" t="inlineStr">
        <is>
          <t>-2.1% to -3.2% (1-day)</t>
        </is>
      </c>
    </row>
    <row r="27">
      <c r="A27" s="85" t="inlineStr">
        <is>
          <t>Q1 2026</t>
        </is>
      </c>
      <c r="B27" s="85" t="inlineStr">
        <is>
          <t>2026-05-05</t>
        </is>
      </c>
      <c r="C27" s="85" t="inlineStr">
        <is>
          <t>$0.25–$0.36</t>
        </is>
      </c>
      <c r="D27" s="85" t="inlineStr">
        <is>
          <t>$0.22–$0.34</t>
        </is>
      </c>
      <c r="E27" s="85" t="inlineStr">
        <is>
          <t>mixed</t>
        </is>
      </c>
      <c r="F27" s="85" t="inlineStr">
        <is>
          <t>-3.2% on initial miss</t>
        </is>
      </c>
    </row>
    <row r="28">
      <c r="A28" s="85" t="inlineStr">
        <is>
          <t>Q4 2025</t>
        </is>
      </c>
      <c r="B28" s="85" t="inlineStr">
        <is>
          <t>2026-02-13</t>
        </is>
      </c>
      <c r="C28" s="85" t="inlineStr">
        <is>
          <t>$0.32</t>
        </is>
      </c>
      <c r="D28" s="85" t="inlineStr">
        <is>
          <t>$0.33–$0.36</t>
        </is>
      </c>
      <c r="E28" s="85" t="inlineStr">
        <is>
          <t>~0–+28.6%</t>
        </is>
      </c>
      <c r="F28" s="85" t="inlineStr">
        <is>
          <t>N/A</t>
        </is>
      </c>
    </row>
    <row r="29">
      <c r="A29" s="85" t="inlineStr">
        <is>
          <t>Q3 2025</t>
        </is>
      </c>
      <c r="B29" s="85" t="inlineStr">
        <is>
          <t>2025-11-05</t>
        </is>
      </c>
      <c r="C29" s="85" t="inlineStr">
        <is>
          <t>$0.23</t>
        </is>
      </c>
      <c r="D29" s="85" t="inlineStr">
        <is>
          <t>$0.05</t>
        </is>
      </c>
      <c r="E29" s="87" t="inlineStr">
        <is>
          <t>-78.3%</t>
        </is>
      </c>
      <c r="F29" s="85" t="inlineStr">
        <is>
          <t>N/A</t>
        </is>
      </c>
    </row>
    <row r="31">
      <c r="A31" s="7" t="inlineStr">
        <is>
          <t>CATALYST CALENDAR &amp; RECENT EVENTS (chronological)</t>
        </is>
      </c>
    </row>
    <row r="32" ht="28" customHeight="1">
      <c r="A32" s="53" t="inlineStr">
        <is>
          <t>2026-07-31</t>
        </is>
      </c>
      <c r="B32" s="89" t="inlineStr">
        <is>
          <t>Q2 2026 EPS $0.13 vs $0.26 est. (miss); shares drifted +10.8% higher over the following 33 days.</t>
        </is>
      </c>
      <c r="C32" s="26" t="n"/>
      <c r="D32" s="26" t="n"/>
      <c r="E32" s="26" t="n"/>
      <c r="F32" s="26" t="n"/>
    </row>
    <row r="33" ht="28" customHeight="1">
      <c r="A33" s="9" t="inlineStr">
        <is>
          <t>2026 (ongoing)</t>
        </is>
      </c>
      <c r="B33" s="88" t="inlineStr">
        <is>
          <t>Westinghouse (49%-owned) IPO speculation — potential embedded-value unlock.</t>
        </is>
      </c>
      <c r="C33" s="11" t="n"/>
      <c r="D33" s="11" t="n"/>
      <c r="E33" s="11" t="n"/>
      <c r="F33" s="11" t="n"/>
    </row>
    <row r="34" ht="28" customHeight="1">
      <c r="A34" s="53" t="inlineStr">
        <is>
          <t>2026-10-30 (est.)</t>
        </is>
      </c>
      <c r="B34" s="89" t="inlineStr">
        <is>
          <t>Q3 2026 earnings — date not yet formally confirmed (alt. estimate Nov 4).</t>
        </is>
      </c>
      <c r="C34" s="26" t="n"/>
      <c r="D34" s="26" t="n"/>
      <c r="E34" s="26" t="n"/>
      <c r="F34" s="26" t="n"/>
    </row>
    <row r="35" ht="28" customHeight="1">
      <c r="A35" s="9" t="inlineStr">
        <is>
          <t>Structural</t>
        </is>
      </c>
      <c r="B35" s="88" t="inlineStr">
        <is>
          <t>Global uranium supply deficit from AI-driven electrification demand + a decade of underinvestment.</t>
        </is>
      </c>
      <c r="C35" s="11" t="n"/>
      <c r="D35" s="11" t="n"/>
      <c r="E35" s="11" t="n"/>
      <c r="F35" s="11" t="n"/>
    </row>
    <row r="37">
      <c r="A37" s="90" t="inlineStr">
        <is>
          <t>BULL CASE</t>
        </is>
      </c>
    </row>
    <row r="38" ht="26" customHeight="1">
      <c r="A38" s="91" t="inlineStr">
        <is>
          <t>✓  Purest upstream fuel-cycle exposure of the three; FY2025 net income +243% YoY shows real operating leverage emerging.</t>
        </is>
      </c>
    </row>
    <row r="39" ht="26" customHeight="1">
      <c r="A39" s="91" t="inlineStr">
        <is>
          <t>✓  Westinghouse stake is a legitimate, not-fully-priced-in embedded-value catalyst.</t>
        </is>
      </c>
    </row>
    <row r="41">
      <c r="A41" s="92" t="inlineStr">
        <is>
          <t>BEAR CASE / RISKS</t>
        </is>
      </c>
    </row>
    <row r="42" ht="26" customHeight="1">
      <c r="A42" s="93" t="inlineStr">
        <is>
          <t>⚠  Highest volatility of the three and a demanding valuation (147x+ TTM P/E) with little room for further misses.</t>
        </is>
      </c>
    </row>
    <row r="43" ht="26" customHeight="1">
      <c r="A43" s="93" t="inlineStr">
        <is>
          <t>⚠  Two of the last four quarters were significant EPS misses — a recurring pattern, not a one-off; next earnings date unconfirmed.</t>
        </is>
      </c>
    </row>
    <row r="45" ht="30" customHeight="1">
      <c r="A45" s="22" t="inlineStr">
        <is>
          <t>Sources: MarketChameleon, StockAnalysis.com, MarketBeat, Yahoo Finance — retrieved 2026-10-01.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17">
    <mergeCell ref="A24:F24"/>
    <mergeCell ref="A2:F2"/>
    <mergeCell ref="A38:F38"/>
    <mergeCell ref="A42:F42"/>
    <mergeCell ref="B34:F34"/>
    <mergeCell ref="B33:F33"/>
    <mergeCell ref="A1:F1"/>
    <mergeCell ref="A43:F43"/>
    <mergeCell ref="A45:F45"/>
    <mergeCell ref="A17:C17"/>
    <mergeCell ref="A31:F31"/>
    <mergeCell ref="B37:F37"/>
    <mergeCell ref="B32:F32"/>
    <mergeCell ref="A4:C4"/>
    <mergeCell ref="A39:F39"/>
    <mergeCell ref="B41:F41"/>
    <mergeCell ref="B35:F3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8" customWidth="1" min="3" max="3"/>
    <col width="14" customWidth="1" min="4" max="4"/>
    <col width="10" customWidth="1" min="5" max="5"/>
  </cols>
  <sheetData>
    <row r="1" ht="22" customHeight="1">
      <c r="A1" s="13" t="inlineStr">
        <is>
          <t>CONSOLIDATED CATALYST CALENDAR — Oct 2026 through Q1 2027</t>
        </is>
      </c>
    </row>
    <row r="2">
      <c r="A2" s="14" t="inlineStr">
        <is>
          <t>Date</t>
        </is>
      </c>
      <c r="B2" s="14" t="inlineStr">
        <is>
          <t>Ticker</t>
        </is>
      </c>
      <c r="C2" s="14" t="inlineStr">
        <is>
          <t>Event</t>
        </is>
      </c>
      <c r="D2" s="14" t="inlineStr">
        <is>
          <t>Type</t>
        </is>
      </c>
      <c r="E2" s="14" t="inlineStr">
        <is>
          <t>Confirmed?</t>
        </is>
      </c>
    </row>
    <row r="3" ht="30" customHeight="1">
      <c r="A3" s="94" t="inlineStr">
        <is>
          <t>2026-10-01</t>
        </is>
      </c>
      <c r="B3" s="95" t="inlineStr">
        <is>
          <t>ALL</t>
        </is>
      </c>
      <c r="C3" s="96" t="inlineStr">
        <is>
          <t>Report-date valuation snapshot; all fundamentals in this workbook as-of this date.</t>
        </is>
      </c>
      <c r="D3" s="97" t="inlineStr">
        <is>
          <t>Reference</t>
        </is>
      </c>
      <c r="E3" s="95" t="inlineStr">
        <is>
          <t>N/A</t>
        </is>
      </c>
    </row>
    <row r="4" ht="30" customHeight="1">
      <c r="A4" s="98" t="inlineStr">
        <is>
          <t>2026-10-30</t>
        </is>
      </c>
      <c r="B4" s="99" t="inlineStr">
        <is>
          <t>CCJ</t>
        </is>
      </c>
      <c r="C4" s="100" t="inlineStr">
        <is>
          <t>Q3 2026 earnings (estimated — not formally confirmed; alt. tracker estimate Nov 4).</t>
        </is>
      </c>
      <c r="D4" s="101" t="inlineStr">
        <is>
          <t>Earnings</t>
        </is>
      </c>
      <c r="E4" s="99" t="inlineStr">
        <is>
          <t>Estimated</t>
        </is>
      </c>
    </row>
    <row r="5" ht="30" customHeight="1">
      <c r="A5" s="94" t="inlineStr">
        <is>
          <t>2026-11-06</t>
        </is>
      </c>
      <c r="B5" s="95" t="inlineStr">
        <is>
          <t>VST</t>
        </is>
      </c>
      <c r="C5" s="96" t="inlineStr">
        <is>
          <t>Q3 2026 earnings. First full quarter with potential Cogentrix commentary.</t>
        </is>
      </c>
      <c r="D5" s="97" t="inlineStr">
        <is>
          <t>Earnings</t>
        </is>
      </c>
      <c r="E5" s="102" t="inlineStr">
        <is>
          <t>Confirmed</t>
        </is>
      </c>
    </row>
    <row r="6" ht="30" customHeight="1">
      <c r="A6" s="98" t="inlineStr">
        <is>
          <t>2026-11-09</t>
        </is>
      </c>
      <c r="B6" s="99" t="inlineStr">
        <is>
          <t>CEG</t>
        </is>
      </c>
      <c r="C6" s="100" t="inlineStr">
        <is>
          <t>Q3 2026 earnings. Consensus EPS $3.65–$3.67.</t>
        </is>
      </c>
      <c r="D6" s="101" t="inlineStr">
        <is>
          <t>Earnings</t>
        </is>
      </c>
      <c r="E6" s="99" t="inlineStr">
        <is>
          <t>Confirmed</t>
        </is>
      </c>
    </row>
    <row r="7" ht="30" customHeight="1">
      <c r="A7" s="94" t="inlineStr">
        <is>
          <t>2026 H2 (TBD)</t>
        </is>
      </c>
      <c r="B7" s="95" t="inlineStr">
        <is>
          <t>VST</t>
        </is>
      </c>
      <c r="C7" s="96" t="inlineStr">
        <is>
          <t>Cogentrix gas portfolio (5,500 MW) acquisition targeted to close.</t>
        </is>
      </c>
      <c r="D7" s="97" t="inlineStr">
        <is>
          <t>M&amp;A / Closing</t>
        </is>
      </c>
      <c r="E7" s="103" t="inlineStr">
        <is>
          <t>Pending</t>
        </is>
      </c>
    </row>
    <row r="8" ht="30" customHeight="1">
      <c r="A8" s="98" t="inlineStr">
        <is>
          <t>2026 (ongoing)</t>
        </is>
      </c>
      <c r="B8" s="99" t="inlineStr">
        <is>
          <t>CEG</t>
        </is>
      </c>
      <c r="C8" s="100" t="inlineStr">
        <is>
          <t>Crane Clean Energy Center restart progress (FERC/NRC approvals granted).</t>
        </is>
      </c>
      <c r="D8" s="101" t="inlineStr">
        <is>
          <t>Regulatory</t>
        </is>
      </c>
      <c r="E8" s="99" t="inlineStr">
        <is>
          <t>In progress</t>
        </is>
      </c>
    </row>
    <row r="9" ht="30" customHeight="1">
      <c r="A9" s="94" t="inlineStr">
        <is>
          <t>2026 (ongoing)</t>
        </is>
      </c>
      <c r="B9" s="95" t="inlineStr">
        <is>
          <t>CEG</t>
        </is>
      </c>
      <c r="C9" s="96" t="inlineStr">
        <is>
          <t>Calpine integration; Brazos Valley + 4.4GW PJM divestiture to LS Power.</t>
        </is>
      </c>
      <c r="D9" s="97" t="inlineStr">
        <is>
          <t>M&amp;A / Regulatory</t>
        </is>
      </c>
      <c r="E9" s="103" t="inlineStr">
        <is>
          <t>In progress</t>
        </is>
      </c>
    </row>
    <row r="10" ht="30" customHeight="1">
      <c r="A10" s="98" t="inlineStr">
        <is>
          <t>2026 (ongoing)</t>
        </is>
      </c>
      <c r="B10" s="99" t="inlineStr">
        <is>
          <t>CCJ</t>
        </is>
      </c>
      <c r="C10" s="100" t="inlineStr">
        <is>
          <t>Westinghouse IPO speculation — potential embedded-value unlock.</t>
        </is>
      </c>
      <c r="D10" s="101" t="inlineStr">
        <is>
          <t>Corporate action</t>
        </is>
      </c>
      <c r="E10" s="99" t="inlineStr">
        <is>
          <t>Speculative</t>
        </is>
      </c>
    </row>
    <row r="11" ht="30" customHeight="1">
      <c r="A11" s="94" t="inlineStr">
        <is>
          <t>2026 (ongoing)</t>
        </is>
      </c>
      <c r="B11" s="95" t="inlineStr">
        <is>
          <t>ALL</t>
        </is>
      </c>
      <c r="C11" s="96" t="inlineStr">
        <is>
          <t>PJM/ERCOT affordability intervention risk — VST most exposed, CEG moderate, CCJ least.</t>
        </is>
      </c>
      <c r="D11" s="97" t="inlineStr">
        <is>
          <t>Regulatory risk</t>
        </is>
      </c>
      <c r="E11" s="103" t="inlineStr">
        <is>
          <t>Monitoring</t>
        </is>
      </c>
    </row>
    <row r="12" ht="30" customHeight="1">
      <c r="A12" s="98" t="inlineStr">
        <is>
          <t>2026 (ongoing)</t>
        </is>
      </c>
      <c r="B12" s="99" t="inlineStr">
        <is>
          <t>CCJ</t>
        </is>
      </c>
      <c r="C12" s="100" t="inlineStr">
        <is>
          <t>Global uranium structural deficit narrative vs. supply growth.</t>
        </is>
      </c>
      <c r="D12" s="101" t="inlineStr">
        <is>
          <t>Macro / Structural</t>
        </is>
      </c>
      <c r="E12" s="99" t="inlineStr">
        <is>
          <t>Ongoing</t>
        </is>
      </c>
    </row>
    <row r="13" ht="30" customHeight="1">
      <c r="A13" s="94" t="inlineStr">
        <is>
          <t>2027 Q1 (est.)</t>
        </is>
      </c>
      <c r="B13" s="95" t="inlineStr">
        <is>
          <t>ALL</t>
        </is>
      </c>
      <c r="C13" s="96" t="inlineStr">
        <is>
          <t>Q4 2026 earnings across all three — first full read on FY2026 guidance delivery and FY2027 initial guides.</t>
        </is>
      </c>
      <c r="D13" s="97" t="inlineStr">
        <is>
          <t>Earnings</t>
        </is>
      </c>
      <c r="E13" s="103" t="inlineStr">
        <is>
          <t>Estimated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4" customWidth="1" min="5" max="5"/>
    <col width="30" customWidth="1" min="6" max="6"/>
  </cols>
  <sheetData>
    <row r="1" ht="22" customHeight="1">
      <c r="A1" s="13" t="inlineStr">
        <is>
          <t>PORTFOLIO RECOMMENDATION — Optimizer &amp; Simulation-Informed</t>
        </is>
      </c>
    </row>
    <row r="3">
      <c r="A3" s="7" t="inlineStr">
        <is>
          <t>RISK / REWARD SNAPSHOT (live-linked to Returns &amp; Risk)</t>
        </is>
      </c>
    </row>
    <row r="4">
      <c r="A4" s="41" t="inlineStr">
        <is>
          <t>Metric</t>
        </is>
      </c>
      <c r="B4" s="42" t="inlineStr">
        <is>
          <t>CEG</t>
        </is>
      </c>
      <c r="C4" s="42" t="inlineStr">
        <is>
          <t>VST</t>
        </is>
      </c>
      <c r="D4" s="42" t="inlineStr">
        <is>
          <t>CCJ</t>
        </is>
      </c>
    </row>
    <row r="5">
      <c r="A5" s="10" t="inlineStr">
        <is>
          <t>Annualized return</t>
        </is>
      </c>
      <c r="B5" s="47">
        <f>'Returns &amp; Risk'!B55</f>
        <v/>
      </c>
      <c r="C5" s="47">
        <f>'Returns &amp; Risk'!C55</f>
        <v/>
      </c>
      <c r="D5" s="47">
        <f>'Returns &amp; Risk'!D55</f>
        <v/>
      </c>
    </row>
    <row r="6">
      <c r="A6" s="15" t="inlineStr">
        <is>
          <t>Annualized volatility</t>
        </is>
      </c>
      <c r="B6" s="48">
        <f>'Returns &amp; Risk'!B56</f>
        <v/>
      </c>
      <c r="C6" s="48">
        <f>'Returns &amp; Risk'!C56</f>
        <v/>
      </c>
      <c r="D6" s="48">
        <f>'Returns &amp; Risk'!D56</f>
        <v/>
      </c>
    </row>
    <row r="7">
      <c r="A7" s="10" t="inlineStr">
        <is>
          <t>Sharpe ratio</t>
        </is>
      </c>
      <c r="B7" s="50">
        <f>'Returns &amp; Risk'!B64</f>
        <v/>
      </c>
      <c r="C7" s="50">
        <f>'Returns &amp; Risk'!C64</f>
        <v/>
      </c>
      <c r="D7" s="50">
        <f>'Returns &amp; Risk'!D64</f>
        <v/>
      </c>
    </row>
    <row r="8">
      <c r="A8" s="15" t="inlineStr">
        <is>
          <t>Sortino ratio</t>
        </is>
      </c>
      <c r="B8" s="49">
        <f>'Returns &amp; Risk'!B63</f>
        <v/>
      </c>
      <c r="C8" s="49">
        <f>'Returns &amp; Risk'!C63</f>
        <v/>
      </c>
      <c r="D8" s="49">
        <f>'Returns &amp; Risk'!D63</f>
        <v/>
      </c>
    </row>
    <row r="9">
      <c r="A9" s="10" t="inlineStr">
        <is>
          <t>Max drawdown (real)</t>
        </is>
      </c>
      <c r="B9" s="47">
        <f>'Returns &amp; Risk'!B57</f>
        <v/>
      </c>
      <c r="C9" s="47">
        <f>'Returns &amp; Risk'!C57</f>
        <v/>
      </c>
      <c r="D9" s="47">
        <f>'Returns &amp; Risk'!D57</f>
        <v/>
      </c>
    </row>
    <row r="10">
      <c r="A10" s="15" t="inlineStr">
        <is>
          <t>Historical VaR 95% (monthly)</t>
        </is>
      </c>
      <c r="B10" s="46">
        <f>'Returns &amp; Risk'!B60</f>
        <v/>
      </c>
      <c r="C10" s="46">
        <f>'Returns &amp; Risk'!C60</f>
        <v/>
      </c>
      <c r="D10" s="46">
        <f>'Returns &amp; Risk'!D60</f>
        <v/>
      </c>
    </row>
    <row r="11">
      <c r="A11" s="10" t="inlineStr">
        <is>
          <t>Historical CVaR 95% (monthly)</t>
        </is>
      </c>
      <c r="B11" s="45">
        <f>'Returns &amp; Risk'!B62</f>
        <v/>
      </c>
      <c r="C11" s="45">
        <f>'Returns &amp; Risk'!C62</f>
        <v/>
      </c>
      <c r="D11" s="45">
        <f>'Returns &amp; Risk'!D62</f>
        <v/>
      </c>
    </row>
    <row r="13">
      <c r="A13" s="7" t="inlineStr">
        <is>
          <t>OPTIMIZER OUTPUT (live-linked to Portfolio Optimization)</t>
        </is>
      </c>
    </row>
    <row r="14">
      <c r="A14" s="41" t="inlineStr">
        <is>
          <t>Portfolio</t>
        </is>
      </c>
      <c r="B14" s="42" t="inlineStr">
        <is>
          <t>w(CEG)</t>
        </is>
      </c>
      <c r="C14" s="42" t="inlineStr">
        <is>
          <t>w(VST)</t>
        </is>
      </c>
      <c r="D14" s="42" t="inlineStr">
        <is>
          <t>w(CCJ)</t>
        </is>
      </c>
    </row>
    <row r="15">
      <c r="A15" s="9" t="inlineStr">
        <is>
          <t>Max-Sharpe (optimizer)</t>
        </is>
      </c>
      <c r="B15" s="104">
        <f>'Portfolio Optimization'!B86</f>
        <v/>
      </c>
      <c r="C15" s="104">
        <f>'Portfolio Optimization'!C86</f>
        <v/>
      </c>
      <c r="D15" s="104">
        <f>'Portfolio Optimization'!D86</f>
        <v/>
      </c>
    </row>
    <row r="16">
      <c r="A16" s="53" t="inlineStr">
        <is>
          <t>Min-Volatility (optimizer)</t>
        </is>
      </c>
      <c r="B16" s="105">
        <f>'Portfolio Optimization'!B87</f>
        <v/>
      </c>
      <c r="C16" s="105">
        <f>'Portfolio Optimization'!C87</f>
        <v/>
      </c>
      <c r="D16" s="105">
        <f>'Portfolio Optimization'!D87</f>
        <v/>
      </c>
    </row>
    <row r="17">
      <c r="A17" s="9" t="inlineStr">
        <is>
          <t>Research Recommendation</t>
        </is>
      </c>
      <c r="B17" s="104">
        <f>'Portfolio Optimization'!A82</f>
        <v/>
      </c>
      <c r="C17" s="104">
        <f>'Portfolio Optimization'!B82</f>
        <v/>
      </c>
      <c r="D17" s="104">
        <f>'Portfolio Optimization'!C82</f>
        <v/>
      </c>
    </row>
    <row r="19">
      <c r="A19" s="12" t="inlineStr">
        <is>
          <t>Why we don't just take the optimizer's weights: mean-variance optimization on a 20-observation sample is notoriously unstable — it tends to pile weight into whichever asset happened to have the best trailing Sharpe, which is as much noise as signal at this sample size. The Research Recommendation (40/35/25) deliberately keeps CCJ's weight below both the optimizer's and an equal-weight split, specifically because its earnings unpredictability and valuation are a real, separate risk the optimizer's covariance matrix does not capture. Compare all three rows above before sizing a real position.</t>
        </is>
      </c>
    </row>
    <row r="20"/>
    <row r="21"/>
    <row r="22"/>
    <row r="24">
      <c r="A24" s="7" t="inlineStr">
        <is>
          <t>12-MONTH SCENARIO FRAMING (from Monte Carlo simulation, Research Reco weights)</t>
        </is>
      </c>
    </row>
    <row r="25">
      <c r="A25" s="106" t="inlineStr">
        <is>
          <t>Scenario</t>
        </is>
      </c>
      <c r="B25" s="63" t="inlineStr">
        <is>
          <t>Simulated 12-mo return</t>
        </is>
      </c>
    </row>
    <row r="26">
      <c r="A26" s="10" t="inlineStr">
        <is>
          <t>Bear (5th percentile)</t>
        </is>
      </c>
      <c r="B26" s="107" t="n">
        <v>-0.4609330512570471</v>
      </c>
    </row>
    <row r="27">
      <c r="A27" s="10" t="inlineStr">
        <is>
          <t>Below-average (25th pct.)</t>
        </is>
      </c>
      <c r="B27" s="107" t="n">
        <v>-0.2007274324462895</v>
      </c>
    </row>
    <row r="28">
      <c r="A28" s="10" t="inlineStr">
        <is>
          <t>Base / median (50th pct.)</t>
        </is>
      </c>
      <c r="B28" s="108" t="n">
        <v>0.05921796660845458</v>
      </c>
    </row>
    <row r="29">
      <c r="A29" s="10" t="inlineStr">
        <is>
          <t>Above-average (75th pct.)</t>
        </is>
      </c>
      <c r="B29" s="109" t="n">
        <v>0.3884300575327782</v>
      </c>
    </row>
    <row r="30">
      <c r="A30" s="10" t="inlineStr">
        <is>
          <t>Bull (95th percentile)</t>
        </is>
      </c>
      <c r="B30" s="109" t="n">
        <v>1.033269882471074</v>
      </c>
    </row>
    <row r="32" ht="48" customHeight="1">
      <c r="A32" s="110" t="inlineStr">
        <is>
          <t>Distribution-level risk: P(loss) = 44.3% over 12 months; P(loss &gt; 10%) = 34.8%; simulated 95% VaR = -46.1%, 95% CVaR = -54.3% — i.e., in the worst 5% of simulated outcomes, the average loss is roughly -54%. This is the honest tail-risk picture that a single 'bear case' price target does not convey.</t>
        </is>
      </c>
    </row>
    <row r="35">
      <c r="A35" s="65" t="inlineStr">
        <is>
          <t>BOTTOM LINE</t>
        </is>
      </c>
    </row>
    <row r="36">
      <c r="A36" s="111" t="inlineStr">
        <is>
          <t>All three names screen Buy-rated with meaningful upside to analyst targets after a broad 2025/2026 sector de-rating. Benchmarked against XLE, CEG and VST's betas and information ratios (Benchmark &amp; Factors tab) show how much of their recent weakness is sector-wide vs. idiosyncratic; the factor table shows real, if imprecise, sensitivity to oil, gas, uranium and rates. The optimizer confirms a barbell shape is reasonable but, on this short sample, would overweight whichever name had the best trailing luck — a classic mean-variance pitfall — which is why the Research Recommendation deliberately underweights the optimizer's top pick relative to its covariance-implied weight. The Monte Carlo simulation replaces a single eyeballed bear/base/bull price with an actual distribution: a ~44% chance of loss over 12 months and a 95% CVaR near -54% at these weights is a real, quantified tail risk, not a footnote. This is a research framework for further diligence, not a trade instruction; position sizing, entry timing, and risk limits should be set per the investor's own mandate and verified against live market data.</t>
        </is>
      </c>
    </row>
    <row r="37"/>
    <row r="38"/>
    <row r="39"/>
    <row r="40"/>
    <row r="41"/>
    <row r="43" ht="48" customHeight="1">
      <c r="A43" s="22" t="inlineStr">
        <is>
          <t>DISCLAIMER: All scenario ranges, optimizer output, and Monte Carlo statistics are illustrative, author-generated analysis for portfolio-construction discussion only — not price targets, recommendations, or investment advice. This is not a research report of a registered broker-dealer or investment adviser. See the Cover tab for full methodology and limitations. Consult a licensed financial advisor and verify all data independently before making any investment decision.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B1FA"/>
  <mergeCells count="9">
    <mergeCell ref="A1:D1"/>
    <mergeCell ref="A35:D35"/>
    <mergeCell ref="A3:D3"/>
    <mergeCell ref="A36:D41"/>
    <mergeCell ref="A43:D43"/>
    <mergeCell ref="A24:D24"/>
    <mergeCell ref="A32:D32"/>
    <mergeCell ref="A13:D13"/>
    <mergeCell ref="A19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2026-10-22T19:25:44Z</dcterms:created>
  <dcterms:modified xmlns:dcterms="http://purl.org/dc/terms/" xmlns:xsi="http://www.w3.org/2001/XMLSchema-instance" xsi:type="dcterms:W3CDTF">2026-10-22T19:25:44Z</dcterms:modified>
</cp:coreProperties>
</file>