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pyisotopomer_examples/"/>
    </mc:Choice>
  </mc:AlternateContent>
  <xr:revisionPtr revIDLastSave="0" documentId="13_ncr:1_{41518C93-58AF-D648-99DC-20C256437315}" xr6:coauthVersionLast="47" xr6:coauthVersionMax="47" xr10:uidLastSave="{00000000-0000-0000-0000-000000000000}"/>
  <bookViews>
    <workbookView xWindow="12960" yWindow="500" windowWidth="15840" windowHeight="15880" activeTab="1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0" i="3" l="1"/>
  <c r="U10" i="3"/>
  <c r="T10" i="3"/>
  <c r="S10" i="3"/>
  <c r="R10" i="3"/>
  <c r="X10" i="3" s="1"/>
  <c r="Q10" i="3"/>
  <c r="W10" i="3" s="1"/>
  <c r="P10" i="3"/>
  <c r="I10" i="3"/>
  <c r="J10" i="3" s="1"/>
  <c r="H10" i="3"/>
  <c r="G10" i="3"/>
  <c r="F10" i="3"/>
  <c r="D10" i="3"/>
  <c r="M4" i="3"/>
  <c r="Q4" i="3"/>
  <c r="W4" i="3"/>
  <c r="M5" i="3"/>
  <c r="Q5" i="3"/>
  <c r="W5" i="3"/>
  <c r="Q7" i="3"/>
  <c r="W7" i="3"/>
  <c r="Q8" i="3"/>
  <c r="W8" i="3"/>
  <c r="Q12" i="3"/>
  <c r="W12" i="3"/>
  <c r="Q13" i="3"/>
  <c r="W13" i="3"/>
  <c r="Q16" i="3"/>
  <c r="W16" i="3"/>
  <c r="N4" i="3"/>
  <c r="R4" i="3"/>
  <c r="X4" i="3"/>
  <c r="N5" i="3"/>
  <c r="R5" i="3"/>
  <c r="X5" i="3"/>
  <c r="R7" i="3"/>
  <c r="X7" i="3"/>
  <c r="R8" i="3"/>
  <c r="X8" i="3"/>
  <c r="R12" i="3"/>
  <c r="X12" i="3"/>
  <c r="R13" i="3"/>
  <c r="X13" i="3"/>
  <c r="R16" i="3"/>
  <c r="X16" i="3"/>
  <c r="N6" i="3"/>
  <c r="N7" i="3"/>
  <c r="N8" i="3"/>
  <c r="N9" i="3"/>
  <c r="M6" i="3"/>
  <c r="M7" i="3"/>
  <c r="M8" i="3"/>
  <c r="M9" i="3"/>
  <c r="AL3" i="2"/>
  <c r="S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O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J3" i="3" s="1"/>
  <c r="U3" i="3"/>
  <c r="T3" i="3"/>
  <c r="V3" i="3"/>
  <c r="G4" i="3"/>
  <c r="H4" i="3"/>
  <c r="I4" i="3"/>
  <c r="J4" i="3"/>
  <c r="K4" i="3"/>
  <c r="L4" i="3"/>
  <c r="S4" i="3"/>
  <c r="U4" i="3"/>
  <c r="T4" i="3"/>
  <c r="V4" i="3"/>
  <c r="G5" i="3"/>
  <c r="H5" i="3"/>
  <c r="I5" i="3"/>
  <c r="J5" i="3"/>
  <c r="K5" i="3"/>
  <c r="L5" i="3"/>
  <c r="S5" i="3"/>
  <c r="U5" i="3"/>
  <c r="T5" i="3"/>
  <c r="V5" i="3"/>
  <c r="S6" i="3"/>
  <c r="U6" i="3"/>
  <c r="T6" i="3"/>
  <c r="V6" i="3"/>
  <c r="S7" i="3"/>
  <c r="U7" i="3"/>
  <c r="T7" i="3"/>
  <c r="V7" i="3"/>
  <c r="S8" i="3"/>
  <c r="U8" i="3"/>
  <c r="T8" i="3"/>
  <c r="V8" i="3"/>
  <c r="S9" i="3"/>
  <c r="U9" i="3"/>
  <c r="T9" i="3"/>
  <c r="V9" i="3"/>
  <c r="S11" i="3"/>
  <c r="U11" i="3"/>
  <c r="T11" i="3"/>
  <c r="V11" i="3"/>
  <c r="S12" i="3"/>
  <c r="U12" i="3"/>
  <c r="T12" i="3"/>
  <c r="V12" i="3"/>
  <c r="S13" i="3"/>
  <c r="U13" i="3"/>
  <c r="T13" i="3"/>
  <c r="V13" i="3"/>
  <c r="S14" i="3"/>
  <c r="U14" i="3"/>
  <c r="T14" i="3"/>
  <c r="V14" i="3"/>
  <c r="S15" i="3"/>
  <c r="U15" i="3"/>
  <c r="T15" i="3"/>
  <c r="V15" i="3"/>
  <c r="S16" i="3"/>
  <c r="U16" i="3"/>
  <c r="T16" i="3"/>
  <c r="V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L3" i="3" l="1"/>
  <c r="N3" i="3" s="1"/>
  <c r="R9" i="3"/>
  <c r="X9" i="3" s="1"/>
  <c r="R14" i="3"/>
  <c r="X14" i="3" s="1"/>
  <c r="R3" i="3"/>
  <c r="X3" i="3" s="1"/>
  <c r="Z4" i="3" s="1"/>
  <c r="Y12" i="2" s="1"/>
  <c r="R6" i="3"/>
  <c r="X6" i="3" s="1"/>
  <c r="R11" i="3"/>
  <c r="X11" i="3" s="1"/>
  <c r="R15" i="3"/>
  <c r="X15" i="3" s="1"/>
  <c r="K3" i="3"/>
  <c r="M3" i="3" s="1"/>
  <c r="K10" i="3"/>
  <c r="M10" i="3" s="1"/>
  <c r="L10" i="3"/>
  <c r="N10" i="3" s="1"/>
  <c r="Z3" i="3" l="1"/>
  <c r="Y11" i="2" s="1"/>
  <c r="AJ4" i="2" s="1"/>
  <c r="AN4" i="2" s="1"/>
  <c r="Q3" i="3"/>
  <c r="W3" i="3" s="1"/>
  <c r="Q6" i="3"/>
  <c r="W6" i="3" s="1"/>
  <c r="Q11" i="3"/>
  <c r="W11" i="3" s="1"/>
  <c r="Q15" i="3"/>
  <c r="W15" i="3" s="1"/>
  <c r="Q9" i="3"/>
  <c r="W9" i="3" s="1"/>
  <c r="Q14" i="3"/>
  <c r="W14" i="3" s="1"/>
  <c r="AJ6" i="2" l="1"/>
  <c r="AN6" i="2" s="1"/>
  <c r="AJ8" i="2"/>
  <c r="AN8" i="2" s="1"/>
  <c r="AJ10" i="2"/>
  <c r="AN10" i="2" s="1"/>
  <c r="AJ11" i="2"/>
  <c r="AN11" i="2" s="1"/>
  <c r="AJ12" i="2"/>
  <c r="AN12" i="2" s="1"/>
  <c r="AJ13" i="2"/>
  <c r="AN13" i="2" s="1"/>
  <c r="AJ16" i="2"/>
  <c r="AN16" i="2" s="1"/>
  <c r="AJ5" i="2"/>
  <c r="AN5" i="2" s="1"/>
  <c r="AJ7" i="2"/>
  <c r="AN7" i="2" s="1"/>
  <c r="AJ9" i="2"/>
  <c r="AN9" i="2" s="1"/>
  <c r="AJ14" i="2"/>
  <c r="AN14" i="2" s="1"/>
  <c r="AJ15" i="2"/>
  <c r="AN15" i="2" s="1"/>
  <c r="AJ17" i="2"/>
  <c r="AN17" i="2" s="1"/>
  <c r="AJ3" i="2"/>
  <c r="AN3" i="2" s="1"/>
  <c r="Y4" i="3"/>
  <c r="X12" i="2" s="1"/>
  <c r="Y3" i="3"/>
  <c r="X11" i="2" s="1"/>
  <c r="AI7" i="2" l="1"/>
  <c r="AM7" i="2" s="1"/>
  <c r="AI8" i="2"/>
  <c r="AM8" i="2" s="1"/>
  <c r="AI5" i="2"/>
  <c r="AM5" i="2" s="1"/>
  <c r="AI14" i="2"/>
  <c r="AM14" i="2" s="1"/>
  <c r="AI16" i="2"/>
  <c r="AM16" i="2" s="1"/>
  <c r="AI10" i="2"/>
  <c r="AM10" i="2" s="1"/>
  <c r="AI12" i="2"/>
  <c r="AM12" i="2" s="1"/>
  <c r="AI17" i="2"/>
  <c r="AM17" i="2" s="1"/>
  <c r="AI3" i="2"/>
  <c r="AM3" i="2" s="1"/>
  <c r="AI9" i="2"/>
  <c r="AM9" i="2" s="1"/>
  <c r="AI4" i="2"/>
  <c r="AM4" i="2" s="1"/>
  <c r="AI13" i="2"/>
  <c r="AM13" i="2" s="1"/>
  <c r="AI11" i="2"/>
  <c r="AM11" i="2" s="1"/>
  <c r="AI15" i="2"/>
  <c r="AM15" i="2" s="1"/>
  <c r="AI6" i="2"/>
  <c r="AM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<sst xmlns="http://schemas.openxmlformats.org/spreadsheetml/2006/main" count="232" uniqueCount="185">
  <si>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</si>
  <si>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</si>
  <si>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</si>
  <si>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</si>
  <si>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</si>
  <si>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</si>
  <si>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</si>
  <si>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</si>
  <si>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</si>
  <si>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</si>
  <si>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</si>
  <si>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</si>
  <si>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</si>
  <si>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</si>
  <si>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</si>
  <si>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</si>
  <si>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</si>
  <si>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</si>
  <si>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</si>
  <si>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</si>
  <si>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</si>
  <si>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</si>
  <si>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</si>
  <si>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</si>
  <si>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</si>
  <si>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</si>
  <si>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</si>
  <si>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</si>
  <si>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</si>
  <si>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</si>
  <si>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</si>
  <si>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</si>
  <si>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</si>
  <si>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</si>
  <si>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</si>
  <si>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</si>
  <si>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</si>
  <si>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</si>
  <si>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</si>
  <si>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</si>
  <si>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</si>
  <si>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</si>
  <si>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</si>
  <si>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</si>
  <si>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</si>
  <si>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</si>
  <si>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</si>
  <si>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</si>
  <si>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</si>
  <si>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</si>
  <si>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</si>
  <si>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</si>
  <si>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</si>
  <si>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</si>
  <si>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</si>
  <si>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</si>
  <si>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</si>
  <si>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</si>
  <si>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</si>
  <si>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</si>
  <si>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</si>
  <si>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</si>
  <si>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</si>
  <si>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</si>
  <si>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</si>
  <si>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</si>
  <si>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</si>
  <si>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</si>
  <si>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</si>
  <si>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</si>
  <si>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</si>
  <si>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</si>
  <si>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</si>
  <si>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</si>
  <si>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</si>
  <si>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</si>
  <si>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</si>
  <si>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</si>
  <si>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</si>
  <si>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</si>
  <si>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</si>
  <si>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</si>
  <si>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</si>
  <si>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</si>
  <si>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</si>
  <si>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</si>
  <si>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</si>
  <si>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</si>
  <si>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</si>
  <si>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</si>
  <si>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</si>
  <si>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</si>
  <si>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</si>
  <si>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</si>
  <si>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</si>
  <si>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</si>
  <si>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</si>
  <si>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</si>
  <si>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</si>
  <si>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</si>
  <si>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</si>
  <si>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</si>
  <si>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</si>
  <si>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</si>
  <si>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</si>
  <si>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</si>
  <si>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</si>
  <si>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</si>
  <si>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</si>
  <si>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</si>
  <si>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</si>
  <si>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</si>
  <si>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</si>
  <si>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</si>
  <si>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</si>
  <si>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</si>
  <si>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</si>
  <si>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</si>
  <si>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</si>
  <si>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</si>
  <si>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</si>
  <si>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</si>
  <si>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</si>
  <si>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</si>
  <si>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</si>
  <si>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</si>
  <si>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</si>
  <si>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</si>
  <si>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</si>
  <si>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</si>
  <si>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</si>
  <si>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</si>
  <si>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</si>
  <si>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</si>
  <si>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</si>
  <si>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</si>
  <si>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</si>
  <si>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</si>
  <si>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</si>
  <si>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</si>
  <si>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</si>
  <si>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</si>
  <si>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</si>
  <si>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</si>
  <si>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</si>
  <si>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</si>
  <si>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</si>
  <si>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</si>
  <si>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</si>
  <si>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</si>
  <si>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</si>
  <si>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</si>
  <si>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</si>
  <si>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</si>
  <si>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</si>
  <si>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</si>
  <si>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</si>
  <si>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</si>
  <si>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</si>
  <si>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</si>
  <si>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</si>
  <si>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</si>
  <si>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</si>
  <si>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</si>
  <si>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</si>
  <si>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</si>
  <si>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</si>
  <si>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</si>
  <si>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</si>
  <si>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</si>
  <si>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</si>
  <si>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</si>
  <si>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</si>
  <si>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</si>
  <si>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</si>
  <si>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</si>
  <si>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</si>
  <si>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</si>
  <si>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</si>
  <si>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</si>
  <si>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</si>
  <si>
    <t>𝜆</t>
  </si>
  <si>
    <t>intercept</t>
  </si>
  <si>
    <t>SCALE NORMALIZATION FACTORS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</si>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</sst>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F3F76"/>
      <name val="Calibri"/>
      <family val="2"/>
    </font>
    <font>
      <b/>
      <sz val="12"/>
      <color rgb="FFFA7D00"/>
      <name val="Calibri"/>
      <family val="2"/>
    </font>
    <font>
      <sz val="12"/>
      <color rgb="FF3F3F76"/>
      <name val="Calibri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2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  <xf numFmtId="0" fontId="0" fillId="3" borderId="0" xfId="0" applyFill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0" fillId="0" borderId="6" xfId="0" applyBorder="1"/>
    <xf numFmtId="0" fontId="0" fillId="0" borderId="7" xfId="0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  <xf numFmtId="2" fontId="25" fillId="16" borderId="18" xfId="0" applyNumberFormat="1" applyFont="1" applyFill="1" applyBorder="1"/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6.359336297563082E-3</c:v>
                </c:pt>
                <c:pt idx="1">
                  <c:v>-3.7106403264234645E-3</c:v>
                </c:pt>
                <c:pt idx="2">
                  <c:v>-2.601213530620943E-4</c:v>
                </c:pt>
                <c:pt idx="3">
                  <c:v>6.359336297563082E-3</c:v>
                </c:pt>
                <c:pt idx="4">
                  <c:v>-3.7106403264234645E-3</c:v>
                </c:pt>
                <c:pt idx="5">
                  <c:v>-2.601213530620943E-4</c:v>
                </c:pt>
                <c:pt idx="6">
                  <c:v>6.359336297563082E-3</c:v>
                </c:pt>
                <c:pt idx="7">
                  <c:v>-3.7106403264234645E-3</c:v>
                </c:pt>
                <c:pt idx="8">
                  <c:v>6.359336297563082E-3</c:v>
                </c:pt>
                <c:pt idx="9">
                  <c:v>-3.7106403264234645E-3</c:v>
                </c:pt>
                <c:pt idx="10">
                  <c:v>-2.601213530620943E-4</c:v>
                </c:pt>
                <c:pt idx="11">
                  <c:v>6.359336297563082E-3</c:v>
                </c:pt>
                <c:pt idx="12">
                  <c:v>6.359336297563082E-3</c:v>
                </c:pt>
                <c:pt idx="13">
                  <c:v>-3.7106403264234645E-3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4.5143018361687463E-3</c:v>
                </c:pt>
                <c:pt idx="1">
                  <c:v>-6.7895195007912175E-3</c:v>
                </c:pt>
                <c:pt idx="2">
                  <c:v>2.0837317813529109E-3</c:v>
                </c:pt>
                <c:pt idx="3">
                  <c:v>4.5143018361687463E-3</c:v>
                </c:pt>
                <c:pt idx="4">
                  <c:v>-6.7895195007912175E-3</c:v>
                </c:pt>
                <c:pt idx="5">
                  <c:v>2.0837317813529109E-3</c:v>
                </c:pt>
                <c:pt idx="6">
                  <c:v>4.5143018361687463E-3</c:v>
                </c:pt>
                <c:pt idx="7">
                  <c:v>-6.7895195007912175E-3</c:v>
                </c:pt>
                <c:pt idx="8">
                  <c:v>4.5143018361687463E-3</c:v>
                </c:pt>
                <c:pt idx="9">
                  <c:v>-6.7895195007912175E-3</c:v>
                </c:pt>
                <c:pt idx="10">
                  <c:v>2.0837317813529109E-3</c:v>
                </c:pt>
                <c:pt idx="11">
                  <c:v>4.5143018361687463E-3</c:v>
                </c:pt>
                <c:pt idx="12">
                  <c:v>4.5143018361687463E-3</c:v>
                </c:pt>
                <c:pt idx="13">
                  <c:v>-6.7895195007912175E-3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opLeftCell="O1" workbookViewId="0">
      <selection activeCell="W3" sqref="W3:Y3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54" customWidth="1"/>
    <col min="43" max="43" width="10.1640625" customWidth="1"/>
    <col min="44" max="44" width="15.6640625" customWidth="1"/>
    <col min="45" max="45" width="14.33203125" customWidth="1"/>
    <col min="46" max="48" width="10.83203125" style="43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63" t="s">
        <v>96</v>
      </c>
      <c r="X1" s="2"/>
      <c r="Y1" s="3"/>
      <c r="AA1" s="4"/>
      <c r="AB1" s="5"/>
      <c r="AE1" s="6" t="s">
        <v>0</v>
      </c>
      <c r="AF1" s="7"/>
      <c r="AG1" s="7"/>
      <c r="AI1" s="65" t="s">
        <v>120</v>
      </c>
      <c r="AJ1" s="66"/>
      <c r="AL1" s="44" t="s">
        <v>178</v>
      </c>
      <c r="AM1" s="44"/>
      <c r="AN1" s="44"/>
      <c r="AO1" s="44"/>
      <c r="AP1" s="51"/>
      <c r="AQ1" s="44"/>
      <c r="AT1" s="113" t="s">
        <v>180</v>
      </c>
      <c r="AU1" s="113"/>
      <c r="AV1" s="113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94" t="s">
        <v>161</v>
      </c>
      <c r="BF1" s="94"/>
      <c r="BG1" s="94"/>
      <c r="BH1" s="94"/>
      <c r="BI1" s="95"/>
      <c r="BJ1" s="96"/>
      <c r="BK1" s="96"/>
      <c r="BL1" s="96"/>
      <c r="BM1" s="96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67" t="s">
        <v>118</v>
      </c>
      <c r="AJ2" s="67" t="s">
        <v>119</v>
      </c>
      <c r="AK2" s="23"/>
      <c r="AL2" s="48" t="s">
        <v>28</v>
      </c>
      <c r="AM2" s="45" t="s">
        <v>29</v>
      </c>
      <c r="AN2" s="45" t="s">
        <v>30</v>
      </c>
      <c r="AO2" s="45" t="s">
        <v>179</v>
      </c>
      <c r="AP2" s="52" t="s">
        <v>94</v>
      </c>
      <c r="AQ2" s="46" t="s">
        <v>95</v>
      </c>
      <c r="AR2" s="42" t="s">
        <v>74</v>
      </c>
      <c r="AS2" s="1" t="s">
        <v>73</v>
      </c>
      <c r="AT2" s="114" t="s">
        <v>33</v>
      </c>
      <c r="AU2" s="115" t="s">
        <v>47</v>
      </c>
      <c r="AV2" s="116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E2" s="97" t="s">
        <v>162</v>
      </c>
      <c r="BF2" s="97" t="s">
        <v>163</v>
      </c>
      <c r="BG2" s="97" t="s">
        <v>164</v>
      </c>
      <c r="BH2" s="97" t="s">
        <v>165</v>
      </c>
      <c r="BI2" s="98" t="s">
        <v>166</v>
      </c>
      <c r="BJ2" s="99" t="s">
        <v>167</v>
      </c>
      <c r="BK2" s="100" t="s">
        <v>168</v>
      </c>
      <c r="BL2" s="99" t="s">
        <v>169</v>
      </c>
      <c r="BM2" s="101" t="s">
        <v>168</v>
      </c>
    </row>
    <row r="3" spans="1:65" ht="17" thickBot="1">
      <c r="A3">
        <v>201204</v>
      </c>
      <c r="B3" t="str">
        <f>scale_normalization!A3</f>
        <v>ATM</v>
      </c>
      <c r="C3" s="41">
        <v>2</v>
      </c>
      <c r="D3" s="41" t="s">
        <v>40</v>
      </c>
      <c r="E3" s="41">
        <v>0</v>
      </c>
      <c r="F3" s="41">
        <v>5.4059999999999997</v>
      </c>
      <c r="G3" s="41">
        <v>46.78</v>
      </c>
      <c r="H3" s="41">
        <v>3.4780000000000002</v>
      </c>
      <c r="I3" s="41">
        <v>4.7690000000000001</v>
      </c>
      <c r="J3" s="41">
        <v>4.95</v>
      </c>
      <c r="K3" s="41">
        <v>2.1</v>
      </c>
      <c r="L3" s="41">
        <v>1547.6</v>
      </c>
      <c r="M3" s="41" t="s">
        <v>50</v>
      </c>
      <c r="N3" s="41">
        <v>44169.764756944445</v>
      </c>
      <c r="O3" s="41">
        <v>0.76603699999999997</v>
      </c>
      <c r="P3" s="41">
        <v>0.74141800000000002</v>
      </c>
      <c r="Q3" s="41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3.7337628256705483E-3</v>
      </c>
      <c r="X3" s="26">
        <v>7.7410249496226323E-3</v>
      </c>
      <c r="Y3" s="27">
        <v>2.1012952215756163E-3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68">
        <f>AF3^$X$11*EXP(X$12)</f>
        <v>1.0058729966944395</v>
      </c>
      <c r="AJ3" s="68">
        <f>AG3^$Y$11*EXP(Y$12)</f>
        <v>1.0044845842983396</v>
      </c>
      <c r="AK3" s="32"/>
      <c r="AL3" s="33">
        <f>AE3*$W$3</f>
        <v>3.7690253636311274E-3</v>
      </c>
      <c r="AM3" s="33">
        <f>AI3*$X$3</f>
        <v>7.7864879635633402E-3</v>
      </c>
      <c r="AN3" s="33">
        <f>AJ3*$Y$3</f>
        <v>2.1107186571324705E-3</v>
      </c>
      <c r="AO3" s="112">
        <v>0</v>
      </c>
      <c r="AP3" s="49">
        <v>0.18325645634287266</v>
      </c>
      <c r="AQ3" s="50">
        <v>9.0490249769565087E-2</v>
      </c>
      <c r="AR3" s="8">
        <f>A3</f>
        <v>201204</v>
      </c>
      <c r="AS3" t="str">
        <f>D3</f>
        <v>ATM_EQ_SW</v>
      </c>
      <c r="AT3" s="43">
        <v>6.1837131146746902</v>
      </c>
      <c r="AU3" s="43">
        <v>24.279175342507699</v>
      </c>
      <c r="AV3" s="43">
        <v>47.588174908592201</v>
      </c>
      <c r="AX3" s="43">
        <v>15.105455490000001</v>
      </c>
      <c r="AY3" s="43">
        <v>-2.7098456780000002</v>
      </c>
      <c r="AZ3" s="43">
        <v>17.815301160000001</v>
      </c>
      <c r="BA3" s="43">
        <v>6.1978049049999999</v>
      </c>
      <c r="BB3" s="43">
        <v>24.00972707</v>
      </c>
      <c r="BC3" s="43">
        <v>47.054171089999997</v>
      </c>
      <c r="BE3">
        <v>265</v>
      </c>
      <c r="BF3">
        <v>109</v>
      </c>
      <c r="BG3">
        <f>BE3-BF3</f>
        <v>156</v>
      </c>
      <c r="BH3" t="s">
        <v>170</v>
      </c>
      <c r="BI3" s="69">
        <f>BG3*concentration_constants!$B$6</f>
        <v>0.15204678362573099</v>
      </c>
      <c r="BJ3" s="43">
        <f>I3*concentration_constants!$B$2+concentration_constants!$D$2</f>
        <v>2.3147589419488055</v>
      </c>
      <c r="BK3" s="43">
        <f>BJ3*concentration_constants!$B$3+concentration_constants!$D$3</f>
        <v>0.32759693848642901</v>
      </c>
      <c r="BL3" s="43">
        <f>BJ3/BI3</f>
        <v>15.223991502817144</v>
      </c>
      <c r="BM3" s="43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68">
        <f t="shared" ref="AI4:AI17" si="5">AF4^$X$11*EXP(X$12)</f>
        <v>0.99767868588737729</v>
      </c>
      <c r="AJ4" s="68">
        <f t="shared" ref="AJ4:AJ17" si="6">AG4^$Y$11*EXP(Y$12)</f>
        <v>0.99357291603893838</v>
      </c>
      <c r="AK4" s="32"/>
      <c r="AL4" s="33">
        <f t="shared" ref="AL4:AL17" si="7">AE4*$W$3</f>
        <v>3.7382429851740397E-3</v>
      </c>
      <c r="AM4" s="33">
        <f t="shared" ref="AM4:AM17" si="8">AI4*$X$3</f>
        <v>7.7230555991609088E-3</v>
      </c>
      <c r="AN4" s="33">
        <f t="shared" ref="AN4:AN17" si="9">AJ4*$Y$3</f>
        <v>2.0877900207595724E-3</v>
      </c>
      <c r="AO4" s="112">
        <v>0</v>
      </c>
      <c r="AP4" s="49">
        <v>0.18325645634287266</v>
      </c>
      <c r="AQ4" s="50">
        <v>9.0490249769565087E-2</v>
      </c>
      <c r="AR4" s="8">
        <f t="shared" ref="AR4:AR17" si="10">A4</f>
        <v>201205</v>
      </c>
      <c r="AS4" t="str">
        <f t="shared" ref="AS4:AS17" si="11">D4</f>
        <v>S2_ref_1</v>
      </c>
      <c r="AT4" s="43">
        <v>-3.5025945279739599</v>
      </c>
      <c r="AU4" s="43">
        <v>17.995404021976</v>
      </c>
      <c r="AV4" s="43">
        <v>35.169038165624201</v>
      </c>
      <c r="AX4" s="43">
        <v>6.8736240879999997</v>
      </c>
      <c r="AY4" s="43">
        <v>-13.881471919999999</v>
      </c>
      <c r="AZ4" s="43">
        <v>20.755096009999999</v>
      </c>
      <c r="BA4" s="43">
        <v>-3.5039239150000001</v>
      </c>
      <c r="BB4" s="43">
        <v>17.84864966</v>
      </c>
      <c r="BC4" s="43">
        <v>34.879852069999998</v>
      </c>
      <c r="BE4">
        <v>265</v>
      </c>
      <c r="BF4">
        <v>109</v>
      </c>
      <c r="BG4">
        <f t="shared" ref="BG4:BG5" si="12">BE4-BF4</f>
        <v>156</v>
      </c>
      <c r="BH4" t="s">
        <v>39</v>
      </c>
      <c r="BI4" s="69">
        <f>BG4*concentration_constants!$F$6</f>
        <v>0.15628130635143259</v>
      </c>
      <c r="BJ4" s="43">
        <f>I4*concentration_constants!$B$2+concentration_constants!$D$2</f>
        <v>3.0120000289208293</v>
      </c>
      <c r="BK4" s="43">
        <f>BJ4*concentration_constants!$B$3+concentration_constants!$D$3</f>
        <v>0.33318789796769971</v>
      </c>
      <c r="BL4" s="43">
        <f t="shared" ref="BL4:BL5" si="13">BJ4/BI4</f>
        <v>19.272938646594689</v>
      </c>
      <c r="BM4" s="43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63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68">
        <f t="shared" si="5"/>
        <v>1.001044111578594</v>
      </c>
      <c r="AJ5" s="68">
        <f t="shared" si="6"/>
        <v>1.001693114134492</v>
      </c>
      <c r="AK5" s="32"/>
      <c r="AL5" s="33">
        <f t="shared" si="7"/>
        <v>3.7228017752489739E-3</v>
      </c>
      <c r="AM5" s="33">
        <f t="shared" si="8"/>
        <v>7.7491074434027181E-3</v>
      </c>
      <c r="AN5" s="33">
        <f t="shared" si="9"/>
        <v>2.1048529542160065E-3</v>
      </c>
      <c r="AO5" s="112">
        <v>0</v>
      </c>
      <c r="AP5" s="49">
        <v>0.18325645634287266</v>
      </c>
      <c r="AQ5" s="50">
        <v>9.0490249769565087E-2</v>
      </c>
      <c r="AR5" s="8">
        <f t="shared" si="10"/>
        <v>201205</v>
      </c>
      <c r="AS5" t="str">
        <f t="shared" si="11"/>
        <v>B6_ref_1</v>
      </c>
      <c r="AT5" s="43">
        <v>0.359221158885425</v>
      </c>
      <c r="AU5" s="43">
        <v>22.697206561636399</v>
      </c>
      <c r="AV5" s="43">
        <v>44.4548477102446</v>
      </c>
      <c r="AX5" s="43">
        <v>-0.53970856960000002</v>
      </c>
      <c r="AY5" s="43">
        <v>1.282521574</v>
      </c>
      <c r="AZ5" s="43">
        <v>-1.8222301439999999</v>
      </c>
      <c r="BA5" s="43">
        <v>0.37140650219999999</v>
      </c>
      <c r="BB5" s="43">
        <v>22.461390439999999</v>
      </c>
      <c r="BC5" s="43">
        <v>43.988167449999999</v>
      </c>
      <c r="BE5">
        <v>265</v>
      </c>
      <c r="BF5">
        <v>109</v>
      </c>
      <c r="BG5">
        <f t="shared" si="12"/>
        <v>156</v>
      </c>
      <c r="BH5" t="s">
        <v>39</v>
      </c>
      <c r="BI5" s="69">
        <f>BG5*concentration_constants!$F$6</f>
        <v>0.15628130635143259</v>
      </c>
      <c r="BJ5" s="43">
        <f>I5*concentration_constants!$B$2+concentration_constants!$D$2</f>
        <v>9.9048847269174694</v>
      </c>
      <c r="BK5" s="43">
        <f>BJ5*concentration_constants!$B$3+concentration_constants!$D$3</f>
        <v>0.38845979713665457</v>
      </c>
      <c r="BL5" s="43">
        <f t="shared" si="13"/>
        <v>63.378563682109089</v>
      </c>
      <c r="BM5" s="43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68">
        <f t="shared" si="5"/>
        <v>1.0065293924891645</v>
      </c>
      <c r="AJ6" s="68">
        <f t="shared" si="6"/>
        <v>1.0046456444970819</v>
      </c>
      <c r="AK6" s="32"/>
      <c r="AL6" s="33">
        <f t="shared" si="7"/>
        <v>3.7689117349450092E-3</v>
      </c>
      <c r="AM6" s="33">
        <f t="shared" si="8"/>
        <v>7.7915691397871332E-3</v>
      </c>
      <c r="AN6" s="33">
        <f t="shared" si="9"/>
        <v>2.1110570921584735E-3</v>
      </c>
      <c r="AO6" s="112">
        <v>0</v>
      </c>
      <c r="AP6" s="49">
        <v>0.18325645634287266</v>
      </c>
      <c r="AQ6" s="50">
        <v>9.0490249769565087E-2</v>
      </c>
      <c r="AR6" s="8">
        <f t="shared" si="10"/>
        <v>201205</v>
      </c>
      <c r="AS6" t="str">
        <f t="shared" si="11"/>
        <v>ATM_EQ_SW_1</v>
      </c>
      <c r="AT6" s="43">
        <v>6.9823553262469096</v>
      </c>
      <c r="AU6" s="43">
        <v>24.3669184468542</v>
      </c>
      <c r="AV6" s="43">
        <v>47.762096293894203</v>
      </c>
      <c r="AX6" s="43">
        <v>14.851574149999999</v>
      </c>
      <c r="AY6" s="43">
        <v>-0.85838254079999998</v>
      </c>
      <c r="AZ6" s="43">
        <v>15.70995669</v>
      </c>
      <c r="BA6" s="43">
        <v>6.9965958060000002</v>
      </c>
      <c r="BB6" s="43">
        <v>24.09542038</v>
      </c>
      <c r="BC6" s="43">
        <v>47.223987370000003</v>
      </c>
      <c r="BE6">
        <v>265</v>
      </c>
      <c r="BF6">
        <v>109</v>
      </c>
      <c r="BG6">
        <f t="shared" ref="BG6:BG17" si="15">BE6-BF6</f>
        <v>156</v>
      </c>
      <c r="BH6" t="s">
        <v>170</v>
      </c>
      <c r="BI6" s="69">
        <f>BG6*concentration_constants!$B$6</f>
        <v>0.15204678362573099</v>
      </c>
      <c r="BJ6" s="43">
        <f>I6*concentration_constants!$B$2+concentration_constants!$D$2</f>
        <v>2.4178655483113793</v>
      </c>
      <c r="BK6" s="43">
        <f>BJ6*concentration_constants!$B$3+concentration_constants!$D$3</f>
        <v>0.32842371830361955</v>
      </c>
      <c r="BL6" s="43">
        <f t="shared" ref="BL6:BL17" si="16">BJ6/BI6</f>
        <v>15.90211572158638</v>
      </c>
      <c r="BM6" s="43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68">
        <f t="shared" si="5"/>
        <v>0.99762609234989208</v>
      </c>
      <c r="AJ7" s="68">
        <f t="shared" si="6"/>
        <v>0.99373470664282637</v>
      </c>
      <c r="AK7" s="32"/>
      <c r="AL7" s="33">
        <f t="shared" si="7"/>
        <v>3.737653314223861E-3</v>
      </c>
      <c r="AM7" s="33">
        <f t="shared" si="8"/>
        <v>7.7226484712750471E-3</v>
      </c>
      <c r="AN7" s="33">
        <f t="shared" si="9"/>
        <v>2.0881299905824179E-3</v>
      </c>
      <c r="AO7" s="112">
        <v>0</v>
      </c>
      <c r="AP7" s="49">
        <v>0.18325645634287266</v>
      </c>
      <c r="AQ7" s="50">
        <v>9.0490249769565087E-2</v>
      </c>
      <c r="AR7" s="8">
        <f t="shared" si="10"/>
        <v>201205</v>
      </c>
      <c r="AS7" t="str">
        <f t="shared" si="11"/>
        <v>S2_ref_2</v>
      </c>
      <c r="AT7" s="43">
        <v>-3.5713502434924198</v>
      </c>
      <c r="AU7" s="43">
        <v>18.090066846573698</v>
      </c>
      <c r="AV7" s="43">
        <v>35.355596284351698</v>
      </c>
      <c r="AX7" s="43">
        <v>6.6566362139999997</v>
      </c>
      <c r="AY7" s="43">
        <v>-13.80264891</v>
      </c>
      <c r="AZ7" s="43">
        <v>20.459285130000001</v>
      </c>
      <c r="BA7" s="43">
        <v>-3.5730063489999999</v>
      </c>
      <c r="BB7" s="43">
        <v>17.941820060000001</v>
      </c>
      <c r="BC7" s="43">
        <v>35.063444019999999</v>
      </c>
      <c r="BE7">
        <v>265</v>
      </c>
      <c r="BF7">
        <v>109</v>
      </c>
      <c r="BG7">
        <f t="shared" si="15"/>
        <v>156</v>
      </c>
      <c r="BH7" t="s">
        <v>39</v>
      </c>
      <c r="BI7" s="69">
        <f>BG7*concentration_constants!$F$6</f>
        <v>0.15628130635143259</v>
      </c>
      <c r="BJ7" s="43">
        <f>I7*concentration_constants!$B$2+concentration_constants!$D$2</f>
        <v>17.089981869851989</v>
      </c>
      <c r="BK7" s="43">
        <f>BJ7*concentration_constants!$B$3+concentration_constants!$D$3</f>
        <v>0.44607485704311811</v>
      </c>
      <c r="BL7" s="43">
        <f t="shared" si="16"/>
        <v>109.35397373388625</v>
      </c>
      <c r="BM7" s="43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68">
        <f t="shared" si="5"/>
        <v>0.99993936333439959</v>
      </c>
      <c r="AJ8" s="68">
        <f t="shared" si="6"/>
        <v>1.0000195594494503</v>
      </c>
      <c r="AK8" s="32"/>
      <c r="AL8" s="33">
        <f t="shared" si="7"/>
        <v>3.7199285353648245E-3</v>
      </c>
      <c r="AM8" s="33">
        <f t="shared" si="8"/>
        <v>7.7405555596813573E-3</v>
      </c>
      <c r="AN8" s="33">
        <f t="shared" si="9"/>
        <v>2.101336321753283E-3</v>
      </c>
      <c r="AO8" s="112">
        <v>0</v>
      </c>
      <c r="AP8" s="49">
        <v>0.18325645634287266</v>
      </c>
      <c r="AQ8" s="50">
        <v>9.0490249769565087E-2</v>
      </c>
      <c r="AR8" s="8">
        <f t="shared" si="10"/>
        <v>201205</v>
      </c>
      <c r="AS8" t="str">
        <f t="shared" si="11"/>
        <v>B6_ref_2</v>
      </c>
      <c r="AT8" s="43">
        <v>-0.94152706968220201</v>
      </c>
      <c r="AU8" s="43">
        <v>21.732150005308199</v>
      </c>
      <c r="AV8" s="43">
        <v>42.5456389567846</v>
      </c>
      <c r="AX8" s="43">
        <v>-1.156289044</v>
      </c>
      <c r="AY8" s="43">
        <v>-0.70441124850000003</v>
      </c>
      <c r="AZ8" s="43">
        <v>-0.45187779509999998</v>
      </c>
      <c r="BA8" s="43">
        <v>-0.93035014599999999</v>
      </c>
      <c r="BB8" s="43">
        <v>21.515796810000001</v>
      </c>
      <c r="BC8" s="43">
        <v>42.117851049999999</v>
      </c>
      <c r="BE8">
        <v>265</v>
      </c>
      <c r="BF8">
        <v>109</v>
      </c>
      <c r="BG8">
        <f t="shared" si="15"/>
        <v>156</v>
      </c>
      <c r="BH8" t="s">
        <v>39</v>
      </c>
      <c r="BI8" s="69">
        <f>BG8*concentration_constants!$F$6</f>
        <v>0.15628130635143259</v>
      </c>
      <c r="BJ8" s="43">
        <f>I8*concentration_constants!$B$2+concentration_constants!$D$2</f>
        <v>9.8350681459275666</v>
      </c>
      <c r="BK8" s="43">
        <f>BJ8*concentration_constants!$B$3+concentration_constants!$D$3</f>
        <v>0.387899959681965</v>
      </c>
      <c r="BL8" s="43">
        <f t="shared" si="16"/>
        <v>62.931827072210872</v>
      </c>
      <c r="BM8" s="43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W9" s="63" t="s">
        <v>183</v>
      </c>
      <c r="X9" s="2"/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68">
        <f t="shared" si="5"/>
        <v>1.0053348711319792</v>
      </c>
      <c r="AJ9" s="68">
        <f t="shared" si="6"/>
        <v>1.0029111055919546</v>
      </c>
      <c r="AL9" s="33">
        <f t="shared" si="7"/>
        <v>3.7707605400763033E-3</v>
      </c>
      <c r="AM9" s="33">
        <f t="shared" si="8"/>
        <v>7.7823223201583048E-3</v>
      </c>
      <c r="AN9" s="33">
        <f t="shared" si="9"/>
        <v>2.1074123138454925E-3</v>
      </c>
      <c r="AO9" s="112">
        <v>0</v>
      </c>
      <c r="AP9" s="49">
        <v>0.18325645634287266</v>
      </c>
      <c r="AQ9" s="50">
        <v>9.0490249769565087E-2</v>
      </c>
      <c r="AR9" s="8">
        <f t="shared" si="10"/>
        <v>201205</v>
      </c>
      <c r="AS9" t="str">
        <f t="shared" si="11"/>
        <v>ATM_EQ_SW_2</v>
      </c>
      <c r="AT9" s="43">
        <v>5.57244533353684</v>
      </c>
      <c r="AU9" s="43">
        <v>23.366934635269601</v>
      </c>
      <c r="AV9" s="43">
        <v>45.7807904317755</v>
      </c>
      <c r="AX9" s="43">
        <v>16.03665647</v>
      </c>
      <c r="AY9" s="43">
        <v>-4.8656873389999999</v>
      </c>
      <c r="AZ9" s="43">
        <v>20.902343810000001</v>
      </c>
      <c r="BA9" s="43">
        <v>5.5854845649999998</v>
      </c>
      <c r="BB9" s="43">
        <v>23.117269400000001</v>
      </c>
      <c r="BC9" s="43">
        <v>45.286402389999999</v>
      </c>
      <c r="BE9">
        <v>265</v>
      </c>
      <c r="BF9">
        <v>109</v>
      </c>
      <c r="BG9">
        <f t="shared" si="15"/>
        <v>156</v>
      </c>
      <c r="BH9" t="s">
        <v>170</v>
      </c>
      <c r="BI9" s="69">
        <f>BG9*concentration_constants!$B$6</f>
        <v>0.15204678362573099</v>
      </c>
      <c r="BJ9" s="43">
        <f>I9*concentration_constants!$B$2+concentration_constants!$D$2</f>
        <v>2.4132419336762863</v>
      </c>
      <c r="BK9" s="43">
        <f>BJ9*concentration_constants!$B$3+concentration_constants!$D$3</f>
        <v>0.32838664297549441</v>
      </c>
      <c r="BL9" s="43">
        <f t="shared" si="16"/>
        <v>15.871706563794037</v>
      </c>
      <c r="BM9" s="43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W10" s="15" t="s">
        <v>184</v>
      </c>
      <c r="X10" s="16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68">
        <f t="shared" si="5"/>
        <v>0.99242587706510954</v>
      </c>
      <c r="AJ10" s="68">
        <f t="shared" si="6"/>
        <v>1.0022383915761395</v>
      </c>
      <c r="AL10" s="33">
        <f t="shared" si="7"/>
        <v>3.755923722054483E-3</v>
      </c>
      <c r="AM10" s="33">
        <f t="shared" si="8"/>
        <v>7.6823934750121364E-3</v>
      </c>
      <c r="AN10" s="33">
        <f t="shared" si="9"/>
        <v>2.1059987430985735E-3</v>
      </c>
      <c r="AO10" s="112">
        <v>0</v>
      </c>
      <c r="AP10" s="49">
        <v>0.18325645634287266</v>
      </c>
      <c r="AQ10" s="50">
        <v>9.0490249769565087E-2</v>
      </c>
      <c r="AR10" s="8">
        <f t="shared" si="10"/>
        <v>201205</v>
      </c>
      <c r="AS10" t="str">
        <f t="shared" si="11"/>
        <v>DI</v>
      </c>
      <c r="AT10" s="43">
        <v>-10.0998672074388</v>
      </c>
      <c r="AU10" s="43">
        <v>23.078452800784302</v>
      </c>
      <c r="AV10" s="43">
        <v>45.209547777639301</v>
      </c>
      <c r="AX10" s="43">
        <v>14.457971540000001</v>
      </c>
      <c r="AY10" s="43">
        <v>-34.815304670000003</v>
      </c>
      <c r="AZ10" s="43">
        <v>49.273276199999998</v>
      </c>
      <c r="BA10" s="43">
        <v>-10.178666570000001</v>
      </c>
      <c r="BB10" s="43">
        <v>22.853627360000001</v>
      </c>
      <c r="BC10" s="43">
        <v>44.764460249999999</v>
      </c>
      <c r="BE10">
        <v>265</v>
      </c>
      <c r="BF10">
        <v>109</v>
      </c>
      <c r="BG10">
        <f t="shared" si="15"/>
        <v>156</v>
      </c>
      <c r="BH10" t="s">
        <v>39</v>
      </c>
      <c r="BI10" s="69">
        <f>BG10*concentration_constants!$F$6</f>
        <v>0.15628130635143259</v>
      </c>
      <c r="BJ10" s="43">
        <f>I10*concentration_constants!$B$2+concentration_constants!$D$2</f>
        <v>7.9745256167661447</v>
      </c>
      <c r="BK10" s="43">
        <f>BJ10*concentration_constants!$B$3+concentration_constants!$D$3</f>
        <v>0.3729808476444097</v>
      </c>
      <c r="BL10" s="43">
        <f t="shared" si="16"/>
        <v>51.026740196512598</v>
      </c>
      <c r="BM10" s="43">
        <f t="shared" si="17"/>
        <v>2.386599244350319</v>
      </c>
    </row>
    <row r="11" spans="1:65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W11" s="117" t="s">
        <v>181</v>
      </c>
      <c r="X11">
        <f>scale_normalization!Y3</f>
        <v>0.91041071995587675</v>
      </c>
      <c r="Y11" s="118">
        <f>scale_normalization!Z3</f>
        <v>0.87174417962681128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68">
        <f t="shared" si="5"/>
        <v>1.005904116762288</v>
      </c>
      <c r="AJ11" s="68">
        <f t="shared" si="6"/>
        <v>1.0026946235102945</v>
      </c>
      <c r="AL11" s="33">
        <f t="shared" si="7"/>
        <v>3.7741574091857267E-3</v>
      </c>
      <c r="AM11" s="33">
        <f t="shared" si="8"/>
        <v>7.786728864784989E-3</v>
      </c>
      <c r="AN11" s="33">
        <f t="shared" si="9"/>
        <v>2.1069574210817433E-3</v>
      </c>
      <c r="AO11" s="112">
        <v>0</v>
      </c>
      <c r="AP11" s="49">
        <v>0.18325645634287266</v>
      </c>
      <c r="AQ11" s="50">
        <v>9.0490249769565087E-2</v>
      </c>
      <c r="AR11" s="8">
        <f t="shared" si="10"/>
        <v>201207</v>
      </c>
      <c r="AS11" t="str">
        <f t="shared" si="11"/>
        <v>ATM_EQ_SW_1</v>
      </c>
      <c r="AT11" s="43">
        <v>6.2757163469961901</v>
      </c>
      <c r="AU11" s="43">
        <v>23.235402273854501</v>
      </c>
      <c r="AV11" s="43">
        <v>45.520315450628203</v>
      </c>
      <c r="AX11" s="43">
        <v>17.15182347</v>
      </c>
      <c r="AY11" s="43">
        <v>-4.5745335200000001</v>
      </c>
      <c r="AZ11" s="43">
        <v>21.726356989999999</v>
      </c>
      <c r="BA11" s="43">
        <v>6.2886449750000004</v>
      </c>
      <c r="BB11" s="43">
        <v>22.988533220000001</v>
      </c>
      <c r="BC11" s="43">
        <v>45.031522729999999</v>
      </c>
      <c r="BE11">
        <v>265</v>
      </c>
      <c r="BF11">
        <v>109</v>
      </c>
      <c r="BG11">
        <f t="shared" si="15"/>
        <v>156</v>
      </c>
      <c r="BH11" t="s">
        <v>170</v>
      </c>
      <c r="BI11" s="69">
        <f>BG11*concentration_constants!$B$6</f>
        <v>0.15204678362573099</v>
      </c>
      <c r="BJ11" s="43">
        <f>I11*concentration_constants!$B$2+concentration_constants!$D$2</f>
        <v>2.2611250121817261</v>
      </c>
      <c r="BK11" s="43">
        <f>BJ11*concentration_constants!$B$3+concentration_constants!$D$3</f>
        <v>0.32716686468017736</v>
      </c>
      <c r="BL11" s="43">
        <f t="shared" si="16"/>
        <v>14.871245272425968</v>
      </c>
      <c r="BM11" s="43">
        <f t="shared" si="17"/>
        <v>2.151751302319628</v>
      </c>
    </row>
    <row r="12" spans="1:65" ht="17" thickBot="1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W12" s="34" t="s">
        <v>182</v>
      </c>
      <c r="X12" s="35">
        <f>scale_normalization!Y4</f>
        <v>6.9469397524750496E-4</v>
      </c>
      <c r="Y12" s="36">
        <f>scale_normalization!Z4</f>
        <v>-2.0580238405652936E-3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68">
        <f t="shared" si="5"/>
        <v>0.99742547509365276</v>
      </c>
      <c r="AJ12" s="68">
        <f t="shared" si="6"/>
        <v>0.99253196355980511</v>
      </c>
      <c r="AL12" s="33">
        <f t="shared" si="7"/>
        <v>3.7381947000342869E-3</v>
      </c>
      <c r="AM12" s="33">
        <f t="shared" si="8"/>
        <v>7.7210954880891731E-3</v>
      </c>
      <c r="AN12" s="33">
        <f t="shared" si="9"/>
        <v>2.0856026722892822E-3</v>
      </c>
      <c r="AO12" s="112">
        <v>0</v>
      </c>
      <c r="AP12" s="49">
        <v>0.18325645634287266</v>
      </c>
      <c r="AQ12" s="50">
        <v>9.0490249769565087E-2</v>
      </c>
      <c r="AR12" s="8">
        <f t="shared" si="10"/>
        <v>201207</v>
      </c>
      <c r="AS12" t="str">
        <f t="shared" si="11"/>
        <v>S2_ref_1</v>
      </c>
      <c r="AT12" s="43">
        <v>-3.7789086077021299</v>
      </c>
      <c r="AU12" s="43">
        <v>17.3910621684267</v>
      </c>
      <c r="AV12" s="43">
        <v>33.978406326581499</v>
      </c>
      <c r="AX12" s="43">
        <v>7.0098620809999996</v>
      </c>
      <c r="AY12" s="43">
        <v>-14.575141520000001</v>
      </c>
      <c r="AZ12" s="43">
        <v>21.5850036</v>
      </c>
      <c r="BA12" s="43">
        <v>-3.7826397200000001</v>
      </c>
      <c r="BB12" s="43">
        <v>17.254452000000001</v>
      </c>
      <c r="BC12" s="43">
        <v>33.709358479999999</v>
      </c>
      <c r="BE12">
        <v>265</v>
      </c>
      <c r="BF12">
        <v>109</v>
      </c>
      <c r="BG12">
        <f t="shared" si="15"/>
        <v>156</v>
      </c>
      <c r="BH12" t="s">
        <v>39</v>
      </c>
      <c r="BI12" s="69">
        <f>BG12*concentration_constants!$F$6</f>
        <v>0.15628130635143259</v>
      </c>
      <c r="BJ12" s="43">
        <f>I12*concentration_constants!$B$2+concentration_constants!$D$2</f>
        <v>3.6625426080784145</v>
      </c>
      <c r="BK12" s="43">
        <f>BJ12*concentration_constants!$B$3+concentration_constants!$D$3</f>
        <v>0.33840439663490651</v>
      </c>
      <c r="BL12" s="43">
        <f t="shared" si="16"/>
        <v>23.435577124255598</v>
      </c>
      <c r="BM12" s="43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68">
        <f t="shared" si="5"/>
        <v>1.000858634704451</v>
      </c>
      <c r="AJ13" s="68">
        <f t="shared" si="6"/>
        <v>1.0014528802854337</v>
      </c>
      <c r="AL13" s="33">
        <f t="shared" si="7"/>
        <v>3.7242631653031039E-3</v>
      </c>
      <c r="AM13" s="33">
        <f t="shared" si="8"/>
        <v>7.7476716622923991E-3</v>
      </c>
      <c r="AN13" s="33">
        <f t="shared" si="9"/>
        <v>2.1043481519769196E-3</v>
      </c>
      <c r="AO13" s="112">
        <v>0</v>
      </c>
      <c r="AP13" s="49">
        <v>0.18325645634287266</v>
      </c>
      <c r="AQ13" s="50">
        <v>9.0490249769565087E-2</v>
      </c>
      <c r="AR13" s="8">
        <f t="shared" si="10"/>
        <v>201207</v>
      </c>
      <c r="AS13" t="str">
        <f t="shared" si="11"/>
        <v>B6_ref_1</v>
      </c>
      <c r="AT13" s="43">
        <v>0.13959532425555901</v>
      </c>
      <c r="AU13" s="43">
        <v>22.5589202485119</v>
      </c>
      <c r="AV13" s="43">
        <v>44.181166769186902</v>
      </c>
      <c r="AX13" s="43">
        <v>8.2241945280000006E-2</v>
      </c>
      <c r="AY13" s="43">
        <v>0.22102332359999999</v>
      </c>
      <c r="AZ13" s="43">
        <v>-0.13878137830000001</v>
      </c>
      <c r="BA13" s="43">
        <v>0.15163263439999999</v>
      </c>
      <c r="BB13" s="43">
        <v>22.325942359999999</v>
      </c>
      <c r="BC13" s="43">
        <v>43.720161279999999</v>
      </c>
      <c r="BE13">
        <v>265</v>
      </c>
      <c r="BF13">
        <v>109</v>
      </c>
      <c r="BG13">
        <f t="shared" si="15"/>
        <v>156</v>
      </c>
      <c r="BH13" t="s">
        <v>39</v>
      </c>
      <c r="BI13" s="69">
        <f>BG13*concentration_constants!$F$6</f>
        <v>0.15628130635143259</v>
      </c>
      <c r="BJ13" s="43">
        <f>I13*concentration_constants!$B$2+concentration_constants!$D$2</f>
        <v>9.6085110288080102</v>
      </c>
      <c r="BK13" s="43">
        <f>BJ13*concentration_constants!$B$3+concentration_constants!$D$3</f>
        <v>0.38608326860383324</v>
      </c>
      <c r="BL13" s="43">
        <f t="shared" si="16"/>
        <v>61.482151980488176</v>
      </c>
      <c r="BM13" s="43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68">
        <f t="shared" si="5"/>
        <v>1.0051403613834002</v>
      </c>
      <c r="AJ14" s="68">
        <f t="shared" si="6"/>
        <v>1.0026054116498198</v>
      </c>
      <c r="AL14" s="33">
        <f t="shared" si="7"/>
        <v>3.7661587198913001E-3</v>
      </c>
      <c r="AM14" s="33">
        <f t="shared" si="8"/>
        <v>7.7808166153416104E-3</v>
      </c>
      <c r="AN14" s="33">
        <f t="shared" si="9"/>
        <v>2.1067699606256199E-3</v>
      </c>
      <c r="AO14" s="112">
        <v>0</v>
      </c>
      <c r="AP14" s="49">
        <v>0.18325645634287266</v>
      </c>
      <c r="AQ14" s="50">
        <v>9.0490249769565087E-2</v>
      </c>
      <c r="AR14" s="8">
        <f t="shared" si="10"/>
        <v>201207</v>
      </c>
      <c r="AS14" t="str">
        <f t="shared" si="11"/>
        <v>ATM_EQ_SW_2</v>
      </c>
      <c r="AT14" s="43">
        <v>5.3435875779892497</v>
      </c>
      <c r="AU14" s="43">
        <v>23.190561718908899</v>
      </c>
      <c r="AV14" s="43">
        <v>45.431524384704502</v>
      </c>
      <c r="AX14" s="43">
        <v>14.39377354</v>
      </c>
      <c r="AY14" s="43">
        <v>-3.6809189290000002</v>
      </c>
      <c r="AZ14" s="43">
        <v>18.074692469999999</v>
      </c>
      <c r="BA14" s="43">
        <v>5.3564273069999997</v>
      </c>
      <c r="BB14" s="43">
        <v>22.94455533</v>
      </c>
      <c r="BC14" s="43">
        <v>44.944459549999998</v>
      </c>
      <c r="BE14">
        <v>265</v>
      </c>
      <c r="BF14">
        <v>109</v>
      </c>
      <c r="BG14">
        <f t="shared" si="15"/>
        <v>156</v>
      </c>
      <c r="BH14" t="s">
        <v>170</v>
      </c>
      <c r="BI14" s="69">
        <f>BG14*concentration_constants!$B$6</f>
        <v>0.15204678362573099</v>
      </c>
      <c r="BJ14" s="43">
        <f>I14*concentration_constants!$B$2+concentration_constants!$D$2</f>
        <v>2.3526725819565679</v>
      </c>
      <c r="BK14" s="43">
        <f>BJ14*concentration_constants!$B$3+concentration_constants!$D$3</f>
        <v>0.32790095617705511</v>
      </c>
      <c r="BL14" s="43">
        <f t="shared" si="16"/>
        <v>15.473346596714352</v>
      </c>
      <c r="BM14" s="43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68">
        <f t="shared" si="5"/>
        <v>1.0058307690770196</v>
      </c>
      <c r="AJ15" s="68">
        <f t="shared" si="6"/>
        <v>1.0035683135664484</v>
      </c>
      <c r="AL15" s="33">
        <f t="shared" si="7"/>
        <v>3.7730126315774323E-3</v>
      </c>
      <c r="AM15" s="33">
        <f t="shared" si="8"/>
        <v>7.7861610785233291E-3</v>
      </c>
      <c r="AN15" s="33">
        <f t="shared" si="9"/>
        <v>2.1087933018218777E-3</v>
      </c>
      <c r="AO15" s="112">
        <v>0</v>
      </c>
      <c r="AP15" s="49">
        <v>0.18325645634287266</v>
      </c>
      <c r="AQ15" s="50">
        <v>9.0490249769565087E-2</v>
      </c>
      <c r="AR15" s="8">
        <f t="shared" si="10"/>
        <v>201207</v>
      </c>
      <c r="AS15" t="str">
        <f t="shared" si="11"/>
        <v>ATM_EQ_SW_3</v>
      </c>
      <c r="AT15" s="43">
        <v>6.1596227211071497</v>
      </c>
      <c r="AU15" s="43">
        <v>23.745401762334801</v>
      </c>
      <c r="AV15" s="43">
        <v>46.530448225756899</v>
      </c>
      <c r="AX15" s="43">
        <v>16.679833429999999</v>
      </c>
      <c r="AY15" s="43">
        <v>-4.3336183510000001</v>
      </c>
      <c r="AZ15" s="43">
        <v>21.01345178</v>
      </c>
      <c r="BA15" s="43">
        <v>6.1731075390000001</v>
      </c>
      <c r="BB15" s="43">
        <v>23.48766578</v>
      </c>
      <c r="BC15" s="43">
        <v>46.019903290000002</v>
      </c>
      <c r="BE15">
        <v>265</v>
      </c>
      <c r="BF15">
        <v>109</v>
      </c>
      <c r="BG15">
        <f t="shared" si="15"/>
        <v>156</v>
      </c>
      <c r="BH15" t="s">
        <v>170</v>
      </c>
      <c r="BI15" s="69">
        <f>BG15*concentration_constants!$B$6</f>
        <v>0.15204678362573099</v>
      </c>
      <c r="BJ15" s="43">
        <f>I15*concentration_constants!$B$2+concentration_constants!$D$2</f>
        <v>2.2375445775427525</v>
      </c>
      <c r="BK15" s="43">
        <f>BJ15*concentration_constants!$B$3+concentration_constants!$D$3</f>
        <v>0.3269777805067392</v>
      </c>
      <c r="BL15" s="43">
        <f t="shared" si="16"/>
        <v>14.716158567685026</v>
      </c>
      <c r="BM15" s="43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68">
        <f t="shared" si="5"/>
        <v>0.99735384017979356</v>
      </c>
      <c r="AJ16" s="68">
        <f t="shared" si="6"/>
        <v>0.99337011057906566</v>
      </c>
      <c r="AL16" s="33">
        <f t="shared" si="7"/>
        <v>3.7385509216503751E-3</v>
      </c>
      <c r="AM16" s="33">
        <f t="shared" si="8"/>
        <v>7.7205409604337253E-3</v>
      </c>
      <c r="AN16" s="33">
        <f t="shared" si="9"/>
        <v>2.0873638666158321E-3</v>
      </c>
      <c r="AO16" s="112">
        <v>0</v>
      </c>
      <c r="AP16" s="49">
        <v>0.18325645634287266</v>
      </c>
      <c r="AQ16" s="50">
        <v>9.0490249769565087E-2</v>
      </c>
      <c r="AR16" s="8">
        <f t="shared" si="10"/>
        <v>201207</v>
      </c>
      <c r="AS16" t="str">
        <f t="shared" si="11"/>
        <v>S2_ref_2</v>
      </c>
      <c r="AT16" s="43">
        <v>-3.8910374902335598</v>
      </c>
      <c r="AU16" s="43">
        <v>17.879824476930899</v>
      </c>
      <c r="AV16" s="43">
        <v>34.941280181798497</v>
      </c>
      <c r="AX16" s="43">
        <v>7.1029978910000002</v>
      </c>
      <c r="AY16" s="43">
        <v>-14.893050089999999</v>
      </c>
      <c r="AZ16" s="43">
        <v>21.99604798</v>
      </c>
      <c r="BA16" s="43">
        <v>-3.895026101</v>
      </c>
      <c r="BB16" s="43">
        <v>17.735485740000001</v>
      </c>
      <c r="BC16" s="43">
        <v>34.656884159999997</v>
      </c>
      <c r="BE16">
        <v>265</v>
      </c>
      <c r="BF16">
        <v>109</v>
      </c>
      <c r="BG16">
        <f t="shared" si="15"/>
        <v>156</v>
      </c>
      <c r="BH16" t="s">
        <v>39</v>
      </c>
      <c r="BI16" s="69">
        <f>BG16*concentration_constants!$F$6</f>
        <v>0.15628130635143259</v>
      </c>
      <c r="BJ16" s="43">
        <f>I16*concentration_constants!$B$2+concentration_constants!$D$2</f>
        <v>3.9394971247204844</v>
      </c>
      <c r="BK16" s="43">
        <f>BJ16*concentration_constants!$B$3+concentration_constants!$D$3</f>
        <v>0.34062520878960229</v>
      </c>
      <c r="BL16" s="43">
        <f t="shared" si="16"/>
        <v>25.207730960871714</v>
      </c>
      <c r="BM16" s="43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68">
        <f t="shared" si="5"/>
        <v>0.9947668054279567</v>
      </c>
      <c r="AJ17" s="68">
        <f t="shared" si="6"/>
        <v>1.001770970173647</v>
      </c>
      <c r="AL17" s="33">
        <f t="shared" si="7"/>
        <v>3.7557778240511265E-3</v>
      </c>
      <c r="AM17" s="33">
        <f t="shared" si="8"/>
        <v>7.7005146598742155E-3</v>
      </c>
      <c r="AN17" s="33">
        <f t="shared" si="9"/>
        <v>2.1050165527390537E-3</v>
      </c>
      <c r="AO17" s="112">
        <v>0</v>
      </c>
      <c r="AP17" s="49">
        <v>0.18325645634287266</v>
      </c>
      <c r="AQ17" s="50">
        <v>9.0490249769565087E-2</v>
      </c>
      <c r="AR17" s="8">
        <f t="shared" si="10"/>
        <v>201207</v>
      </c>
      <c r="AS17" t="str">
        <f t="shared" si="11"/>
        <v>DI</v>
      </c>
      <c r="AT17" s="43">
        <v>-7.2725212903335104</v>
      </c>
      <c r="AU17" s="43">
        <v>22.792929757643901</v>
      </c>
      <c r="AV17" s="43">
        <v>44.644312779463498</v>
      </c>
      <c r="AX17" s="43">
        <v>13.725240319999999</v>
      </c>
      <c r="AY17" s="43">
        <v>-28.33536483</v>
      </c>
      <c r="AZ17" s="43">
        <v>42.060605150000001</v>
      </c>
      <c r="BA17" s="43">
        <v>-7.3050622580000004</v>
      </c>
      <c r="BB17" s="43">
        <v>22.56512682</v>
      </c>
      <c r="BC17" s="43">
        <v>44.193449379999997</v>
      </c>
      <c r="BE17">
        <v>265</v>
      </c>
      <c r="BF17">
        <v>109</v>
      </c>
      <c r="BG17">
        <f t="shared" si="15"/>
        <v>156</v>
      </c>
      <c r="BH17" t="s">
        <v>39</v>
      </c>
      <c r="BI17" s="69">
        <f>BG17*concentration_constants!$F$6</f>
        <v>0.15628130635143259</v>
      </c>
      <c r="BJ17" s="43">
        <f>I17*concentration_constants!$B$2+concentration_constants!$D$2</f>
        <v>6.3978730261994317</v>
      </c>
      <c r="BK17" s="43">
        <f>BJ17*concentration_constants!$B$3+concentration_constants!$D$3</f>
        <v>0.36033816075373781</v>
      </c>
      <c r="BL17" s="43">
        <f t="shared" si="16"/>
        <v>40.938184966360723</v>
      </c>
      <c r="BM17" s="43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68"/>
      <c r="AJ18" s="68"/>
      <c r="AL18" s="33"/>
      <c r="AM18" s="33"/>
      <c r="AN18" s="33"/>
      <c r="AO18" s="33"/>
      <c r="AP18" s="49"/>
      <c r="AQ18" s="47"/>
      <c r="AR18" s="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68"/>
      <c r="AJ19" s="68"/>
      <c r="AL19" s="33"/>
      <c r="AM19" s="33"/>
      <c r="AN19" s="33"/>
      <c r="AO19" s="33"/>
      <c r="AP19" s="49"/>
      <c r="AQ19" s="47"/>
      <c r="AR19" s="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68"/>
      <c r="AJ20" s="68"/>
      <c r="AL20" s="33"/>
      <c r="AM20" s="33"/>
      <c r="AN20" s="33"/>
      <c r="AO20" s="33"/>
      <c r="AP20" s="49"/>
      <c r="AQ20" s="47"/>
      <c r="AR20" s="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68"/>
      <c r="AJ21" s="68"/>
      <c r="AL21" s="33"/>
      <c r="AM21" s="33"/>
      <c r="AN21" s="33"/>
      <c r="AO21" s="33"/>
      <c r="AP21" s="49"/>
      <c r="AQ21" s="47"/>
      <c r="AR21" s="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68"/>
      <c r="AJ22" s="68"/>
      <c r="AL22" s="33"/>
      <c r="AM22" s="33"/>
      <c r="AN22" s="33"/>
      <c r="AO22" s="33"/>
      <c r="AP22" s="49"/>
      <c r="AQ22" s="47"/>
      <c r="AR22" s="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68"/>
      <c r="AJ23" s="68"/>
      <c r="AL23" s="33"/>
      <c r="AM23" s="33"/>
      <c r="AN23" s="33"/>
      <c r="AO23" s="33"/>
      <c r="AP23" s="49"/>
      <c r="AQ23" s="47"/>
      <c r="AR23" s="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68"/>
      <c r="AJ24" s="68"/>
      <c r="AL24" s="33"/>
      <c r="AM24" s="33"/>
      <c r="AN24" s="33"/>
      <c r="AO24" s="33"/>
      <c r="AP24" s="49"/>
      <c r="AQ24" s="47"/>
      <c r="AR24" s="8"/>
    </row>
    <row r="25" spans="1:65"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S25" s="24"/>
      <c r="T25" s="24"/>
      <c r="U25" s="24"/>
      <c r="AA25" s="28"/>
      <c r="AB25" s="29"/>
      <c r="AC25" s="30"/>
      <c r="AE25" s="31"/>
      <c r="AF25" s="31"/>
      <c r="AG25" s="31"/>
      <c r="AI25" s="68"/>
      <c r="AJ25" s="68"/>
      <c r="AL25" s="33"/>
      <c r="AM25" s="33"/>
      <c r="AN25" s="33"/>
      <c r="AO25" s="33"/>
      <c r="AP25" s="49"/>
      <c r="AQ25" s="47"/>
      <c r="AR25" s="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68"/>
      <c r="AJ26" s="68"/>
      <c r="AL26" s="33"/>
      <c r="AM26" s="33"/>
      <c r="AN26" s="33"/>
      <c r="AO26" s="33"/>
      <c r="AP26" s="49"/>
      <c r="AQ26" s="47"/>
      <c r="AR26" s="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68"/>
      <c r="AJ27" s="68"/>
      <c r="AL27" s="33"/>
      <c r="AM27" s="33"/>
      <c r="AN27" s="33"/>
      <c r="AO27" s="33"/>
      <c r="AP27" s="49"/>
      <c r="AQ27" s="47"/>
      <c r="AR27" s="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68"/>
      <c r="AJ28" s="68"/>
      <c r="AL28" s="33"/>
      <c r="AM28" s="33"/>
      <c r="AN28" s="33"/>
      <c r="AO28" s="33"/>
      <c r="AP28" s="49"/>
      <c r="AQ28" s="47"/>
      <c r="AR28" s="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68"/>
      <c r="AJ29" s="68"/>
      <c r="AL29" s="33"/>
      <c r="AM29" s="33"/>
      <c r="AN29" s="33"/>
      <c r="AO29" s="33"/>
      <c r="AP29" s="49"/>
      <c r="AQ29" s="47"/>
      <c r="AR29" s="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68"/>
      <c r="AJ30" s="68"/>
      <c r="AL30" s="33"/>
      <c r="AM30" s="33"/>
      <c r="AN30" s="33"/>
      <c r="AO30" s="33"/>
      <c r="AP30" s="53"/>
      <c r="AQ30" s="32"/>
      <c r="AR30" s="8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68"/>
      <c r="AJ31" s="68"/>
      <c r="AL31" s="33"/>
      <c r="AM31" s="33"/>
      <c r="AN31" s="33"/>
      <c r="AO31" s="33"/>
      <c r="AR31" s="8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68"/>
      <c r="AJ32" s="68"/>
      <c r="AL32" s="33"/>
      <c r="AM32" s="33"/>
      <c r="AN32" s="33"/>
      <c r="AO32" s="33"/>
      <c r="AR32" s="8"/>
    </row>
    <row r="33" spans="3:44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68"/>
      <c r="AJ33" s="68"/>
      <c r="AL33" s="33"/>
      <c r="AM33" s="33"/>
      <c r="AN33" s="33"/>
      <c r="AO33" s="33"/>
      <c r="AR33" s="8"/>
    </row>
    <row r="34" spans="3:44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68"/>
      <c r="AJ34" s="68"/>
      <c r="AL34" s="33"/>
      <c r="AM34" s="33"/>
      <c r="AN34" s="33"/>
      <c r="AO34" s="33"/>
      <c r="AR34" s="8"/>
    </row>
    <row r="35" spans="3:44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68"/>
      <c r="AJ35" s="68"/>
      <c r="AL35" s="33"/>
      <c r="AM35" s="33"/>
      <c r="AN35" s="33"/>
      <c r="AO35" s="33"/>
      <c r="AR35" s="8"/>
    </row>
    <row r="36" spans="3:44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68"/>
      <c r="AJ36" s="68"/>
      <c r="AL36" s="33"/>
      <c r="AM36" s="33"/>
      <c r="AN36" s="33"/>
      <c r="AO36" s="33"/>
      <c r="AR36" s="8"/>
    </row>
    <row r="37" spans="3:44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68"/>
      <c r="AJ37" s="68"/>
      <c r="AL37" s="33"/>
      <c r="AM37" s="33"/>
      <c r="AN37" s="33"/>
      <c r="AO37" s="33"/>
      <c r="AR37" s="8"/>
    </row>
    <row r="38" spans="3:44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68"/>
      <c r="AJ38" s="68"/>
      <c r="AL38" s="33"/>
      <c r="AM38" s="33"/>
      <c r="AN38" s="33"/>
      <c r="AO38" s="33"/>
      <c r="AR38" s="8"/>
    </row>
    <row r="39" spans="3:44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68"/>
      <c r="AJ39" s="68"/>
      <c r="AL39" s="33"/>
      <c r="AM39" s="33"/>
      <c r="AN39" s="33"/>
      <c r="AO39" s="33"/>
      <c r="AR39" s="8"/>
    </row>
    <row r="40" spans="3:44">
      <c r="AA40" s="28"/>
      <c r="AI40" s="68"/>
      <c r="AJ40" s="68"/>
    </row>
    <row r="41" spans="3:44">
      <c r="AI41" s="68"/>
      <c r="AJ41" s="68"/>
    </row>
    <row r="42" spans="3:44">
      <c r="AI42" s="68"/>
      <c r="AJ42" s="68"/>
    </row>
    <row r="43" spans="3:44">
      <c r="AI43" s="68"/>
      <c r="AJ43" s="68"/>
    </row>
    <row r="44" spans="3:44">
      <c r="AI44" s="68"/>
      <c r="AJ44" s="68"/>
    </row>
    <row r="45" spans="3:44">
      <c r="AI45" s="68"/>
      <c r="AJ45" s="68"/>
    </row>
    <row r="46" spans="3:44">
      <c r="AI46" s="68"/>
      <c r="AJ46" s="68"/>
    </row>
    <row r="47" spans="3:44">
      <c r="AI47" s="68"/>
      <c r="AJ47" s="68"/>
    </row>
    <row r="48" spans="3:44">
      <c r="AI48" s="68"/>
      <c r="AJ48" s="68"/>
    </row>
    <row r="49" spans="35:36">
      <c r="AI49" s="68"/>
      <c r="AJ49" s="68"/>
    </row>
    <row r="50" spans="35:36">
      <c r="AI50" s="68"/>
      <c r="AJ50" s="68"/>
    </row>
    <row r="51" spans="35:36">
      <c r="AI51" s="68"/>
      <c r="AJ51" s="68"/>
    </row>
    <row r="52" spans="35:36">
      <c r="AI52" s="68"/>
      <c r="AJ52" s="68"/>
    </row>
    <row r="53" spans="35:36">
      <c r="AI53" s="68"/>
      <c r="AJ53" s="68"/>
    </row>
    <row r="54" spans="35:36">
      <c r="AI54" s="68"/>
      <c r="AJ54" s="6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AA47"/>
  <sheetViews>
    <sheetView tabSelected="1" workbookViewId="0">
      <selection activeCell="D17" sqref="D17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  <col min="25" max="25" width="12.83203125" bestFit="1" customWidth="1"/>
  </cols>
  <sheetData>
    <row r="1" spans="1:27">
      <c r="A1" s="119" t="s">
        <v>177</v>
      </c>
      <c r="B1" s="119"/>
      <c r="C1" s="119"/>
      <c r="D1" s="119"/>
      <c r="E1" s="119"/>
      <c r="F1" s="119"/>
      <c r="G1" s="120" t="s">
        <v>115</v>
      </c>
      <c r="H1" s="120"/>
      <c r="I1" s="120"/>
      <c r="J1" s="120"/>
      <c r="K1" s="120"/>
      <c r="L1" s="120"/>
      <c r="M1" s="120"/>
      <c r="N1" s="120"/>
      <c r="O1" s="105" t="s">
        <v>114</v>
      </c>
      <c r="P1" s="56"/>
      <c r="Q1" s="55" t="s">
        <v>121</v>
      </c>
      <c r="R1" s="55"/>
      <c r="S1" s="56"/>
      <c r="T1" s="56"/>
      <c r="W1" s="37"/>
      <c r="X1" s="56"/>
      <c r="Y1" s="55"/>
    </row>
    <row r="2" spans="1:27" ht="17">
      <c r="A2" s="106" t="s">
        <v>92</v>
      </c>
      <c r="B2" s="106" t="s">
        <v>31</v>
      </c>
      <c r="C2" s="106" t="s">
        <v>32</v>
      </c>
      <c r="D2" s="106" t="s">
        <v>33</v>
      </c>
      <c r="E2" s="106" t="s">
        <v>34</v>
      </c>
      <c r="F2" s="106" t="s">
        <v>35</v>
      </c>
      <c r="G2" s="107" t="s">
        <v>98</v>
      </c>
      <c r="H2" s="107" t="s">
        <v>99</v>
      </c>
      <c r="I2" s="107" t="s">
        <v>100</v>
      </c>
      <c r="J2" s="107" t="s">
        <v>101</v>
      </c>
      <c r="K2" s="107" t="s">
        <v>102</v>
      </c>
      <c r="L2" s="107" t="s">
        <v>103</v>
      </c>
      <c r="M2" s="107" t="s">
        <v>104</v>
      </c>
      <c r="N2" s="107" t="s">
        <v>105</v>
      </c>
      <c r="P2" s="56" t="s">
        <v>2</v>
      </c>
      <c r="Q2" s="56" t="s">
        <v>108</v>
      </c>
      <c r="R2" s="56" t="s">
        <v>109</v>
      </c>
      <c r="S2" s="56" t="s">
        <v>26</v>
      </c>
      <c r="T2" s="37" t="s">
        <v>27</v>
      </c>
      <c r="U2" s="56" t="s">
        <v>110</v>
      </c>
      <c r="V2" s="56" t="s">
        <v>111</v>
      </c>
      <c r="W2" s="56" t="s">
        <v>112</v>
      </c>
      <c r="X2" s="56" t="s">
        <v>113</v>
      </c>
      <c r="Y2" t="s">
        <v>106</v>
      </c>
      <c r="Z2" t="s">
        <v>107</v>
      </c>
    </row>
    <row r="3" spans="1:27" ht="17" thickBot="1">
      <c r="A3" s="61" t="s">
        <v>36</v>
      </c>
      <c r="B3" s="62">
        <v>15.6</v>
      </c>
      <c r="C3" s="62">
        <v>-2.2999999999999998</v>
      </c>
      <c r="D3" s="62">
        <f>AVERAGE(B3:C3)</f>
        <v>6.65</v>
      </c>
      <c r="E3" s="62">
        <v>44.4</v>
      </c>
      <c r="F3" s="62">
        <f>B3-C3</f>
        <v>17.899999999999999</v>
      </c>
      <c r="G3" s="58">
        <f>(B3/1000+1)*0.0036765</f>
        <v>3.7338534000000002E-3</v>
      </c>
      <c r="H3" s="58">
        <f>(C3/1000+1)*0.0036765</f>
        <v>3.6680440500000003E-3</v>
      </c>
      <c r="I3" s="58">
        <f>(E3/1000+1)*0.0020052</f>
        <v>2.0942308799999998E-3</v>
      </c>
      <c r="J3" s="58">
        <f>(I3/0.0020052)^0.516*0.0003799</f>
        <v>3.8851214090513769E-4</v>
      </c>
      <c r="K3" s="59">
        <f>G3+H3+J3</f>
        <v>7.7904095909051381E-3</v>
      </c>
      <c r="L3" s="59">
        <f>(G3+H3)*J3+I3+G3*H3</f>
        <v>2.110802545772502E-3</v>
      </c>
      <c r="M3" s="60">
        <f>K3/size_correction!X$3</f>
        <v>1.0063795998080221</v>
      </c>
      <c r="N3" s="60">
        <f>L3/size_correction!Y$3</f>
        <v>1.0045245066467894</v>
      </c>
      <c r="P3" s="56" t="str">
        <f>size_correction!D3</f>
        <v>ATM_EQ_SW</v>
      </c>
      <c r="Q3" s="61">
        <f t="shared" ref="Q3:R5" si="0">M3</f>
        <v>1.0063795998080221</v>
      </c>
      <c r="R3" s="61">
        <f t="shared" si="0"/>
        <v>1.0045245066467894</v>
      </c>
      <c r="S3" s="102">
        <f>size_correction!AF3</f>
        <v>1.0056851052976181</v>
      </c>
      <c r="T3" s="102">
        <f>size_correction!AG3</f>
        <v>1.0075218399408568</v>
      </c>
      <c r="U3" s="60">
        <f t="shared" ref="U3:U17" si="1">LN(S3)</f>
        <v>5.6690060748599133E-3</v>
      </c>
      <c r="V3" s="60">
        <f t="shared" ref="V3:V17" si="2">LN(T3)</f>
        <v>7.4936919644022753E-3</v>
      </c>
      <c r="W3" s="60">
        <f t="shared" ref="W3:X9" si="3">LN(Q3)</f>
        <v>6.359336297563082E-3</v>
      </c>
      <c r="X3" s="60">
        <f t="shared" si="3"/>
        <v>4.5143018361687463E-3</v>
      </c>
      <c r="Y3" s="64">
        <f>SLOPE(W3:W54,U3:U54)</f>
        <v>0.91041071995587675</v>
      </c>
      <c r="Z3" s="64">
        <f>SLOPE(X3:X54,V3:V54)</f>
        <v>0.87174417962681128</v>
      </c>
      <c r="AA3" t="s">
        <v>181</v>
      </c>
    </row>
    <row r="4" spans="1:27" ht="18" thickTop="1" thickBot="1">
      <c r="A4" s="61" t="s">
        <v>38</v>
      </c>
      <c r="B4" s="62">
        <v>5.55</v>
      </c>
      <c r="C4" s="62">
        <v>-12.87</v>
      </c>
      <c r="D4" s="62">
        <f>AVERAGE(B4:C4)</f>
        <v>-3.6599999999999997</v>
      </c>
      <c r="E4" s="62">
        <v>32.729999999999997</v>
      </c>
      <c r="F4" s="62">
        <f t="shared" ref="F4:F9" si="4">B4-C4</f>
        <v>18.419999999999998</v>
      </c>
      <c r="G4" s="58">
        <f>(B4/1000+1)*0.0036765</f>
        <v>3.6969045749999999E-3</v>
      </c>
      <c r="H4" s="58">
        <f>(C4/1000+1)*0.0036765</f>
        <v>3.6291834449999998E-3</v>
      </c>
      <c r="I4" s="58">
        <f>(E4/1000+1)*0.0020052</f>
        <v>2.0708301959999997E-3</v>
      </c>
      <c r="J4" s="58">
        <f>(I4/0.0020052)^0.516*0.0003799</f>
        <v>3.8626599693337293E-4</v>
      </c>
      <c r="K4" s="59">
        <f>G4+H4+J4</f>
        <v>7.7123540169333725E-3</v>
      </c>
      <c r="L4" s="59">
        <f>(G4+H4)*J4+I4+G4*H4</f>
        <v>2.0870767595740011E-3</v>
      </c>
      <c r="M4" s="60">
        <f>K4/size_correction!X$3</f>
        <v>0.99629623559207658</v>
      </c>
      <c r="N4" s="60">
        <f>L4/size_correction!Y$3</f>
        <v>0.99323347721175814</v>
      </c>
      <c r="P4" s="56" t="str">
        <f>size_correction!D4</f>
        <v>S2_ref_1</v>
      </c>
      <c r="Q4" s="61">
        <f t="shared" si="0"/>
        <v>0.99629623559207658</v>
      </c>
      <c r="R4" s="61">
        <f t="shared" si="0"/>
        <v>0.99323347721175814</v>
      </c>
      <c r="S4" s="102">
        <f>size_correction!AF4</f>
        <v>0.99668972770557829</v>
      </c>
      <c r="T4" s="102">
        <f>size_correction!AG4</f>
        <v>0.99497700286985102</v>
      </c>
      <c r="U4" s="60">
        <f t="shared" si="1"/>
        <v>-3.3157633670658081E-3</v>
      </c>
      <c r="V4" s="60">
        <f t="shared" si="2"/>
        <v>-5.0356547842637621E-3</v>
      </c>
      <c r="W4" s="60">
        <f t="shared" si="3"/>
        <v>-3.7106403264234645E-3</v>
      </c>
      <c r="X4" s="60">
        <f t="shared" si="3"/>
        <v>-6.7895195007912175E-3</v>
      </c>
      <c r="Y4" s="64">
        <f>INTERCEPT(W3:W54,U3:U54)</f>
        <v>6.9469397524750496E-4</v>
      </c>
      <c r="Z4" s="64">
        <f>INTERCEPT(X3:X54,V3:V54)</f>
        <v>-2.0580238405652936E-3</v>
      </c>
      <c r="AA4" t="s">
        <v>182</v>
      </c>
    </row>
    <row r="5" spans="1:27" ht="18" thickTop="1" thickBot="1">
      <c r="A5" s="61" t="s">
        <v>37</v>
      </c>
      <c r="B5" s="62">
        <v>-0.40396535511111115</v>
      </c>
      <c r="C5" s="62">
        <v>-0.14814902897277774</v>
      </c>
      <c r="D5" s="62">
        <f>AVERAGE(B5:C5)</f>
        <v>-0.27605719204194445</v>
      </c>
      <c r="E5" s="62">
        <v>41.949257311111111</v>
      </c>
      <c r="F5" s="62">
        <f t="shared" si="4"/>
        <v>-0.25581632613833338</v>
      </c>
      <c r="G5" s="58">
        <f t="shared" ref="G5:H9" si="5">(B5/1000+1)*0.0036765</f>
        <v>3.6750148213719339E-3</v>
      </c>
      <c r="H5" s="58">
        <f t="shared" si="5"/>
        <v>3.6759553300949816E-3</v>
      </c>
      <c r="I5" s="58">
        <f t="shared" ref="I5:I9" si="6">(E5/1000+1)*0.0020052</f>
        <v>2.0893166507602399E-3</v>
      </c>
      <c r="J5" s="58">
        <f t="shared" ref="J5:J9" si="7">(I5/0.0020052)^0.516*0.0003799</f>
        <v>3.8804145413997107E-4</v>
      </c>
      <c r="K5" s="59">
        <f t="shared" ref="K5:K9" si="8">G5+H5+J5</f>
        <v>7.7390116056068863E-3</v>
      </c>
      <c r="L5" s="59">
        <f t="shared" ref="L5:L9" si="9">(G5+H5)*J5+I5+G5*H5</f>
        <v>2.1056783222279545E-3</v>
      </c>
      <c r="M5" s="60">
        <f>K5/size_correction!X$3</f>
        <v>0.99973991247556382</v>
      </c>
      <c r="N5" s="60">
        <f>L5/size_correction!Y$3</f>
        <v>1.0020859042591128</v>
      </c>
      <c r="P5" s="56" t="str">
        <f>size_correction!D5</f>
        <v>B6_ref_1</v>
      </c>
      <c r="Q5" s="61">
        <f t="shared" si="0"/>
        <v>0.99973991247556382</v>
      </c>
      <c r="R5" s="61">
        <f t="shared" si="0"/>
        <v>1.0020859042591128</v>
      </c>
      <c r="S5" s="102">
        <f>size_correction!AF5</f>
        <v>1.0003832772874761</v>
      </c>
      <c r="T5" s="102">
        <f>size_correction!AG5</f>
        <v>1.0043106480077921</v>
      </c>
      <c r="U5" s="60">
        <f t="shared" si="1"/>
        <v>3.8320385549917295E-4</v>
      </c>
      <c r="V5" s="60">
        <f t="shared" si="2"/>
        <v>4.3013837783483656E-3</v>
      </c>
      <c r="W5" s="60">
        <f t="shared" si="3"/>
        <v>-2.601213530620943E-4</v>
      </c>
      <c r="X5" s="60">
        <f t="shared" si="3"/>
        <v>2.0837317813529109E-3</v>
      </c>
    </row>
    <row r="6" spans="1:27" ht="18" thickTop="1" thickBot="1">
      <c r="A6" s="61" t="s">
        <v>175</v>
      </c>
      <c r="B6" s="62">
        <v>-22.21</v>
      </c>
      <c r="C6" s="62">
        <v>-49.28</v>
      </c>
      <c r="D6" s="62">
        <f t="shared" ref="D6:D9" si="10">AVERAGE(B6:C6)</f>
        <v>-35.745000000000005</v>
      </c>
      <c r="E6" s="62">
        <v>26.94</v>
      </c>
      <c r="F6" s="62">
        <f t="shared" si="4"/>
        <v>27.07</v>
      </c>
      <c r="G6" s="58">
        <f t="shared" si="5"/>
        <v>3.5948449350000004E-3</v>
      </c>
      <c r="H6" s="58">
        <f t="shared" si="5"/>
        <v>3.49532208E-3</v>
      </c>
      <c r="I6" s="58">
        <f t="shared" si="6"/>
        <v>2.0592200879999997E-3</v>
      </c>
      <c r="J6" s="58">
        <f t="shared" si="7"/>
        <v>3.8514702697154833E-4</v>
      </c>
      <c r="K6" s="59">
        <f t="shared" si="8"/>
        <v>7.4753140419715489E-3</v>
      </c>
      <c r="L6" s="59">
        <f t="shared" si="9"/>
        <v>2.0745159856220404E-3</v>
      </c>
      <c r="M6" s="60">
        <f>K6/size_correction!X$3</f>
        <v>0.96567497077192133</v>
      </c>
      <c r="N6" s="60">
        <f>L6/size_correction!Y$3</f>
        <v>0.98725584312065584</v>
      </c>
      <c r="P6" s="56" t="str">
        <f>size_correction!D6</f>
        <v>ATM_EQ_SW_1</v>
      </c>
      <c r="Q6" s="61">
        <f t="shared" ref="Q6:R8" si="11">M3</f>
        <v>1.0063795998080221</v>
      </c>
      <c r="R6" s="61">
        <f t="shared" si="11"/>
        <v>1.0045245066467894</v>
      </c>
      <c r="S6" s="102">
        <f>size_correction!AF6</f>
        <v>1.0064059824102283</v>
      </c>
      <c r="T6" s="102">
        <f>size_correction!AG6</f>
        <v>1.0077071570383731</v>
      </c>
      <c r="U6" s="60">
        <f t="shared" si="1"/>
        <v>6.3855513126554056E-3</v>
      </c>
      <c r="V6" s="60">
        <f t="shared" si="2"/>
        <v>7.6776086292741075E-3</v>
      </c>
      <c r="W6" s="60">
        <f t="shared" si="3"/>
        <v>6.359336297563082E-3</v>
      </c>
      <c r="X6" s="60">
        <f t="shared" si="3"/>
        <v>4.5143018361687463E-3</v>
      </c>
    </row>
    <row r="7" spans="1:27" ht="18" thickTop="1" thickBot="1">
      <c r="A7" s="61">
        <v>53504</v>
      </c>
      <c r="B7" s="62">
        <v>1.71</v>
      </c>
      <c r="C7" s="62">
        <v>94.44</v>
      </c>
      <c r="D7" s="62">
        <f t="shared" si="10"/>
        <v>48.074999999999996</v>
      </c>
      <c r="E7" s="62">
        <v>36.01</v>
      </c>
      <c r="F7" s="62">
        <f t="shared" si="4"/>
        <v>-92.73</v>
      </c>
      <c r="G7" s="58">
        <f>(B7/1000+1)*0.0036765</f>
        <v>3.6827868150000006E-3</v>
      </c>
      <c r="H7" s="58">
        <f t="shared" si="5"/>
        <v>4.0237086600000008E-3</v>
      </c>
      <c r="I7" s="58">
        <f t="shared" si="6"/>
        <v>2.0774072520000002E-3</v>
      </c>
      <c r="J7" s="58">
        <f t="shared" si="7"/>
        <v>3.8689853960154226E-4</v>
      </c>
      <c r="K7" s="59">
        <f t="shared" si="8"/>
        <v>8.0933940146015442E-3</v>
      </c>
      <c r="L7" s="59">
        <f t="shared" si="9"/>
        <v>2.0952073450451725E-3</v>
      </c>
      <c r="M7" s="60">
        <f>K7/size_correction!X$3</f>
        <v>1.0455196911613223</v>
      </c>
      <c r="N7" s="60">
        <f>L7/size_correction!Y$3</f>
        <v>0.99710279808951408</v>
      </c>
      <c r="P7" s="56" t="str">
        <f>size_correction!D7</f>
        <v>S2_ref_2</v>
      </c>
      <c r="Q7" s="61">
        <f t="shared" si="11"/>
        <v>0.99629623559207658</v>
      </c>
      <c r="R7" s="61">
        <f t="shared" si="11"/>
        <v>0.99323347721175814</v>
      </c>
      <c r="S7" s="102">
        <f>size_correction!AF7</f>
        <v>0.99663201609671503</v>
      </c>
      <c r="T7" s="102">
        <f>size_correction!AG7</f>
        <v>0.9951628615034982</v>
      </c>
      <c r="U7" s="60">
        <f t="shared" si="1"/>
        <v>-3.3736683280273967E-3</v>
      </c>
      <c r="V7" s="60">
        <f t="shared" si="2"/>
        <v>-4.8488753146248009E-3</v>
      </c>
      <c r="W7" s="60">
        <f t="shared" si="3"/>
        <v>-3.7106403264234645E-3</v>
      </c>
      <c r="X7" s="60">
        <f t="shared" si="3"/>
        <v>-6.7895195007912175E-3</v>
      </c>
    </row>
    <row r="8" spans="1:27" ht="18" thickTop="1" thickBot="1">
      <c r="A8" s="61" t="s">
        <v>176</v>
      </c>
      <c r="B8" s="62">
        <v>17.11</v>
      </c>
      <c r="C8" s="62">
        <v>-3.43</v>
      </c>
      <c r="D8" s="62">
        <f t="shared" si="10"/>
        <v>6.84</v>
      </c>
      <c r="E8" s="62">
        <v>35.29</v>
      </c>
      <c r="F8" s="62">
        <f t="shared" si="4"/>
        <v>20.54</v>
      </c>
      <c r="G8" s="58">
        <f t="shared" si="5"/>
        <v>3.7394049149999998E-3</v>
      </c>
      <c r="H8" s="58">
        <f t="shared" si="5"/>
        <v>3.6638896049999998E-3</v>
      </c>
      <c r="I8" s="58">
        <f t="shared" si="6"/>
        <v>2.0759635080000003E-3</v>
      </c>
      <c r="J8" s="58">
        <f t="shared" si="7"/>
        <v>3.8675977189798279E-4</v>
      </c>
      <c r="K8" s="59">
        <f t="shared" si="8"/>
        <v>7.7900542918979817E-3</v>
      </c>
      <c r="L8" s="59">
        <f t="shared" si="9"/>
        <v>2.0925275712968031E-3</v>
      </c>
      <c r="M8" s="60">
        <f>K8/size_correction!X$3</f>
        <v>1.0063337016214811</v>
      </c>
      <c r="N8" s="60">
        <f>L8/size_correction!Y$3</f>
        <v>0.99582750191939284</v>
      </c>
      <c r="P8" s="56" t="str">
        <f>size_correction!D8</f>
        <v>B6_ref_2</v>
      </c>
      <c r="Q8" s="61">
        <f t="shared" si="11"/>
        <v>0.99973991247556382</v>
      </c>
      <c r="R8" s="61">
        <f t="shared" si="11"/>
        <v>1.0020859042591128</v>
      </c>
      <c r="S8" s="102">
        <f>size_correction!AF8</f>
        <v>0.99917068284195976</v>
      </c>
      <c r="T8" s="102">
        <f>size_correction!AG8</f>
        <v>1.0023860907979212</v>
      </c>
      <c r="U8" s="60">
        <f t="shared" si="1"/>
        <v>-8.2966123175853173E-4</v>
      </c>
      <c r="V8" s="60">
        <f t="shared" si="2"/>
        <v>2.3832486035312902E-3</v>
      </c>
      <c r="W8" s="60">
        <f t="shared" si="3"/>
        <v>-2.601213530620943E-4</v>
      </c>
      <c r="X8" s="60">
        <f t="shared" si="3"/>
        <v>2.0837317813529109E-3</v>
      </c>
    </row>
    <row r="9" spans="1:27" ht="18" thickTop="1" thickBot="1">
      <c r="A9" s="108">
        <v>90454</v>
      </c>
      <c r="B9" s="109">
        <v>25.73</v>
      </c>
      <c r="C9" s="109">
        <v>25.44</v>
      </c>
      <c r="D9" s="109">
        <f t="shared" si="10"/>
        <v>25.585000000000001</v>
      </c>
      <c r="E9" s="109">
        <v>35.880000000000003</v>
      </c>
      <c r="F9" s="109">
        <f t="shared" si="4"/>
        <v>0.28999999999999915</v>
      </c>
      <c r="G9" s="110">
        <f t="shared" si="5"/>
        <v>3.7710963450000002E-3</v>
      </c>
      <c r="H9" s="110">
        <f t="shared" si="5"/>
        <v>3.7700301599999995E-3</v>
      </c>
      <c r="I9" s="110">
        <f t="shared" si="6"/>
        <v>2.0771465759999996E-3</v>
      </c>
      <c r="J9" s="110">
        <f t="shared" si="7"/>
        <v>3.8687348777560239E-4</v>
      </c>
      <c r="K9" s="111">
        <f t="shared" si="8"/>
        <v>7.9279999927756029E-3</v>
      </c>
      <c r="L9" s="111">
        <f t="shared" si="9"/>
        <v>2.0942811848696616E-3</v>
      </c>
      <c r="M9" s="60">
        <f>K9/size_correction!X$3</f>
        <v>1.0241537838167134</v>
      </c>
      <c r="N9" s="60">
        <f>L9/size_correction!Y$3</f>
        <v>0.99666204128104596</v>
      </c>
      <c r="P9" s="56" t="str">
        <f>size_correction!D9</f>
        <v>ATM_EQ_SW_2</v>
      </c>
      <c r="Q9" s="61">
        <f>M3</f>
        <v>1.0063795998080221</v>
      </c>
      <c r="R9" s="61">
        <f>N3</f>
        <v>1.0045245066467894</v>
      </c>
      <c r="S9" s="102">
        <f>size_correction!AF9</f>
        <v>1.0050941512728657</v>
      </c>
      <c r="T9" s="102">
        <f>size_correction!AG9</f>
        <v>1.0057116133646442</v>
      </c>
      <c r="U9" s="60">
        <f t="shared" si="1"/>
        <v>5.0812199816469847E-3</v>
      </c>
      <c r="V9" s="60">
        <f t="shared" si="2"/>
        <v>5.6953639452707308E-3</v>
      </c>
      <c r="W9" s="60">
        <f t="shared" si="3"/>
        <v>6.359336297563082E-3</v>
      </c>
      <c r="X9" s="60">
        <f t="shared" si="3"/>
        <v>4.5143018361687463E-3</v>
      </c>
    </row>
    <row r="10" spans="1:27" ht="18" thickTop="1" thickBot="1">
      <c r="A10" s="108">
        <v>94321</v>
      </c>
      <c r="B10" s="123">
        <v>50.52</v>
      </c>
      <c r="C10" s="123">
        <v>2.21</v>
      </c>
      <c r="D10" s="109">
        <f t="shared" ref="D10" si="12">AVERAGE(B10:C10)</f>
        <v>26.365000000000002</v>
      </c>
      <c r="E10" s="123">
        <v>35.54</v>
      </c>
      <c r="F10" s="109">
        <f t="shared" ref="F10" si="13">B10-C10</f>
        <v>48.31</v>
      </c>
      <c r="G10" s="110">
        <f t="shared" ref="G10" si="14">(B10/1000+1)*0.0036765</f>
        <v>3.8622367799999997E-3</v>
      </c>
      <c r="H10" s="110">
        <f t="shared" ref="H10" si="15">(C10/1000+1)*0.0036765</f>
        <v>3.6846250650000001E-3</v>
      </c>
      <c r="I10" s="110">
        <f t="shared" ref="I10" si="16">(E10/1000+1)*0.0020052</f>
        <v>2.0764648079999999E-3</v>
      </c>
      <c r="J10" s="110">
        <f t="shared" ref="J10" si="17">(I10/0.0020052)^0.516*0.0003799</f>
        <v>3.8680796042037466E-4</v>
      </c>
      <c r="K10" s="111">
        <f t="shared" ref="K10" si="18">G10+H10+J10</f>
        <v>7.9336698054203753E-3</v>
      </c>
      <c r="L10" s="111">
        <f t="shared" ref="L10" si="19">(G10+H10)*J10+I10+G10*H10</f>
        <v>2.0936148886843914E-3</v>
      </c>
      <c r="M10" s="60">
        <f>K10/size_correction!X$3</f>
        <v>1.0248862207590654</v>
      </c>
      <c r="N10" s="60">
        <f>L10/size_correction!Y$3</f>
        <v>0.99634495295455627</v>
      </c>
      <c r="P10" s="56" t="str">
        <f>size_correction!D10</f>
        <v>DI</v>
      </c>
      <c r="Q10" s="61">
        <f>M4</f>
        <v>0.99629623559207658</v>
      </c>
      <c r="R10" s="61">
        <f>N4</f>
        <v>0.99323347721175814</v>
      </c>
      <c r="S10" s="102">
        <f>size_correction!AF10</f>
        <v>0.99092722925764687</v>
      </c>
      <c r="T10" s="102">
        <f>size_correction!AG10</f>
        <v>1.0049378092932522</v>
      </c>
      <c r="U10" s="60">
        <f t="shared" ref="U10" si="20">LN(S10)</f>
        <v>-9.1141789753790732E-3</v>
      </c>
      <c r="V10" s="60">
        <f t="shared" ref="V10" si="21">LN(T10)</f>
        <v>4.9256582960658154E-3</v>
      </c>
      <c r="W10" s="60">
        <f t="shared" ref="W10" si="22">LN(Q10)</f>
        <v>-3.7106403264234645E-3</v>
      </c>
      <c r="X10" s="60">
        <f t="shared" ref="X10" si="23">LN(R10)</f>
        <v>-6.7895195007912175E-3</v>
      </c>
    </row>
    <row r="11" spans="1:27" ht="18" thickTop="1" thickBot="1">
      <c r="L11" s="56"/>
      <c r="M11" s="56"/>
      <c r="P11" s="56" t="str">
        <f>size_correction!D11</f>
        <v>ATM_EQ_SW_1</v>
      </c>
      <c r="Q11" s="61">
        <f t="shared" ref="Q11:R13" si="24">M3</f>
        <v>1.0063795998080221</v>
      </c>
      <c r="R11" s="61">
        <f t="shared" si="24"/>
        <v>1.0045245066467894</v>
      </c>
      <c r="S11" s="102">
        <f>size_correction!AF11</f>
        <v>1.0057192814133826</v>
      </c>
      <c r="T11" s="102">
        <f>size_correction!AG11</f>
        <v>1.0054625917600983</v>
      </c>
      <c r="U11" s="60">
        <f t="shared" si="1"/>
        <v>5.7029884167436144E-3</v>
      </c>
      <c r="V11" s="60">
        <f t="shared" si="2"/>
        <v>5.4477259185061388E-3</v>
      </c>
      <c r="W11" s="60">
        <f t="shared" ref="W11:X16" si="25">LN(Q11)</f>
        <v>6.359336297563082E-3</v>
      </c>
      <c r="X11" s="60">
        <f t="shared" si="25"/>
        <v>4.5143018361687463E-3</v>
      </c>
    </row>
    <row r="12" spans="1:27" ht="18" thickTop="1" thickBot="1">
      <c r="M12" s="56"/>
      <c r="O12" s="56"/>
      <c r="P12" s="56" t="str">
        <f>size_correction!D12</f>
        <v>S2_ref_1</v>
      </c>
      <c r="Q12" s="61">
        <f t="shared" si="24"/>
        <v>0.99629623559207658</v>
      </c>
      <c r="R12" s="61">
        <f t="shared" si="24"/>
        <v>0.99323347721175814</v>
      </c>
      <c r="S12" s="102">
        <f>size_correction!AF12</f>
        <v>0.99641187878361481</v>
      </c>
      <c r="T12" s="102">
        <f>size_correction!AG12</f>
        <v>0.99378130442821833</v>
      </c>
      <c r="U12" s="60">
        <f t="shared" si="1"/>
        <v>-3.5945739634335372E-3</v>
      </c>
      <c r="V12" s="60">
        <f t="shared" si="2"/>
        <v>-6.2381121983366193E-3</v>
      </c>
      <c r="W12" s="60">
        <f t="shared" si="25"/>
        <v>-3.7106403264234645E-3</v>
      </c>
      <c r="X12" s="60">
        <f t="shared" si="25"/>
        <v>-6.7895195007912175E-3</v>
      </c>
    </row>
    <row r="13" spans="1:27" ht="18" thickTop="1" thickBot="1">
      <c r="P13" s="56" t="str">
        <f>size_correction!D13</f>
        <v>B6_ref_1</v>
      </c>
      <c r="Q13" s="61">
        <f t="shared" si="24"/>
        <v>0.99973991247556382</v>
      </c>
      <c r="R13" s="61">
        <f t="shared" si="24"/>
        <v>1.0020859042591128</v>
      </c>
      <c r="S13" s="102">
        <f>size_correction!AF13</f>
        <v>1.0001796848444418</v>
      </c>
      <c r="T13" s="102">
        <f>size_correction!AG13</f>
        <v>1.0040343543858852</v>
      </c>
      <c r="U13" s="60">
        <f t="shared" si="1"/>
        <v>1.7966870305363727E-4</v>
      </c>
      <c r="V13" s="60">
        <f t="shared" si="2"/>
        <v>4.0262381999534996E-3</v>
      </c>
      <c r="W13" s="60">
        <f t="shared" si="25"/>
        <v>-2.601213530620943E-4</v>
      </c>
      <c r="X13" s="60">
        <f t="shared" si="25"/>
        <v>2.0837317813529109E-3</v>
      </c>
    </row>
    <row r="14" spans="1:27" ht="18" thickTop="1" thickBot="1">
      <c r="P14" s="56" t="str">
        <f>size_correction!D14</f>
        <v>ATM_EQ_SW_2</v>
      </c>
      <c r="Q14" s="61">
        <f>M3</f>
        <v>1.0063795998080221</v>
      </c>
      <c r="R14" s="61">
        <f>N3</f>
        <v>1.0045245066467894</v>
      </c>
      <c r="S14" s="102">
        <f>size_correction!AF14</f>
        <v>1.0048805539160894</v>
      </c>
      <c r="T14" s="102">
        <f>size_correction!AG14</f>
        <v>1.0053599727245706</v>
      </c>
      <c r="U14" s="60">
        <f t="shared" si="1"/>
        <v>4.8686826228146419E-3</v>
      </c>
      <c r="V14" s="60">
        <f t="shared" si="2"/>
        <v>5.3456591947391319E-3</v>
      </c>
      <c r="W14" s="60">
        <f t="shared" si="25"/>
        <v>6.359336297563082E-3</v>
      </c>
      <c r="X14" s="60">
        <f t="shared" si="25"/>
        <v>4.5143018361687463E-3</v>
      </c>
    </row>
    <row r="15" spans="1:27" ht="18" thickTop="1" thickBot="1">
      <c r="P15" s="56" t="str">
        <f>size_correction!D15</f>
        <v>ATM_EQ_SW_3</v>
      </c>
      <c r="Q15" s="61">
        <f>M3</f>
        <v>1.0063795998080221</v>
      </c>
      <c r="R15" s="61">
        <f>N3</f>
        <v>1.0045245066467894</v>
      </c>
      <c r="S15" s="102">
        <f>size_correction!AF15</f>
        <v>1.0056387310168626</v>
      </c>
      <c r="T15" s="102">
        <f>size_correction!AG15</f>
        <v>1.0064676550191509</v>
      </c>
      <c r="U15" s="60">
        <f t="shared" si="1"/>
        <v>5.6228928832132777E-3</v>
      </c>
      <c r="V15" s="60">
        <f t="shared" si="2"/>
        <v>6.446829485110093E-3</v>
      </c>
      <c r="W15" s="60">
        <f t="shared" si="25"/>
        <v>6.359336297563082E-3</v>
      </c>
      <c r="X15" s="60">
        <f t="shared" si="25"/>
        <v>4.5143018361687463E-3</v>
      </c>
    </row>
    <row r="16" spans="1:27" ht="18" thickTop="1" thickBot="1">
      <c r="P16" s="56" t="str">
        <f>size_correction!D16</f>
        <v>S2_ref_2</v>
      </c>
      <c r="Q16" s="61">
        <f>M4</f>
        <v>0.99629623559207658</v>
      </c>
      <c r="R16" s="61">
        <f>N4</f>
        <v>0.99323347721175814</v>
      </c>
      <c r="S16" s="102">
        <f>size_correction!AF16</f>
        <v>0.99633327484903467</v>
      </c>
      <c r="T16" s="102">
        <f>size_correction!AG16</f>
        <v>0.99474403428411884</v>
      </c>
      <c r="U16" s="60">
        <f t="shared" si="1"/>
        <v>-3.6734640658408848E-3</v>
      </c>
      <c r="V16" s="60">
        <f t="shared" si="2"/>
        <v>-5.2698268942697113E-3</v>
      </c>
      <c r="W16" s="60">
        <f t="shared" si="25"/>
        <v>-3.7106403264234645E-3</v>
      </c>
      <c r="X16" s="60">
        <f t="shared" si="25"/>
        <v>-6.7895195007912175E-3</v>
      </c>
    </row>
    <row r="17" spans="4:24" ht="18" thickTop="1" thickBot="1">
      <c r="P17" s="56" t="str">
        <f>size_correction!D17</f>
        <v>DI</v>
      </c>
      <c r="Q17" s="61"/>
      <c r="R17" s="61"/>
      <c r="S17" s="102">
        <f>size_correction!AF17</f>
        <v>0.99349493237592013</v>
      </c>
      <c r="T17" s="102">
        <f>size_correction!AG17</f>
        <v>1.0044001925480899</v>
      </c>
      <c r="U17" s="60">
        <f t="shared" si="1"/>
        <v>-6.5263177824188435E-3</v>
      </c>
      <c r="V17" s="60">
        <f t="shared" si="2"/>
        <v>4.3905400058642007E-3</v>
      </c>
      <c r="W17" s="60"/>
      <c r="X17" s="60"/>
    </row>
    <row r="18" spans="4:24" ht="17" thickTop="1"/>
    <row r="28" spans="4:24">
      <c r="D28" s="56"/>
      <c r="E28" s="57"/>
    </row>
    <row r="29" spans="4:24">
      <c r="D29" s="56"/>
      <c r="E29" s="57"/>
    </row>
    <row r="30" spans="4:24">
      <c r="D30" s="56"/>
      <c r="E30" s="57"/>
    </row>
    <row r="31" spans="4:24">
      <c r="D31" s="56"/>
      <c r="E31" s="57"/>
    </row>
    <row r="32" spans="4:24">
      <c r="D32" s="56"/>
      <c r="E32" s="57"/>
    </row>
    <row r="33" spans="4:5">
      <c r="D33" s="56"/>
      <c r="E33" s="57"/>
    </row>
    <row r="34" spans="4:5">
      <c r="D34" s="56"/>
      <c r="E34" s="57"/>
    </row>
    <row r="35" spans="4:5">
      <c r="D35" s="56"/>
      <c r="E35" s="57"/>
    </row>
    <row r="36" spans="4:5">
      <c r="D36" s="56"/>
      <c r="E36" s="57"/>
    </row>
    <row r="37" spans="4:5">
      <c r="D37" s="56"/>
      <c r="E37" s="57"/>
    </row>
    <row r="38" spans="4:5">
      <c r="D38" s="56"/>
      <c r="E38" s="57"/>
    </row>
    <row r="39" spans="4:5">
      <c r="D39" s="56"/>
      <c r="E39" s="57"/>
    </row>
    <row r="40" spans="4:5">
      <c r="D40" s="56"/>
      <c r="E40" s="57"/>
    </row>
    <row r="41" spans="4:5">
      <c r="D41" s="56"/>
      <c r="E41" s="57"/>
    </row>
    <row r="42" spans="4:5">
      <c r="D42" s="56"/>
      <c r="E42" s="57"/>
    </row>
    <row r="43" spans="4:5">
      <c r="D43" s="56"/>
      <c r="E43" s="57"/>
    </row>
    <row r="44" spans="4:5">
      <c r="D44" s="56"/>
      <c r="E44" s="57"/>
    </row>
    <row r="45" spans="4:5">
      <c r="D45" s="56"/>
      <c r="E45" s="57"/>
    </row>
    <row r="46" spans="4:5">
      <c r="D46" s="56"/>
      <c r="E46" s="57"/>
    </row>
    <row r="47" spans="4:5">
      <c r="D47" s="56"/>
      <c r="E47" s="57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opLeftCell="U1" workbookViewId="0">
      <selection activeCell="L4" sqref="L4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173</v>
      </c>
      <c r="M1" t="s">
        <v>122</v>
      </c>
      <c r="N1">
        <v>3.7990000000000002E-4</v>
      </c>
      <c r="O1" s="24" t="s">
        <v>123</v>
      </c>
      <c r="P1" s="24"/>
      <c r="Q1" s="24"/>
      <c r="R1" s="69"/>
      <c r="S1" s="69"/>
    </row>
    <row r="2" spans="1:25">
      <c r="A2" s="1" t="s">
        <v>174</v>
      </c>
      <c r="M2" t="s">
        <v>124</v>
      </c>
      <c r="N2">
        <v>2.0052E-3</v>
      </c>
      <c r="R2" s="69"/>
      <c r="S2" s="69"/>
    </row>
    <row r="3" spans="1:25">
      <c r="A3" s="121" t="s">
        <v>171</v>
      </c>
      <c r="B3" s="121"/>
      <c r="C3" s="121"/>
      <c r="D3" s="121"/>
      <c r="E3" s="121"/>
      <c r="F3" s="121"/>
      <c r="G3" s="122" t="s">
        <v>172</v>
      </c>
      <c r="H3" s="122"/>
      <c r="I3" s="122"/>
      <c r="J3" s="122"/>
      <c r="K3" s="122"/>
      <c r="L3" s="122"/>
      <c r="M3" t="s">
        <v>125</v>
      </c>
      <c r="N3">
        <v>0.51600000000000001</v>
      </c>
      <c r="R3" s="69"/>
      <c r="S3" s="69"/>
    </row>
    <row r="4" spans="1:25" s="1" customFormat="1" ht="25" customHeight="1">
      <c r="A4" s="1" t="s">
        <v>126</v>
      </c>
      <c r="B4" s="1" t="s">
        <v>127</v>
      </c>
      <c r="C4" s="1" t="s">
        <v>129</v>
      </c>
      <c r="D4" s="1" t="s">
        <v>130</v>
      </c>
      <c r="E4" s="1" t="s">
        <v>136</v>
      </c>
      <c r="F4" s="104" t="s">
        <v>137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139</v>
      </c>
      <c r="L4" s="104" t="s">
        <v>140</v>
      </c>
      <c r="M4" s="104" t="s">
        <v>138</v>
      </c>
      <c r="N4" s="104" t="s">
        <v>141</v>
      </c>
      <c r="O4" s="1" t="s">
        <v>128</v>
      </c>
      <c r="P4" s="1" t="s">
        <v>133</v>
      </c>
      <c r="Q4" s="104" t="s">
        <v>94</v>
      </c>
      <c r="R4" s="104" t="s">
        <v>95</v>
      </c>
      <c r="V4" s="104"/>
      <c r="Y4" s="104"/>
    </row>
    <row r="5" spans="1:25">
      <c r="A5" s="61">
        <v>3.73422105E-3</v>
      </c>
      <c r="B5" s="61">
        <v>3.6643675499999999E-3</v>
      </c>
      <c r="C5" s="61">
        <v>3.7689117349450109E-3</v>
      </c>
      <c r="D5" s="61">
        <v>7.7934998191650307E-3</v>
      </c>
      <c r="E5" s="103">
        <v>2.1164798861162191E-3</v>
      </c>
      <c r="F5" s="61">
        <v>0</v>
      </c>
      <c r="G5" s="61">
        <v>3.6750148213719339E-3</v>
      </c>
      <c r="H5" s="61">
        <v>3.6759553300949816E-3</v>
      </c>
      <c r="I5" s="61">
        <v>3.7228017752489761E-3</v>
      </c>
      <c r="J5" s="61">
        <v>7.7441640342372194E-3</v>
      </c>
      <c r="K5" s="103">
        <v>2.109788966545483E-3</v>
      </c>
      <c r="L5" s="61">
        <v>0</v>
      </c>
      <c r="M5" s="60" cm="1">
        <f t="array" ref="M5">Rsolve18(E5,10,D5,E5,F5,$N$3,$N$2,$N$1)</f>
        <v>2.0998927031414612E-3</v>
      </c>
      <c r="N5" s="60" cm="1">
        <f t="array" ref="N5">Rsolve18(K5,10,J5,K5,L5,$N$3,$N$2,$N$1)</f>
        <v>2.0934050628434882E-3</v>
      </c>
      <c r="O5" s="60">
        <f>$N$1*(M5/$N$2)^$N$3</f>
        <v>3.8905377024749663E-4</v>
      </c>
      <c r="P5" s="60">
        <f>$N$1*(N5/$N$2)^$N$3</f>
        <v>3.8843308121852137E-4</v>
      </c>
      <c r="Q5" s="76">
        <f>(A5+R5*B5+A5*B5-(C5-O5)*(1+(1-R5)*B5))/(A5*(1+C5-O5))</f>
        <v>0.20872209614007559</v>
      </c>
      <c r="R5" s="76">
        <f>((A5-C5+O5)*(1+B5)/(A5*(1+C5-O5)) - (G5-I5+P5)*(1+H5)/(G5*(1+I5-P5)))/(H5/G5-B5/A5)</f>
        <v>0.1159684103244177</v>
      </c>
    </row>
    <row r="6" spans="1:25">
      <c r="A6" s="61">
        <v>3.73422105E-3</v>
      </c>
      <c r="B6" s="61">
        <v>3.6643675499999999E-3</v>
      </c>
      <c r="C6" s="61">
        <v>3.7689117349450109E-3</v>
      </c>
      <c r="D6" s="61">
        <v>7.7934998191650307E-3</v>
      </c>
      <c r="E6" s="103">
        <v>2.1164798861162191E-3</v>
      </c>
      <c r="F6" s="61">
        <v>0</v>
      </c>
      <c r="G6" s="61">
        <v>3.6750148213719339E-3</v>
      </c>
      <c r="H6" s="61">
        <v>3.6759553300949816E-3</v>
      </c>
      <c r="I6" s="61">
        <v>3.7199285353648262E-3</v>
      </c>
      <c r="J6" s="61">
        <v>7.7342329865834319E-3</v>
      </c>
      <c r="K6" s="103">
        <v>2.105997079923158E-3</v>
      </c>
      <c r="L6" s="61">
        <v>0</v>
      </c>
      <c r="M6" s="60" cm="1">
        <f t="array" ref="M6">Rsolve18(E6,10,D6,E6,F6,$N$3,$N$2,$N$1)</f>
        <v>2.0998927031414612E-3</v>
      </c>
      <c r="N6" s="60" cm="1">
        <f t="array" ref="N6">Rsolve18(K6,10,J6,K6,L6,$N$3,$N$2,$N$1)</f>
        <v>2.0896547141455901E-3</v>
      </c>
      <c r="O6" s="60">
        <f>$N$1*(M6/$N$2)^$N$3</f>
        <v>3.8905377024749663E-4</v>
      </c>
      <c r="P6" s="60">
        <f>$N$1*(N6/$N$2)^$N$3</f>
        <v>3.8807385113215798E-4</v>
      </c>
      <c r="Q6" s="76">
        <f>(A6+R6*B6+A6*B6-(C6-O6)*(1+(1-R6)*B6))/(A6*(1+C6-O6))</f>
        <v>0.17329677501906443</v>
      </c>
      <c r="R6" s="76">
        <f>((A6-C6+O6)*(1+B6)/(A6*(1+C6-O6)) - (G6-I6+P6)*(1+H6)/(G6*(1+I6-P6)))/(H6/G6-B6/A6)</f>
        <v>7.9867779580351114E-2</v>
      </c>
    </row>
    <row r="7" spans="1:25">
      <c r="A7" s="61">
        <v>3.73422105E-3</v>
      </c>
      <c r="B7" s="61">
        <v>3.6643675499999999E-3</v>
      </c>
      <c r="C7" s="61">
        <v>3.770760540076305E-3</v>
      </c>
      <c r="D7" s="61">
        <v>7.7827523186501267E-3</v>
      </c>
      <c r="E7" s="61">
        <v>2.1125489546459449E-3</v>
      </c>
      <c r="F7" s="61">
        <v>0</v>
      </c>
      <c r="G7" s="61">
        <v>3.6750148213719339E-3</v>
      </c>
      <c r="H7" s="61">
        <v>3.6759553300949816E-3</v>
      </c>
      <c r="I7" s="61">
        <v>3.7228017752489761E-3</v>
      </c>
      <c r="J7" s="61">
        <v>7.7441640342372194E-3</v>
      </c>
      <c r="K7" s="61">
        <v>2.109788966545483E-3</v>
      </c>
      <c r="L7" s="61">
        <v>0</v>
      </c>
      <c r="M7" s="60" cm="1">
        <f t="array" ref="M7">Rsolve18(E7,10,D7,E7,F7,$N$3,$N$2,$N$1)</f>
        <v>2.096006943235472E-3</v>
      </c>
      <c r="N7" s="60" cm="1">
        <f t="array" ref="N7">Rsolve18(K7,10,J7,K7,L7,$N$3,$N$2,$N$1)</f>
        <v>2.0934050628434882E-3</v>
      </c>
      <c r="O7" s="60">
        <f t="shared" ref="O7:O11" si="0">$N$1*(M7/$N$2)^$N$3</f>
        <v>3.8868212138784054E-4</v>
      </c>
      <c r="P7" s="60">
        <f t="shared" ref="P7:P11" si="1">$N$1*(N7/$N$2)^$N$3</f>
        <v>3.8843308121852137E-4</v>
      </c>
      <c r="Q7" s="76">
        <f t="shared" ref="Q7:Q11" si="2">(A7+R7*B7+A7*B7-(C7-O7)*(1+(1-R7)*B7))/(A7*(1+C7-O7))</f>
        <v>0.17733587859609368</v>
      </c>
      <c r="R7" s="76">
        <f t="shared" ref="R7:R11" si="3">((A7-C7+O7)*(1+B7)/(A7*(1+C7-O7)) - (G7-I7+P7)*(1+H7)/(G7*(1+I7-P7)))/(H7/G7-B7/A7)</f>
        <v>8.4590223076979915E-2</v>
      </c>
    </row>
    <row r="8" spans="1:25">
      <c r="A8" s="61">
        <v>3.73422105E-3</v>
      </c>
      <c r="B8" s="61">
        <v>3.6643675499999999E-3</v>
      </c>
      <c r="C8" s="61">
        <v>3.770760540076305E-3</v>
      </c>
      <c r="D8" s="61">
        <v>7.7827523186501267E-3</v>
      </c>
      <c r="E8" s="61">
        <v>2.1125489546459449E-3</v>
      </c>
      <c r="F8" s="61">
        <v>0</v>
      </c>
      <c r="G8" s="61">
        <v>3.6750148213719339E-3</v>
      </c>
      <c r="H8" s="61">
        <v>3.6759553300949816E-3</v>
      </c>
      <c r="I8" s="61">
        <v>3.7199285353648262E-3</v>
      </c>
      <c r="J8" s="61">
        <v>7.7342329865834319E-3</v>
      </c>
      <c r="K8" s="61">
        <v>2.105997079923158E-3</v>
      </c>
      <c r="L8" s="61">
        <v>0</v>
      </c>
      <c r="M8" s="60" cm="1">
        <f t="array" ref="M8">Rsolve18(E8,10,D8,E8,F8,$N$3,$N$2,$N$1)</f>
        <v>2.096006943235472E-3</v>
      </c>
      <c r="N8" s="60" cm="1">
        <f t="array" ref="N8">Rsolve18(K8,10,J8,K8,L8,$N$3,$N$2,$N$1)</f>
        <v>2.0896547141455901E-3</v>
      </c>
      <c r="O8" s="60">
        <f t="shared" si="0"/>
        <v>3.8868212138784054E-4</v>
      </c>
      <c r="P8" s="60">
        <f t="shared" si="1"/>
        <v>3.8807385113215798E-4</v>
      </c>
      <c r="Q8" s="76">
        <f t="shared" si="2"/>
        <v>0.14191055747508233</v>
      </c>
      <c r="R8" s="76">
        <f t="shared" si="3"/>
        <v>4.8489592332913341E-2</v>
      </c>
    </row>
    <row r="9" spans="1:25">
      <c r="A9" s="61">
        <v>3.73422105E-3</v>
      </c>
      <c r="B9" s="61">
        <v>3.6643675499999999E-3</v>
      </c>
      <c r="C9" s="61">
        <v>3.774157409185728E-3</v>
      </c>
      <c r="D9" s="61">
        <v>7.7878737502717673E-3</v>
      </c>
      <c r="E9" s="61">
        <v>2.11205838421125E-3</v>
      </c>
      <c r="F9" s="61">
        <v>0</v>
      </c>
      <c r="G9" s="61">
        <v>3.6750148213719339E-3</v>
      </c>
      <c r="H9" s="61">
        <v>3.6759553300949816E-3</v>
      </c>
      <c r="I9" s="61">
        <v>3.7242631653031061E-3</v>
      </c>
      <c r="J9" s="61">
        <v>7.742496580265385E-3</v>
      </c>
      <c r="K9" s="61">
        <v>2.1092446228371492E-3</v>
      </c>
      <c r="L9" s="61">
        <v>0</v>
      </c>
      <c r="M9" s="60" cm="1">
        <f t="array" ref="M9">Rsolve18(E9,10,D9,E9,F9,$N$3,$N$2,$N$1)</f>
        <v>2.0954956035312334E-3</v>
      </c>
      <c r="N9" s="60" cm="1">
        <f t="array" ref="N9">Rsolve18(K9,10,J9,K9,L9,$N$3,$N$2,$N$1)</f>
        <v>2.0928676680247141E-3</v>
      </c>
      <c r="O9" s="60">
        <f t="shared" si="0"/>
        <v>3.886331900931322E-4</v>
      </c>
      <c r="P9" s="60">
        <f t="shared" si="1"/>
        <v>3.883816255649651E-4</v>
      </c>
      <c r="Q9" s="76">
        <f t="shared" si="2"/>
        <v>0.14994727862657609</v>
      </c>
      <c r="R9" s="76">
        <f t="shared" si="3"/>
        <v>5.7620461575761298E-2</v>
      </c>
    </row>
    <row r="10" spans="1:25">
      <c r="A10" s="61">
        <v>3.73422105E-3</v>
      </c>
      <c r="B10" s="61">
        <v>3.6643675499999999E-3</v>
      </c>
      <c r="C10" s="61">
        <v>3.7661587198913019E-3</v>
      </c>
      <c r="D10" s="61">
        <v>7.7810024465572326E-3</v>
      </c>
      <c r="E10" s="61">
        <v>2.1118562233900968E-3</v>
      </c>
      <c r="F10" s="61">
        <v>0</v>
      </c>
      <c r="G10" s="61">
        <v>3.6750148213719339E-3</v>
      </c>
      <c r="H10" s="61">
        <v>3.6759553300949816E-3</v>
      </c>
      <c r="I10" s="61">
        <v>3.7242631653031061E-3</v>
      </c>
      <c r="J10" s="61">
        <v>7.742496580265385E-3</v>
      </c>
      <c r="K10" s="61">
        <v>2.1092446228371492E-3</v>
      </c>
      <c r="L10" s="61">
        <v>0</v>
      </c>
      <c r="M10" s="60" cm="1">
        <f t="array" ref="M10">Rsolve18(E10,10,D10,E10,F10,$N$3,$N$2,$N$1)</f>
        <v>2.0953215776226782E-3</v>
      </c>
      <c r="N10" s="60" cm="1">
        <f t="array" ref="N10">Rsolve18(K10,10,J10,K10,L10,$N$3,$N$2,$N$1)</f>
        <v>2.0928676680247141E-3</v>
      </c>
      <c r="O10" s="60">
        <f t="shared" si="0"/>
        <v>3.8861653582803027E-4</v>
      </c>
      <c r="P10" s="60">
        <f t="shared" si="1"/>
        <v>3.883816255649651E-4</v>
      </c>
      <c r="Q10" s="76">
        <f t="shared" si="2"/>
        <v>0.26277357755180591</v>
      </c>
      <c r="R10" s="76">
        <f t="shared" si="3"/>
        <v>0.17041789341507743</v>
      </c>
    </row>
    <row r="11" spans="1:25">
      <c r="A11" s="61">
        <v>3.73422105E-3</v>
      </c>
      <c r="B11" s="61">
        <v>3.6643675499999999E-3</v>
      </c>
      <c r="C11" s="61">
        <v>3.7730126315774341E-3</v>
      </c>
      <c r="D11" s="61">
        <v>7.7872138239604956E-3</v>
      </c>
      <c r="E11" s="61">
        <v>2.114038303996214E-3</v>
      </c>
      <c r="F11" s="61">
        <v>0</v>
      </c>
      <c r="G11" s="61">
        <v>3.6750148213719339E-3</v>
      </c>
      <c r="H11" s="61">
        <v>3.6759553300949816E-3</v>
      </c>
      <c r="I11" s="61">
        <v>3.7242631653031061E-3</v>
      </c>
      <c r="J11" s="61">
        <v>7.742496580265385E-3</v>
      </c>
      <c r="K11" s="61">
        <v>2.1092446228371492E-3</v>
      </c>
      <c r="L11" s="61">
        <v>0</v>
      </c>
      <c r="M11" s="60" cm="1">
        <f t="array" ref="M11">Rsolve18(E11,10,D11,E11,F11,$N$3,$N$2,$N$1)</f>
        <v>2.0974775933835267E-3</v>
      </c>
      <c r="N11" s="60" cm="1">
        <f t="array" ref="N11">Rsolve18(K11,10,J11,K11,L11,$N$3,$N$2,$N$1)</f>
        <v>2.0928676680247141E-3</v>
      </c>
      <c r="O11" s="60">
        <f t="shared" si="0"/>
        <v>3.888228191523488E-4</v>
      </c>
      <c r="P11" s="60">
        <f t="shared" si="1"/>
        <v>3.883816255649651E-4</v>
      </c>
      <c r="Q11" s="76">
        <f t="shared" si="2"/>
        <v>0.16880903099141051</v>
      </c>
      <c r="R11" s="76">
        <f t="shared" si="3"/>
        <v>7.6477388081454753E-2</v>
      </c>
    </row>
    <row r="13" spans="1:25">
      <c r="Q13" s="76">
        <f>AVERAGE(Q5:Q11)</f>
        <v>0.18325645634287266</v>
      </c>
      <c r="R13" s="76">
        <f>AVERAGE(R5:R11)</f>
        <v>9.0490249769565087E-2</v>
      </c>
    </row>
    <row r="14" spans="1:25">
      <c r="Q14" s="76">
        <f>STDEV(Q5:Q11)</f>
        <v>4.1096294725866948E-2</v>
      </c>
      <c r="R14" s="76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142</v>
      </c>
      <c r="B1" s="70"/>
      <c r="C1" s="70"/>
      <c r="D1" s="70"/>
      <c r="L1" s="71"/>
      <c r="M1" s="71"/>
      <c r="N1" s="71"/>
    </row>
    <row r="2" spans="1:18">
      <c r="A2" t="s">
        <v>143</v>
      </c>
      <c r="B2" s="72">
        <f>B12</f>
        <v>0.4623614635092998</v>
      </c>
      <c r="C2" s="70" t="s">
        <v>144</v>
      </c>
      <c r="D2" s="72">
        <f>C12</f>
        <v>0.10975712247295455</v>
      </c>
      <c r="F2" t="s">
        <v>160</v>
      </c>
      <c r="G2" s="43">
        <f>1/B2</f>
        <v>2.1628100067208269</v>
      </c>
      <c r="H2" t="s">
        <v>159</v>
      </c>
      <c r="L2" s="71"/>
      <c r="M2" s="71"/>
      <c r="N2" s="71"/>
      <c r="O2" s="8"/>
    </row>
    <row r="3" spans="1:18">
      <c r="A3" t="s">
        <v>145</v>
      </c>
      <c r="B3" s="72">
        <f>B13</f>
        <v>8.0186890671505306E-3</v>
      </c>
      <c r="C3" s="70"/>
      <c r="D3" s="72">
        <f>C13</f>
        <v>0.30903560626553517</v>
      </c>
      <c r="L3" s="71"/>
      <c r="M3" s="71"/>
      <c r="N3" s="71"/>
      <c r="O3" s="8"/>
    </row>
    <row r="4" spans="1:18">
      <c r="A4" t="s">
        <v>146</v>
      </c>
      <c r="B4" s="72">
        <v>1.026</v>
      </c>
      <c r="C4" s="70"/>
      <c r="E4" s="70" t="s">
        <v>147</v>
      </c>
      <c r="F4">
        <v>0.99819999999999998</v>
      </c>
      <c r="H4" s="70" t="s">
        <v>148</v>
      </c>
      <c r="I4">
        <v>1.002</v>
      </c>
      <c r="L4" s="73"/>
      <c r="M4" s="74"/>
      <c r="N4" s="73"/>
      <c r="O4" s="73"/>
      <c r="P4" s="75"/>
      <c r="Q4" s="75"/>
    </row>
    <row r="5" spans="1:18">
      <c r="A5" t="s">
        <v>149</v>
      </c>
      <c r="B5" s="76">
        <f>1/B4</f>
        <v>0.97465886939571145</v>
      </c>
      <c r="C5" s="70"/>
      <c r="E5" s="70" t="s">
        <v>150</v>
      </c>
      <c r="F5" s="76">
        <f>1/F4</f>
        <v>1.0018032458425166</v>
      </c>
      <c r="H5" s="70" t="s">
        <v>151</v>
      </c>
      <c r="I5" s="76">
        <f>1/I4</f>
        <v>0.99800399201596801</v>
      </c>
      <c r="L5" s="73"/>
      <c r="M5" s="77"/>
      <c r="N5" s="73"/>
      <c r="O5" s="73"/>
      <c r="P5" s="73"/>
      <c r="Q5" s="78"/>
      <c r="R5" s="73"/>
    </row>
    <row r="6" spans="1:18">
      <c r="A6" t="s">
        <v>152</v>
      </c>
      <c r="B6" s="79">
        <f>B5/1000</f>
        <v>9.7465886939571145E-4</v>
      </c>
      <c r="C6" s="70"/>
      <c r="E6" s="70" t="s">
        <v>153</v>
      </c>
      <c r="F6" s="79">
        <f>F5/1000</f>
        <v>1.0018032458425166E-3</v>
      </c>
      <c r="H6" s="70" t="s">
        <v>154</v>
      </c>
      <c r="I6" s="79">
        <f>I5/1000</f>
        <v>9.9800399201596798E-4</v>
      </c>
      <c r="L6" s="73"/>
      <c r="M6" s="80"/>
      <c r="N6" s="80"/>
      <c r="O6" s="73"/>
      <c r="P6" s="73"/>
      <c r="Q6" s="78"/>
    </row>
    <row r="7" spans="1:18">
      <c r="L7" s="73"/>
      <c r="M7" s="81"/>
      <c r="N7" s="73"/>
    </row>
    <row r="8" spans="1:18" ht="18">
      <c r="L8" s="73"/>
      <c r="M8" s="82"/>
      <c r="N8" s="73"/>
    </row>
    <row r="9" spans="1:18">
      <c r="M9" s="83"/>
      <c r="N9" s="73"/>
    </row>
    <row r="10" spans="1:18">
      <c r="A10" s="84" t="s">
        <v>155</v>
      </c>
      <c r="B10" s="84"/>
      <c r="C10" s="84"/>
      <c r="D10" s="85"/>
      <c r="E10" s="86"/>
      <c r="G10" s="87"/>
      <c r="H10" s="87"/>
      <c r="I10" s="88"/>
      <c r="M10" s="83"/>
      <c r="N10" s="73"/>
    </row>
    <row r="11" spans="1:18">
      <c r="B11" s="1" t="s">
        <v>156</v>
      </c>
      <c r="C11" s="1" t="s">
        <v>157</v>
      </c>
      <c r="F11" s="70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158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43">
        <v>0.96347094633189312</v>
      </c>
      <c r="D14" s="43"/>
      <c r="E14" s="89"/>
      <c r="F14" s="90"/>
      <c r="G14" s="43"/>
      <c r="H14" s="43"/>
      <c r="I14" s="43"/>
    </row>
    <row r="15" spans="1:18">
      <c r="B15">
        <v>3324.7309959200538</v>
      </c>
      <c r="C15" s="43">
        <v>22</v>
      </c>
      <c r="D15" s="43"/>
      <c r="E15" s="43"/>
      <c r="G15" s="43"/>
      <c r="I15" s="43"/>
    </row>
    <row r="16" spans="1:18">
      <c r="B16">
        <v>3086.2688691129169</v>
      </c>
      <c r="C16">
        <v>20.422077817364819</v>
      </c>
      <c r="D16" s="43"/>
      <c r="E16" s="43"/>
      <c r="F16" s="91"/>
      <c r="G16" s="43"/>
      <c r="I16" s="43"/>
    </row>
    <row r="17" spans="4:10">
      <c r="D17" s="43"/>
      <c r="E17" s="43"/>
      <c r="F17" s="91"/>
    </row>
    <row r="18" spans="4:10">
      <c r="G18" s="43"/>
      <c r="I18" s="92"/>
    </row>
    <row r="20" spans="4:10">
      <c r="J20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2022-10-25T21:53:05Z</dcterms:modified>
</cp:coreProperties>
</file>