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2E327A18-0C90-DB4D-9E05-AC7FD8FAEC4E}" xr6:coauthVersionLast="47" xr6:coauthVersionMax="47" xr10:uidLastSave="{00000000-0000-0000-0000-000000000000}"/>
  <bookViews>
    <workbookView xWindow="-35340" yWindow="-5500" windowWidth="28760" windowHeight="15820" activeTab="1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H4" i="3"/>
  <c r="H5" i="3"/>
  <c r="H6" i="3"/>
  <c r="H7" i="3"/>
  <c r="H8" i="3"/>
  <c r="H9" i="3"/>
  <c r="G4" i="3"/>
  <c r="G5" i="3"/>
  <c r="G6" i="3"/>
  <c r="G7" i="3"/>
  <c r="G8" i="3"/>
  <c r="G9" i="3"/>
  <c r="B9" i="2"/>
  <c r="B11" i="2"/>
  <c r="F4" i="3"/>
  <c r="F5" i="3"/>
  <c r="F6" i="3"/>
  <c r="F7" i="3"/>
  <c r="F8" i="3"/>
  <c r="F9" i="3"/>
  <c r="B16" i="2"/>
  <c r="B15" i="2"/>
  <c r="B14" i="2"/>
  <c r="B12" i="2"/>
  <c r="B13" i="2"/>
  <c r="B7" i="2"/>
  <c r="B8" i="2"/>
  <c r="B6" i="2"/>
  <c r="B5" i="2"/>
  <c r="B4" i="2"/>
  <c r="B3" i="2"/>
  <c r="I9" i="3"/>
  <c r="J9" i="3"/>
  <c r="L9" i="3"/>
  <c r="K9" i="3"/>
  <c r="K4" i="3"/>
  <c r="M4" i="3"/>
  <c r="L4" i="3"/>
  <c r="N4" i="3"/>
  <c r="K5" i="3"/>
  <c r="M5" i="3"/>
  <c r="L5" i="3"/>
  <c r="N5" i="3"/>
  <c r="K6" i="3"/>
  <c r="M6" i="3"/>
  <c r="L6" i="3"/>
  <c r="N6" i="3"/>
  <c r="K7" i="3"/>
  <c r="M7" i="3"/>
  <c r="L7" i="3"/>
  <c r="N7" i="3"/>
  <c r="K8" i="3"/>
  <c r="M8" i="3"/>
  <c r="L8" i="3"/>
  <c r="N8" i="3"/>
  <c r="N3" i="3"/>
  <c r="M3" i="3"/>
  <c r="I8" i="3"/>
  <c r="J8" i="3"/>
  <c r="I7" i="3"/>
  <c r="J7" i="3"/>
  <c r="I6" i="3"/>
  <c r="J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F6" i="2"/>
  <c r="BG6" i="2"/>
  <c r="BH6" i="2"/>
  <c r="BF7" i="2"/>
  <c r="BG7" i="2"/>
  <c r="BH7" i="2"/>
  <c r="BF8" i="2"/>
  <c r="BG8" i="2"/>
  <c r="BH8" i="2"/>
  <c r="BF9" i="2"/>
  <c r="BG9" i="2"/>
  <c r="BH9" i="2"/>
  <c r="BF10" i="2"/>
  <c r="BG10" i="2"/>
  <c r="BH10" i="2"/>
  <c r="BF11" i="2"/>
  <c r="BG11" i="2"/>
  <c r="BH11" i="2"/>
  <c r="BF12" i="2"/>
  <c r="BG12" i="2"/>
  <c r="BH12" i="2"/>
  <c r="BF13" i="2"/>
  <c r="BG13" i="2"/>
  <c r="BH13" i="2"/>
  <c r="BF14" i="2"/>
  <c r="BG14" i="2"/>
  <c r="BH14" i="2"/>
  <c r="BF15" i="2"/>
  <c r="BG15" i="2"/>
  <c r="BH15" i="2"/>
  <c r="BF16" i="2"/>
  <c r="BG16" i="2"/>
  <c r="BH16" i="2"/>
  <c r="BF17" i="2"/>
  <c r="BG17" i="2"/>
  <c r="BH17" i="2"/>
  <c r="BB6" i="2"/>
  <c r="BB7" i="2"/>
  <c r="BB8" i="2"/>
  <c r="BB9" i="2"/>
  <c r="BB10" i="2"/>
  <c r="BB11" i="2"/>
  <c r="BB12" i="2"/>
  <c r="BB13" i="2"/>
  <c r="BB14" i="2"/>
  <c r="BB15" i="2"/>
  <c r="BB16" i="2"/>
  <c r="BB17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3" i="2"/>
  <c r="BF4" i="2"/>
  <c r="BF5" i="2"/>
  <c r="BF3" i="2"/>
  <c r="BD4" i="2"/>
  <c r="BD5" i="2"/>
  <c r="BB5" i="2"/>
  <c r="BH5" i="2"/>
  <c r="BG5" i="2"/>
  <c r="BB4" i="2"/>
  <c r="BH4" i="2"/>
  <c r="BG4" i="2"/>
  <c r="BB3" i="2"/>
  <c r="BH3" i="2"/>
  <c r="BG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I4" i="3"/>
  <c r="J4" i="3"/>
  <c r="B14" i="3"/>
  <c r="C14" i="3"/>
  <c r="D14" i="3"/>
  <c r="F14" i="3"/>
  <c r="E14" i="3"/>
  <c r="G14" i="3"/>
  <c r="H14" i="3"/>
  <c r="I14" i="3"/>
  <c r="I5" i="3"/>
  <c r="J5" i="3"/>
  <c r="B1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3" i="3"/>
  <c r="D3" i="3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<sst xmlns="http://schemas.openxmlformats.org/spreadsheetml/2006/main" count="223" uniqueCount="181">
  <si>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</si>
  <si>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</si>
  <si>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</si>
  <si>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</si>
  <si>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</si>
  <si>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</si>
  <si>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</si>
  <si>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</si>
  <si>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</si>
  <si>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</si>
  <si>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</si>
  <si>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</si>
  <si>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</si>
  <si>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</si>
  <si>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</si>
  <si>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</si>
  <si>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</si>
  <si>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</si>
  <si>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</si>
  <si>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</si>
  <si>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</si>
  <si>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</si>
  <si>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</si>
  <si>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</si>
  <si>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</si>
  <si>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</si>
  <si>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</si>
  <si>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</si>
  <si>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</si>
  <si>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</si>
  <si>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</si>
  <si>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</si>
  <si>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</si>
  <si>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</si>
  <si>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</si>
  <si>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</si>
  <si>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</si>
  <si>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</si>
  <si>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</si>
  <si>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</si>
  <si>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</si>
  <si>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</si>
  <si>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</si>
  <si>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</si>
  <si>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</si>
  <si>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</si>
  <si>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</si>
  <si>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</si>
  <si>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</si>
  <si>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</si>
  <si>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</si>
  <si>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</si>
  <si>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</si>
  <si>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</si>
  <si>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</si>
  <si>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</si>
  <si>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</si>
  <si>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</si>
  <si>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</si>
  <si>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</si>
  <si>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</si>
  <si>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</si>
  <si>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</si>
  <si>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</si>
  <si>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</si>
  <si>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</si>
  <si>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</si>
  <si>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</si>
  <si>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</si>
  <si>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</si>
  <si>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</si>
  <si>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</si>
  <si>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</si>
  <si>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</si>
  <si>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</si>
  <si>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</si>
  <si>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</si>
  <si>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</si>
  <si>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</si>
  <si>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</si>
  <si>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</si>
  <si>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</si>
  <si>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</si>
  <si>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</si>
  <si>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</si>
  <si>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</si>
  <si>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</si>
  <si>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</si>
  <si>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</si>
  <si>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</si>
  <si>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</si>
  <si>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</si>
  <si>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</si>
  <si>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</si>
  <si>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</si>
  <si>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</si>
  <si>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</si>
  <si>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</si>
  <si>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</si>
  <si>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</si>
  <si>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</si>
  <si>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</si>
  <si>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</si>
  <si>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</si>
  <si>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</si>
  <si>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</si>
  <si>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</si>
  <si>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</si>
  <si>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</si>
  <si>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</si>
  <si>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</si>
  <si>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</si>
  <si>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</si>
  <si>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</si>
  <si>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</si>
  <si>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</si>
  <si>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</si>
  <si>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</si>
  <si>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</si>
  <si>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</si>
  <si>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</si>
  <si>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</si>
  <si>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</si>
  <si>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</si>
  <si>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</si>
  <si>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</si>
  <si>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</si>
  <si>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</si>
  <si>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</si>
  <si>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</si>
  <si>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</si>
  <si>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</si>
  <si>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</si>
  <si>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</si>
  <si>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</si>
  <si>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</si>
  <si>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</si>
  <si>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</si>
  <si>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</si>
  <si>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</si>
  <si>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</si>
  <si>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</si>
  <si>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</si>
  <si>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</si>
  <si>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</si>
  <si>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</si>
  <si>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</si>
  <si>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</si>
  <si>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</si>
  <si>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</si>
  <si>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</si>
  <si>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</si>
  <si>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</si>
  <si>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</si>
  <si>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</si>
  <si>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</si>
  <si>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</si>
  <si>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</si>
  <si>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</si>
  <si>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</si>
  <si>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</si>
  <si>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</si>
  <si>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</si>
  <si>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</si>
  <si>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</si>
  <si>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</si>
  <si>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</si>
  <si>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</si>
  <si>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</si>
  <si>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</si>
  <si>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</si>
  <si>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</si>
  <si>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</si>
  <si>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</si>
  <si>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</si>
  <si>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</si>
  <si>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</si>
  <si>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</si>
  <si>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</si>
  <si>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</si>
  <si>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"ref_tag" should match scale_normalization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</si>
</sst>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H54"/>
  <sheetViews>
    <sheetView workbookViewId="0">
      <selection activeCell="F23" sqref="F23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3" max="43" width="15.6640625" style="44" customWidth="1"/>
    <col min="44" max="44" width="14.33203125" customWidth="1"/>
    <col min="46" max="46" width="13.5" customWidth="1"/>
  </cols>
  <sheetData>
    <row r="1" spans="1:60" ht="17" thickBot="1">
      <c r="A1" s="1" t="s">
        <v>118</v>
      </c>
      <c r="B1" s="1" t="s">
        <v>180</v>
      </c>
      <c r="F1" s="1" t="s">
        <v>117</v>
      </c>
      <c r="G1" s="1"/>
      <c r="W1" s="71" t="s">
        <v>97</v>
      </c>
      <c r="X1" s="2"/>
      <c r="Y1" s="3"/>
      <c r="AA1" s="4"/>
      <c r="AB1" s="5"/>
      <c r="AE1" s="6" t="s">
        <v>0</v>
      </c>
      <c r="AF1" s="7"/>
      <c r="AG1" s="7"/>
      <c r="AI1" s="73" t="s">
        <v>122</v>
      </c>
      <c r="AJ1" s="74"/>
      <c r="AL1" s="51" t="s">
        <v>94</v>
      </c>
      <c r="AM1" s="51"/>
      <c r="AN1" s="51"/>
      <c r="AO1" s="58"/>
      <c r="AP1" s="51"/>
      <c r="AQ1" s="45"/>
      <c r="AS1" s="38" t="s">
        <v>91</v>
      </c>
      <c r="AT1" s="38"/>
      <c r="AU1" s="38" t="s">
        <v>45</v>
      </c>
      <c r="AV1" s="38"/>
      <c r="AW1" s="38"/>
      <c r="AX1" s="38" t="s">
        <v>46</v>
      </c>
      <c r="AZ1" s="103" t="s">
        <v>164</v>
      </c>
      <c r="BA1" s="103"/>
      <c r="BB1" s="103"/>
      <c r="BC1" s="103"/>
      <c r="BD1" s="104"/>
      <c r="BE1" s="105"/>
      <c r="BF1" s="105"/>
      <c r="BG1" s="105"/>
      <c r="BH1" s="105"/>
    </row>
    <row r="2" spans="1:60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120</v>
      </c>
      <c r="AJ2" s="75" t="s">
        <v>121</v>
      </c>
      <c r="AK2" s="23"/>
      <c r="AL2" s="55" t="s">
        <v>28</v>
      </c>
      <c r="AM2" s="52" t="s">
        <v>29</v>
      </c>
      <c r="AN2" s="52" t="s">
        <v>30</v>
      </c>
      <c r="AO2" s="59" t="s">
        <v>95</v>
      </c>
      <c r="AP2" s="53" t="s">
        <v>96</v>
      </c>
      <c r="AQ2" s="46" t="s">
        <v>74</v>
      </c>
      <c r="AR2" s="1" t="s">
        <v>73</v>
      </c>
      <c r="AS2" s="39" t="s">
        <v>31</v>
      </c>
      <c r="AT2" s="39" t="s">
        <v>32</v>
      </c>
      <c r="AU2" s="39" t="s">
        <v>35</v>
      </c>
      <c r="AV2" s="39" t="s">
        <v>33</v>
      </c>
      <c r="AW2" s="39" t="s">
        <v>47</v>
      </c>
      <c r="AX2" s="40" t="s">
        <v>34</v>
      </c>
      <c r="AY2" s="44"/>
      <c r="AZ2" s="106" t="s">
        <v>165</v>
      </c>
      <c r="BA2" s="106" t="s">
        <v>166</v>
      </c>
      <c r="BB2" s="106" t="s">
        <v>167</v>
      </c>
      <c r="BC2" s="106" t="s">
        <v>168</v>
      </c>
      <c r="BD2" s="107" t="s">
        <v>169</v>
      </c>
      <c r="BE2" s="108" t="s">
        <v>170</v>
      </c>
      <c r="BF2" s="109" t="s">
        <v>171</v>
      </c>
      <c r="BG2" s="108" t="s">
        <v>172</v>
      </c>
      <c r="BH2" s="110" t="s">
        <v>171</v>
      </c>
    </row>
    <row r="3" spans="1:60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0.18325645634287266</v>
      </c>
      <c r="AP3" s="57">
        <v>9.0490249769565087E-2</v>
      </c>
      <c r="AQ3" s="47">
        <f>A3</f>
        <v>201204</v>
      </c>
      <c r="AR3" t="str">
        <f>D3</f>
        <v>ATM_EQ_SW</v>
      </c>
      <c r="AS3" s="50">
        <v>15.105455486877901</v>
      </c>
      <c r="AT3" s="50">
        <v>-2.7098456777153701</v>
      </c>
      <c r="AU3" s="50">
        <v>17.815301164593201</v>
      </c>
      <c r="AV3" s="50">
        <v>6.19780490458127</v>
      </c>
      <c r="AW3" s="50">
        <v>24.009727067820499</v>
      </c>
      <c r="AX3" s="50">
        <v>47.054171086232202</v>
      </c>
      <c r="AY3" s="44"/>
      <c r="AZ3">
        <v>265</v>
      </c>
      <c r="BA3">
        <v>109</v>
      </c>
      <c r="BB3">
        <f>AZ3-BA3</f>
        <v>156</v>
      </c>
      <c r="BC3" t="s">
        <v>173</v>
      </c>
      <c r="BD3" s="78">
        <f>BB3*concentration_constants!$B$6</f>
        <v>0.15204678362573099</v>
      </c>
      <c r="BE3" s="50">
        <f>I3*concentration_constants!$B$2+concentration_constants!$D$2</f>
        <v>2.3147589419488055</v>
      </c>
      <c r="BF3" s="50">
        <f>BE3*concentration_constants!$B$3+concentration_constants!$D$3</f>
        <v>0.32759693848642901</v>
      </c>
      <c r="BG3" s="50">
        <f>BE3/BD3</f>
        <v>15.223991502817144</v>
      </c>
      <c r="BH3" s="50">
        <f>BF3/BD3</f>
        <v>2.1545798646607448</v>
      </c>
    </row>
    <row r="4" spans="1:60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56">
        <v>0.18325645634287266</v>
      </c>
      <c r="AP4" s="57">
        <v>9.0490249769565087E-2</v>
      </c>
      <c r="AQ4" s="47">
        <f t="shared" ref="AQ4:AQ17" si="10">A4</f>
        <v>201205</v>
      </c>
      <c r="AR4" s="41" t="str">
        <f t="shared" ref="AR4:AR17" si="11">D4</f>
        <v>S2_ref_1</v>
      </c>
      <c r="AS4" s="50">
        <v>6.8736240880515798</v>
      </c>
      <c r="AT4" s="50">
        <v>-13.881471917271901</v>
      </c>
      <c r="AU4" s="50">
        <v>20.755096005323502</v>
      </c>
      <c r="AV4" s="50">
        <v>-3.5039239146101799</v>
      </c>
      <c r="AW4" s="50">
        <v>17.848649659933699</v>
      </c>
      <c r="AX4" s="50">
        <v>34.879852068524698</v>
      </c>
      <c r="AY4" s="44"/>
      <c r="AZ4">
        <v>265</v>
      </c>
      <c r="BA4">
        <v>109</v>
      </c>
      <c r="BB4">
        <f t="shared" ref="BB4:BB5" si="12">AZ4-BA4</f>
        <v>156</v>
      </c>
      <c r="BC4" t="s">
        <v>39</v>
      </c>
      <c r="BD4" s="78">
        <f>BB4*concentration_constants!$F$6</f>
        <v>0.15628130635143259</v>
      </c>
      <c r="BE4" s="50">
        <f>I4*concentration_constants!$B$2+concentration_constants!$D$2</f>
        <v>3.0120000289208293</v>
      </c>
      <c r="BF4" s="50">
        <f>BE4*concentration_constants!$B$3+concentration_constants!$D$3</f>
        <v>0.33318789796769971</v>
      </c>
      <c r="BG4" s="50">
        <f t="shared" ref="BG4:BG5" si="13">BE4/BD4</f>
        <v>19.272938646594689</v>
      </c>
      <c r="BH4" s="50">
        <f t="shared" ref="BH4:BH5" si="14">BF4/BD4</f>
        <v>2.1319753830215245</v>
      </c>
    </row>
    <row r="5" spans="1:60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98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56">
        <v>0.18325645634287266</v>
      </c>
      <c r="AP5" s="57">
        <v>9.0490249769565087E-2</v>
      </c>
      <c r="AQ5" s="47">
        <f t="shared" si="10"/>
        <v>201205</v>
      </c>
      <c r="AR5" s="41" t="str">
        <f t="shared" si="11"/>
        <v>B6_ref_1</v>
      </c>
      <c r="AS5" s="50">
        <v>-0.53970856962448599</v>
      </c>
      <c r="AT5" s="50">
        <v>1.2825215740412901</v>
      </c>
      <c r="AU5" s="50">
        <v>-1.82223014366578</v>
      </c>
      <c r="AV5" s="50">
        <v>0.37140650220840399</v>
      </c>
      <c r="AW5" s="50">
        <v>22.461390435589401</v>
      </c>
      <c r="AX5" s="50">
        <v>43.988167450184299</v>
      </c>
      <c r="AY5" s="44"/>
      <c r="AZ5">
        <v>265</v>
      </c>
      <c r="BA5">
        <v>109</v>
      </c>
      <c r="BB5">
        <f t="shared" si="12"/>
        <v>156</v>
      </c>
      <c r="BC5" t="s">
        <v>39</v>
      </c>
      <c r="BD5" s="78">
        <f>BB5*concentration_constants!$F$6</f>
        <v>0.15628130635143259</v>
      </c>
      <c r="BE5" s="50">
        <f>I5*concentration_constants!$B$2+concentration_constants!$D$2</f>
        <v>9.9048847269174694</v>
      </c>
      <c r="BF5" s="50">
        <f>BE5*concentration_constants!$B$3+concentration_constants!$D$3</f>
        <v>0.38845979713665457</v>
      </c>
      <c r="BG5" s="50">
        <f t="shared" si="13"/>
        <v>63.378563682109089</v>
      </c>
      <c r="BH5" s="50">
        <f t="shared" si="14"/>
        <v>2.4856446762936448</v>
      </c>
    </row>
    <row r="6" spans="1:60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56">
        <v>0.18325645634287266</v>
      </c>
      <c r="AP6" s="57">
        <v>9.0490249769565087E-2</v>
      </c>
      <c r="AQ6" s="47">
        <f t="shared" si="10"/>
        <v>201205</v>
      </c>
      <c r="AR6" t="str">
        <f t="shared" si="11"/>
        <v>ATM_EQ_SW_1</v>
      </c>
      <c r="AS6" s="50">
        <v>14.851574153242799</v>
      </c>
      <c r="AT6" s="50">
        <v>-0.85838254078074405</v>
      </c>
      <c r="AU6" s="50">
        <v>15.7099566940236</v>
      </c>
      <c r="AV6" s="50">
        <v>6.9965958062310696</v>
      </c>
      <c r="AW6" s="50">
        <v>24.095420378555701</v>
      </c>
      <c r="AX6" s="50">
        <v>47.223987370547697</v>
      </c>
      <c r="AY6" s="44"/>
      <c r="AZ6">
        <v>265</v>
      </c>
      <c r="BA6">
        <v>109</v>
      </c>
      <c r="BB6">
        <f t="shared" ref="BB6:BB17" si="15">AZ6-BA6</f>
        <v>156</v>
      </c>
      <c r="BC6" t="s">
        <v>173</v>
      </c>
      <c r="BD6" s="78">
        <f>BB6*concentration_constants!$B$6</f>
        <v>0.15204678362573099</v>
      </c>
      <c r="BE6" s="50">
        <f>I6*concentration_constants!$B$2+concentration_constants!$D$2</f>
        <v>2.4178655483113793</v>
      </c>
      <c r="BF6" s="50">
        <f>BE6*concentration_constants!$B$3+concentration_constants!$D$3</f>
        <v>0.32842371830361955</v>
      </c>
      <c r="BG6" s="50">
        <f t="shared" ref="BG6:BG17" si="16">BE6/BD6</f>
        <v>15.90211572158638</v>
      </c>
      <c r="BH6" s="50">
        <f t="shared" ref="BH6:BH17" si="17">BF6/BD6</f>
        <v>2.1600175319199595</v>
      </c>
    </row>
    <row r="7" spans="1:60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56">
        <v>0.18325645634287266</v>
      </c>
      <c r="AP7" s="57">
        <v>9.0490249769565087E-2</v>
      </c>
      <c r="AQ7" s="47">
        <f t="shared" si="10"/>
        <v>201205</v>
      </c>
      <c r="AR7" t="str">
        <f t="shared" si="11"/>
        <v>S2_ref_2</v>
      </c>
      <c r="AS7" s="50">
        <v>6.6566362138331598</v>
      </c>
      <c r="AT7" s="50">
        <v>-13.8026489120794</v>
      </c>
      <c r="AU7" s="50">
        <v>20.459285125912601</v>
      </c>
      <c r="AV7" s="50">
        <v>-3.5730063491231601</v>
      </c>
      <c r="AW7" s="50">
        <v>17.941820061995799</v>
      </c>
      <c r="AX7" s="50">
        <v>35.063444020270097</v>
      </c>
      <c r="AY7" s="44"/>
      <c r="AZ7">
        <v>265</v>
      </c>
      <c r="BA7">
        <v>109</v>
      </c>
      <c r="BB7">
        <f t="shared" si="15"/>
        <v>156</v>
      </c>
      <c r="BC7" t="s">
        <v>39</v>
      </c>
      <c r="BD7" s="78">
        <f>BB7*concentration_constants!$F$6</f>
        <v>0.15628130635143259</v>
      </c>
      <c r="BE7" s="50">
        <f>I7*concentration_constants!$B$2+concentration_constants!$D$2</f>
        <v>17.089981869851989</v>
      </c>
      <c r="BF7" s="50">
        <f>BE7*concentration_constants!$B$3+concentration_constants!$D$3</f>
        <v>0.44607485704311811</v>
      </c>
      <c r="BG7" s="50">
        <f t="shared" si="16"/>
        <v>109.35397373388625</v>
      </c>
      <c r="BH7" s="50">
        <f t="shared" si="17"/>
        <v>2.8543071942335927</v>
      </c>
    </row>
    <row r="8" spans="1:60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56">
        <v>0.18325645634287266</v>
      </c>
      <c r="AP8" s="57">
        <v>9.0490249769565087E-2</v>
      </c>
      <c r="AQ8" s="47">
        <f t="shared" si="10"/>
        <v>201205</v>
      </c>
      <c r="AR8" t="str">
        <f t="shared" si="11"/>
        <v>B6_ref_2</v>
      </c>
      <c r="AS8" s="50">
        <v>-1.15628904358433</v>
      </c>
      <c r="AT8" s="50">
        <v>-0.70441124849329695</v>
      </c>
      <c r="AU8" s="50">
        <v>-0.45187779509103798</v>
      </c>
      <c r="AV8" s="50">
        <v>-0.93035014603881605</v>
      </c>
      <c r="AW8" s="50">
        <v>21.5157968077277</v>
      </c>
      <c r="AX8" s="50">
        <v>42.117851051899301</v>
      </c>
      <c r="AY8" s="44"/>
      <c r="AZ8">
        <v>265</v>
      </c>
      <c r="BA8">
        <v>109</v>
      </c>
      <c r="BB8">
        <f t="shared" si="15"/>
        <v>156</v>
      </c>
      <c r="BC8" t="s">
        <v>39</v>
      </c>
      <c r="BD8" s="78">
        <f>BB8*concentration_constants!$F$6</f>
        <v>0.15628130635143259</v>
      </c>
      <c r="BE8" s="50">
        <f>I8*concentration_constants!$B$2+concentration_constants!$D$2</f>
        <v>9.8350681459275666</v>
      </c>
      <c r="BF8" s="50">
        <f>BE8*concentration_constants!$B$3+concentration_constants!$D$3</f>
        <v>0.387899959681965</v>
      </c>
      <c r="BG8" s="50">
        <f t="shared" si="16"/>
        <v>62.931827072210872</v>
      </c>
      <c r="BH8" s="50">
        <f t="shared" si="17"/>
        <v>2.4820624343239581</v>
      </c>
    </row>
    <row r="9" spans="1:60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119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56">
        <v>0.18325645634287266</v>
      </c>
      <c r="AP9" s="57">
        <v>9.0490249769565087E-2</v>
      </c>
      <c r="AQ9" s="47">
        <f t="shared" si="10"/>
        <v>201205</v>
      </c>
      <c r="AR9" s="41" t="str">
        <f t="shared" si="11"/>
        <v>ATM_EQ_SW_2</v>
      </c>
      <c r="AS9" s="50">
        <v>16.036656468840999</v>
      </c>
      <c r="AT9" s="50">
        <v>-4.8656873390863202</v>
      </c>
      <c r="AU9" s="50">
        <v>20.902343807927299</v>
      </c>
      <c r="AV9" s="50">
        <v>5.5854845648773397</v>
      </c>
      <c r="AW9" s="50">
        <v>23.117269398744899</v>
      </c>
      <c r="AX9" s="50">
        <v>45.286402388126902</v>
      </c>
      <c r="AZ9">
        <v>265</v>
      </c>
      <c r="BA9">
        <v>109</v>
      </c>
      <c r="BB9">
        <f t="shared" si="15"/>
        <v>156</v>
      </c>
      <c r="BC9" t="s">
        <v>173</v>
      </c>
      <c r="BD9" s="78">
        <f>BB9*concentration_constants!$B$6</f>
        <v>0.15204678362573099</v>
      </c>
      <c r="BE9" s="50">
        <f>I9*concentration_constants!$B$2+concentration_constants!$D$2</f>
        <v>2.4132419336762863</v>
      </c>
      <c r="BF9" s="50">
        <f>BE9*concentration_constants!$B$3+concentration_constants!$D$3</f>
        <v>0.32838664297549441</v>
      </c>
      <c r="BG9" s="50">
        <f t="shared" si="16"/>
        <v>15.871706563794037</v>
      </c>
      <c r="BH9" s="50">
        <f t="shared" si="17"/>
        <v>2.1597736903388287</v>
      </c>
    </row>
    <row r="10" spans="1:60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56">
        <v>0.18325645634287266</v>
      </c>
      <c r="AP10" s="57">
        <v>9.0490249769565087E-2</v>
      </c>
      <c r="AQ10" s="47">
        <f t="shared" si="10"/>
        <v>201205</v>
      </c>
      <c r="AR10" t="str">
        <f t="shared" si="11"/>
        <v>DI</v>
      </c>
      <c r="AS10" s="50">
        <v>14.4579715364672</v>
      </c>
      <c r="AT10" s="50">
        <v>-34.815304667159701</v>
      </c>
      <c r="AU10" s="50">
        <v>49.273276203626899</v>
      </c>
      <c r="AV10" s="50">
        <v>-10.1786665653462</v>
      </c>
      <c r="AW10" s="50">
        <v>22.853627356464699</v>
      </c>
      <c r="AX10" s="50">
        <v>44.764460247631298</v>
      </c>
      <c r="AZ10">
        <v>265</v>
      </c>
      <c r="BA10">
        <v>109</v>
      </c>
      <c r="BB10">
        <f t="shared" si="15"/>
        <v>156</v>
      </c>
      <c r="BC10" t="s">
        <v>39</v>
      </c>
      <c r="BD10" s="78">
        <f>BB10*concentration_constants!$F$6</f>
        <v>0.15628130635143259</v>
      </c>
      <c r="BE10" s="50">
        <f>I10*concentration_constants!$B$2+concentration_constants!$D$2</f>
        <v>7.9745256167661447</v>
      </c>
      <c r="BF10" s="50">
        <f>BE10*concentration_constants!$B$3+concentration_constants!$D$3</f>
        <v>0.3729808476444097</v>
      </c>
      <c r="BG10" s="50">
        <f t="shared" si="16"/>
        <v>51.026740196512598</v>
      </c>
      <c r="BH10" s="50">
        <f t="shared" si="17"/>
        <v>2.386599244350319</v>
      </c>
    </row>
    <row r="11" spans="1:60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56">
        <v>0.18325645634287266</v>
      </c>
      <c r="AP11" s="57">
        <v>9.0490249769565087E-2</v>
      </c>
      <c r="AQ11" s="47">
        <f t="shared" si="10"/>
        <v>201207</v>
      </c>
      <c r="AR11" s="41" t="str">
        <f t="shared" si="11"/>
        <v>ATM_EQ_SW_1</v>
      </c>
      <c r="AS11" s="50">
        <v>17.1518234709566</v>
      </c>
      <c r="AT11" s="50">
        <v>-4.5745335204508901</v>
      </c>
      <c r="AU11" s="50">
        <v>21.726356991407499</v>
      </c>
      <c r="AV11" s="50">
        <v>6.2886449752528799</v>
      </c>
      <c r="AW11" s="50">
        <v>22.988533215933799</v>
      </c>
      <c r="AX11" s="50">
        <v>45.031522726332703</v>
      </c>
      <c r="AZ11">
        <v>265</v>
      </c>
      <c r="BA11">
        <v>109</v>
      </c>
      <c r="BB11">
        <f t="shared" si="15"/>
        <v>156</v>
      </c>
      <c r="BC11" t="s">
        <v>173</v>
      </c>
      <c r="BD11" s="78">
        <f>BB11*concentration_constants!$B$6</f>
        <v>0.15204678362573099</v>
      </c>
      <c r="BE11" s="50">
        <f>I11*concentration_constants!$B$2+concentration_constants!$D$2</f>
        <v>2.2611250121817261</v>
      </c>
      <c r="BF11" s="50">
        <f>BE11*concentration_constants!$B$3+concentration_constants!$D$3</f>
        <v>0.32716686468017736</v>
      </c>
      <c r="BG11" s="50">
        <f t="shared" si="16"/>
        <v>14.871245272425968</v>
      </c>
      <c r="BH11" s="50">
        <f t="shared" si="17"/>
        <v>2.151751302319628</v>
      </c>
    </row>
    <row r="12" spans="1:60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56">
        <v>0.18325645634287266</v>
      </c>
      <c r="AP12" s="57">
        <v>9.0490249769565087E-2</v>
      </c>
      <c r="AQ12" s="47">
        <f t="shared" si="10"/>
        <v>201207</v>
      </c>
      <c r="AR12" s="41" t="str">
        <f t="shared" si="11"/>
        <v>S2_ref_1</v>
      </c>
      <c r="AS12" s="50">
        <v>7.0098620813652204</v>
      </c>
      <c r="AT12" s="50">
        <v>-14.5751415214816</v>
      </c>
      <c r="AU12" s="50">
        <v>21.5850036028468</v>
      </c>
      <c r="AV12" s="50">
        <v>-3.78263972005821</v>
      </c>
      <c r="AW12" s="50">
        <v>17.254451999306699</v>
      </c>
      <c r="AX12" s="50">
        <v>33.709358475152598</v>
      </c>
      <c r="AZ12">
        <v>265</v>
      </c>
      <c r="BA12">
        <v>109</v>
      </c>
      <c r="BB12">
        <f t="shared" si="15"/>
        <v>156</v>
      </c>
      <c r="BC12" t="s">
        <v>39</v>
      </c>
      <c r="BD12" s="78">
        <f>BB12*concentration_constants!$F$6</f>
        <v>0.15628130635143259</v>
      </c>
      <c r="BE12" s="50">
        <f>I12*concentration_constants!$B$2+concentration_constants!$D$2</f>
        <v>3.6625426080784145</v>
      </c>
      <c r="BF12" s="50">
        <f>BE12*concentration_constants!$B$3+concentration_constants!$D$3</f>
        <v>0.33840439663490651</v>
      </c>
      <c r="BG12" s="50">
        <f t="shared" si="16"/>
        <v>23.435577124255598</v>
      </c>
      <c r="BH12" s="50">
        <f t="shared" si="17"/>
        <v>2.1653542866728439</v>
      </c>
    </row>
    <row r="13" spans="1:60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56">
        <v>0.18325645634287266</v>
      </c>
      <c r="AP13" s="57">
        <v>9.0490249769565087E-2</v>
      </c>
      <c r="AQ13" s="47">
        <f t="shared" si="10"/>
        <v>201207</v>
      </c>
      <c r="AR13" s="41" t="str">
        <f t="shared" si="11"/>
        <v>B6_ref_1</v>
      </c>
      <c r="AS13" s="50">
        <v>8.2241945278393999E-2</v>
      </c>
      <c r="AT13" s="50">
        <v>0.22102332359041901</v>
      </c>
      <c r="AU13" s="50">
        <v>-0.138781378312025</v>
      </c>
      <c r="AV13" s="50">
        <v>0.151632634434406</v>
      </c>
      <c r="AW13" s="50">
        <v>22.3259423648012</v>
      </c>
      <c r="AX13" s="50">
        <v>43.720161276728597</v>
      </c>
      <c r="AZ13">
        <v>265</v>
      </c>
      <c r="BA13">
        <v>109</v>
      </c>
      <c r="BB13">
        <f t="shared" si="15"/>
        <v>156</v>
      </c>
      <c r="BC13" t="s">
        <v>39</v>
      </c>
      <c r="BD13" s="78">
        <f>BB13*concentration_constants!$F$6</f>
        <v>0.15628130635143259</v>
      </c>
      <c r="BE13" s="50">
        <f>I13*concentration_constants!$B$2+concentration_constants!$D$2</f>
        <v>9.6085110288080102</v>
      </c>
      <c r="BF13" s="50">
        <f>BE13*concentration_constants!$B$3+concentration_constants!$D$3</f>
        <v>0.38608326860383324</v>
      </c>
      <c r="BG13" s="50">
        <f t="shared" si="16"/>
        <v>61.482151980488176</v>
      </c>
      <c r="BH13" s="50">
        <f t="shared" si="17"/>
        <v>2.4704379405150405</v>
      </c>
    </row>
    <row r="14" spans="1:60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56">
        <v>0.18325645634287266</v>
      </c>
      <c r="AP14" s="57">
        <v>9.0490249769565087E-2</v>
      </c>
      <c r="AQ14" s="47">
        <f t="shared" si="10"/>
        <v>201207</v>
      </c>
      <c r="AR14" s="41" t="str">
        <f t="shared" si="11"/>
        <v>ATM_EQ_SW_2</v>
      </c>
      <c r="AS14" s="50">
        <v>14.393773542834699</v>
      </c>
      <c r="AT14" s="50">
        <v>-3.6809189289388402</v>
      </c>
      <c r="AU14" s="50">
        <v>18.074692471773599</v>
      </c>
      <c r="AV14" s="50">
        <v>5.3564273069479604</v>
      </c>
      <c r="AW14" s="50">
        <v>22.94455532836</v>
      </c>
      <c r="AX14" s="50">
        <v>44.944459545090702</v>
      </c>
      <c r="AZ14">
        <v>265</v>
      </c>
      <c r="BA14">
        <v>109</v>
      </c>
      <c r="BB14">
        <f t="shared" si="15"/>
        <v>156</v>
      </c>
      <c r="BC14" t="s">
        <v>173</v>
      </c>
      <c r="BD14" s="78">
        <f>BB14*concentration_constants!$B$6</f>
        <v>0.15204678362573099</v>
      </c>
      <c r="BE14" s="50">
        <f>I14*concentration_constants!$B$2+concentration_constants!$D$2</f>
        <v>2.3526725819565679</v>
      </c>
      <c r="BF14" s="50">
        <f>BE14*concentration_constants!$B$3+concentration_constants!$D$3</f>
        <v>0.32790095617705511</v>
      </c>
      <c r="BG14" s="50">
        <f t="shared" si="16"/>
        <v>15.473346596714352</v>
      </c>
      <c r="BH14" s="50">
        <f t="shared" si="17"/>
        <v>2.1565793656260164</v>
      </c>
    </row>
    <row r="15" spans="1:60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56">
        <v>0.18325645634287266</v>
      </c>
      <c r="AP15" s="57">
        <v>9.0490249769565087E-2</v>
      </c>
      <c r="AQ15" s="47">
        <f t="shared" si="10"/>
        <v>201207</v>
      </c>
      <c r="AR15" t="str">
        <f t="shared" si="11"/>
        <v>ATM_EQ_SW_3</v>
      </c>
      <c r="AS15" s="50">
        <v>16.679833428360201</v>
      </c>
      <c r="AT15" s="50">
        <v>-4.3336183513273898</v>
      </c>
      <c r="AU15" s="50">
        <v>21.0134517796876</v>
      </c>
      <c r="AV15" s="50">
        <v>6.1731075385164003</v>
      </c>
      <c r="AW15" s="50">
        <v>23.487665779901398</v>
      </c>
      <c r="AX15" s="50">
        <v>46.019903286484897</v>
      </c>
      <c r="AZ15">
        <v>265</v>
      </c>
      <c r="BA15">
        <v>109</v>
      </c>
      <c r="BB15">
        <f t="shared" si="15"/>
        <v>156</v>
      </c>
      <c r="BC15" t="s">
        <v>173</v>
      </c>
      <c r="BD15" s="78">
        <f>BB15*concentration_constants!$B$6</f>
        <v>0.15204678362573099</v>
      </c>
      <c r="BE15" s="50">
        <f>I15*concentration_constants!$B$2+concentration_constants!$D$2</f>
        <v>2.2375445775427525</v>
      </c>
      <c r="BF15" s="50">
        <f>BE15*concentration_constants!$B$3+concentration_constants!$D$3</f>
        <v>0.3269777805067392</v>
      </c>
      <c r="BG15" s="50">
        <f t="shared" si="16"/>
        <v>14.716158567685026</v>
      </c>
      <c r="BH15" s="50">
        <f t="shared" si="17"/>
        <v>2.1505077102558618</v>
      </c>
    </row>
    <row r="16" spans="1:60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56">
        <v>0.18325645634287266</v>
      </c>
      <c r="AP16" s="57">
        <v>9.0490249769565087E-2</v>
      </c>
      <c r="AQ16" s="47">
        <f t="shared" si="10"/>
        <v>201207</v>
      </c>
      <c r="AR16" t="str">
        <f t="shared" si="11"/>
        <v>S2_ref_2</v>
      </c>
      <c r="AS16" s="50">
        <v>7.1029978910310803</v>
      </c>
      <c r="AT16" s="50">
        <v>-14.893050092214599</v>
      </c>
      <c r="AU16" s="50">
        <v>21.996047983245699</v>
      </c>
      <c r="AV16" s="50">
        <v>-3.8950261005917799</v>
      </c>
      <c r="AW16" s="50">
        <v>17.735485742880101</v>
      </c>
      <c r="AX16" s="50">
        <v>34.656884164523802</v>
      </c>
      <c r="AZ16">
        <v>265</v>
      </c>
      <c r="BA16">
        <v>109</v>
      </c>
      <c r="BB16">
        <f t="shared" si="15"/>
        <v>156</v>
      </c>
      <c r="BC16" t="s">
        <v>39</v>
      </c>
      <c r="BD16" s="78">
        <f>BB16*concentration_constants!$F$6</f>
        <v>0.15628130635143259</v>
      </c>
      <c r="BE16" s="50">
        <f>I16*concentration_constants!$B$2+concentration_constants!$D$2</f>
        <v>3.9394971247204844</v>
      </c>
      <c r="BF16" s="50">
        <f>BE16*concentration_constants!$B$3+concentration_constants!$D$3</f>
        <v>0.34062520878960229</v>
      </c>
      <c r="BG16" s="50">
        <f t="shared" si="16"/>
        <v>25.207730960871714</v>
      </c>
      <c r="BH16" s="50">
        <f t="shared" si="17"/>
        <v>2.179564637267827</v>
      </c>
    </row>
    <row r="17" spans="1:60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56">
        <v>0.18325645634287266</v>
      </c>
      <c r="AP17" s="57">
        <v>9.0490249769565087E-2</v>
      </c>
      <c r="AQ17" s="47">
        <f t="shared" si="10"/>
        <v>201207</v>
      </c>
      <c r="AR17" s="41" t="str">
        <f t="shared" si="11"/>
        <v>DI</v>
      </c>
      <c r="AS17" s="50">
        <v>13.725240315331099</v>
      </c>
      <c r="AT17" s="50">
        <v>-28.3353648321477</v>
      </c>
      <c r="AU17" s="50">
        <v>42.060605147478803</v>
      </c>
      <c r="AV17" s="50">
        <v>-7.3050622584082596</v>
      </c>
      <c r="AW17" s="50">
        <v>22.565126816266901</v>
      </c>
      <c r="AX17" s="50">
        <v>44.193449376003002</v>
      </c>
      <c r="AZ17">
        <v>265</v>
      </c>
      <c r="BA17">
        <v>109</v>
      </c>
      <c r="BB17">
        <f t="shared" si="15"/>
        <v>156</v>
      </c>
      <c r="BC17" t="s">
        <v>39</v>
      </c>
      <c r="BD17" s="78">
        <f>BB17*concentration_constants!$F$6</f>
        <v>0.15628130635143259</v>
      </c>
      <c r="BE17" s="50">
        <f>I17*concentration_constants!$B$2+concentration_constants!$D$2</f>
        <v>6.3978730261994317</v>
      </c>
      <c r="BF17" s="50">
        <f>BE17*concentration_constants!$B$3+concentration_constants!$D$3</f>
        <v>0.36033816075373781</v>
      </c>
      <c r="BG17" s="50">
        <f t="shared" si="16"/>
        <v>40.938184966360723</v>
      </c>
      <c r="BH17" s="50">
        <f t="shared" si="17"/>
        <v>2.3057022568229555</v>
      </c>
    </row>
    <row r="18" spans="1:60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56"/>
      <c r="AP18" s="54"/>
      <c r="AQ18" s="49"/>
      <c r="AR18" s="48"/>
      <c r="AS18" s="48"/>
      <c r="AT18" s="48"/>
      <c r="AU18" s="48"/>
      <c r="AV18" s="48"/>
      <c r="AW18" s="48"/>
      <c r="AX18" s="48"/>
    </row>
    <row r="19" spans="1:60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56"/>
      <c r="AP19" s="54"/>
      <c r="AQ19" s="49"/>
      <c r="AR19" s="48"/>
      <c r="AS19" s="48"/>
      <c r="AT19" s="48"/>
      <c r="AU19" s="48"/>
      <c r="AV19" s="48"/>
      <c r="AW19" s="48"/>
      <c r="AX19" s="48"/>
    </row>
    <row r="20" spans="1:60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56"/>
      <c r="AP20" s="54"/>
      <c r="AQ20" s="49"/>
      <c r="AR20" s="48"/>
      <c r="AS20" s="48"/>
      <c r="AT20" s="48"/>
      <c r="AU20" s="48"/>
      <c r="AV20" s="48"/>
      <c r="AW20" s="48"/>
      <c r="AX20" s="48"/>
    </row>
    <row r="21" spans="1:60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56"/>
      <c r="AP21" s="54"/>
      <c r="AQ21" s="49"/>
      <c r="AR21" s="48"/>
      <c r="AS21" s="48"/>
      <c r="AT21" s="48"/>
      <c r="AU21" s="48"/>
      <c r="AV21" s="48"/>
      <c r="AW21" s="48"/>
      <c r="AX21" s="48"/>
    </row>
    <row r="22" spans="1:60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56"/>
      <c r="AP22" s="54"/>
      <c r="AQ22" s="49"/>
      <c r="AR22" s="48"/>
      <c r="AS22" s="48"/>
      <c r="AT22" s="48"/>
      <c r="AU22" s="48"/>
      <c r="AV22" s="48"/>
      <c r="AW22" s="48"/>
      <c r="AX22" s="48"/>
    </row>
    <row r="23" spans="1:60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56"/>
      <c r="AP23" s="54"/>
      <c r="AQ23" s="49"/>
      <c r="AR23" s="48"/>
      <c r="AS23" s="48"/>
      <c r="AT23" s="48"/>
      <c r="AU23" s="48"/>
      <c r="AV23" s="48"/>
      <c r="AW23" s="48"/>
      <c r="AX23" s="48"/>
    </row>
    <row r="24" spans="1:60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56"/>
      <c r="AP24" s="54"/>
      <c r="AQ24" s="49"/>
      <c r="AR24" s="48"/>
      <c r="AS24" s="48"/>
      <c r="AT24" s="48"/>
      <c r="AU24" s="48"/>
      <c r="AV24" s="48"/>
      <c r="AW24" s="48"/>
      <c r="AX24" s="48"/>
    </row>
    <row r="25" spans="1:60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56"/>
      <c r="AP25" s="54"/>
      <c r="AQ25" s="49"/>
      <c r="AR25" s="48"/>
      <c r="AS25" s="48"/>
      <c r="AT25" s="48"/>
      <c r="AU25" s="48"/>
      <c r="AV25" s="48"/>
      <c r="AW25" s="48"/>
      <c r="AX25" s="48"/>
    </row>
    <row r="26" spans="1:60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56"/>
      <c r="AP26" s="54"/>
      <c r="AQ26" s="49"/>
      <c r="AR26" s="48"/>
      <c r="AS26" s="48"/>
      <c r="AT26" s="48"/>
      <c r="AU26" s="48"/>
      <c r="AV26" s="48"/>
      <c r="AW26" s="48"/>
      <c r="AX26" s="48"/>
    </row>
    <row r="27" spans="1:60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56"/>
      <c r="AP27" s="54"/>
      <c r="AQ27" s="49"/>
      <c r="AR27" s="48"/>
      <c r="AS27" s="48"/>
      <c r="AT27" s="48"/>
      <c r="AU27" s="48"/>
      <c r="AV27" s="48"/>
      <c r="AW27" s="48"/>
      <c r="AX27" s="48"/>
    </row>
    <row r="28" spans="1:60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56"/>
      <c r="AP28" s="54"/>
      <c r="AQ28" s="49"/>
      <c r="AR28" s="48"/>
      <c r="AS28" s="48"/>
      <c r="AT28" s="48"/>
      <c r="AU28" s="48"/>
      <c r="AV28" s="48"/>
      <c r="AW28" s="48"/>
      <c r="AX28" s="48"/>
    </row>
    <row r="29" spans="1:60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56"/>
      <c r="AP29" s="54"/>
      <c r="AQ29" s="49"/>
      <c r="AR29" s="48"/>
      <c r="AS29" s="48"/>
      <c r="AT29" s="48"/>
      <c r="AU29" s="48"/>
      <c r="AV29" s="48"/>
      <c r="AW29" s="48"/>
      <c r="AX29" s="48"/>
    </row>
    <row r="30" spans="1:60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60"/>
      <c r="AP30" s="32"/>
      <c r="AQ30" s="49"/>
      <c r="AR30" s="48"/>
      <c r="AS30" s="45"/>
      <c r="AT30" s="45"/>
      <c r="AU30" s="45"/>
      <c r="AV30" s="45"/>
      <c r="AW30" s="45"/>
      <c r="AX30" s="45"/>
    </row>
    <row r="31" spans="1:60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Q31" s="49"/>
      <c r="AR31" s="48"/>
      <c r="AS31" s="45"/>
      <c r="AT31" s="45"/>
      <c r="AU31" s="45"/>
      <c r="AV31" s="45"/>
      <c r="AW31" s="45"/>
      <c r="AX31" s="45"/>
    </row>
    <row r="32" spans="1:60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Q32" s="49"/>
      <c r="AR32" s="48"/>
      <c r="AS32" s="45"/>
      <c r="AT32" s="45"/>
      <c r="AU32" s="45"/>
      <c r="AV32" s="45"/>
      <c r="AW32" s="45"/>
      <c r="AX32" s="45"/>
    </row>
    <row r="33" spans="3:50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Q33" s="49"/>
      <c r="AR33" s="48"/>
      <c r="AS33" s="45"/>
      <c r="AT33" s="45"/>
      <c r="AU33" s="45"/>
      <c r="AV33" s="45"/>
      <c r="AW33" s="45"/>
      <c r="AX33" s="45"/>
    </row>
    <row r="34" spans="3:50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Q34" s="49"/>
      <c r="AR34" s="48"/>
      <c r="AS34" s="45"/>
      <c r="AT34" s="45"/>
      <c r="AU34" s="45"/>
      <c r="AV34" s="45"/>
      <c r="AW34" s="45"/>
      <c r="AX34" s="45"/>
    </row>
    <row r="35" spans="3:50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Q35" s="49"/>
      <c r="AR35" s="48"/>
      <c r="AS35" s="45"/>
      <c r="AT35" s="45"/>
      <c r="AU35" s="45"/>
      <c r="AV35" s="45"/>
      <c r="AW35" s="45"/>
      <c r="AX35" s="45"/>
    </row>
    <row r="36" spans="3:50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Q36" s="49"/>
      <c r="AR36" s="48"/>
      <c r="AS36" s="45"/>
      <c r="AT36" s="45"/>
      <c r="AU36" s="45"/>
      <c r="AV36" s="45"/>
      <c r="AW36" s="45"/>
      <c r="AX36" s="45"/>
    </row>
    <row r="37" spans="3:50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Q37" s="49"/>
      <c r="AR37" s="48"/>
      <c r="AS37" s="45"/>
      <c r="AT37" s="45"/>
      <c r="AU37" s="45"/>
      <c r="AV37" s="45"/>
      <c r="AW37" s="45"/>
      <c r="AX37" s="45"/>
    </row>
    <row r="38" spans="3:50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Q38" s="49"/>
      <c r="AR38" s="48"/>
      <c r="AS38" s="45"/>
      <c r="AT38" s="45"/>
      <c r="AU38" s="45"/>
      <c r="AV38" s="45"/>
      <c r="AW38" s="45"/>
      <c r="AX38" s="45"/>
    </row>
    <row r="39" spans="3:50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Q39" s="49"/>
      <c r="AR39" s="48"/>
      <c r="AS39" s="45"/>
      <c r="AT39" s="45"/>
      <c r="AU39" s="45"/>
      <c r="AV39" s="45"/>
      <c r="AW39" s="45"/>
      <c r="AX39" s="45"/>
    </row>
    <row r="40" spans="3:50">
      <c r="AA40" s="28"/>
      <c r="AI40" s="74"/>
      <c r="AJ40" s="74"/>
      <c r="AQ40" s="45"/>
      <c r="AR40" s="45"/>
      <c r="AS40" s="45"/>
      <c r="AT40" s="45"/>
      <c r="AU40" s="45"/>
      <c r="AV40" s="45"/>
      <c r="AW40" s="45"/>
      <c r="AX40" s="45"/>
    </row>
    <row r="41" spans="3:50">
      <c r="AI41" s="74"/>
      <c r="AJ41" s="74"/>
    </row>
    <row r="42" spans="3:50">
      <c r="AI42" s="74"/>
      <c r="AJ42" s="74"/>
    </row>
    <row r="43" spans="3:50">
      <c r="AI43" s="74"/>
      <c r="AJ43" s="74"/>
    </row>
    <row r="44" spans="3:50">
      <c r="AI44" s="74"/>
      <c r="AJ44" s="74"/>
    </row>
    <row r="45" spans="3:50">
      <c r="AI45" s="74"/>
      <c r="AJ45" s="74"/>
    </row>
    <row r="46" spans="3:50">
      <c r="AI46" s="74"/>
      <c r="AJ46" s="74"/>
    </row>
    <row r="47" spans="3:50">
      <c r="AI47" s="74"/>
      <c r="AJ47" s="74"/>
    </row>
    <row r="48" spans="3:50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tabSelected="1" topLeftCell="F1" workbookViewId="0">
      <selection activeCell="J23" sqref="J23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4" t="s">
        <v>123</v>
      </c>
      <c r="B1" s="124"/>
      <c r="C1" s="124"/>
      <c r="D1" s="124"/>
      <c r="E1" s="124"/>
      <c r="F1" s="124"/>
      <c r="G1" s="125" t="s">
        <v>116</v>
      </c>
      <c r="H1" s="125"/>
      <c r="I1" s="125"/>
      <c r="J1" s="125"/>
      <c r="K1" s="125"/>
      <c r="L1" s="125"/>
      <c r="M1" s="125"/>
      <c r="N1" s="125"/>
      <c r="O1" s="115" t="s">
        <v>115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99</v>
      </c>
      <c r="H2" s="118" t="s">
        <v>100</v>
      </c>
      <c r="I2" s="118" t="s">
        <v>101</v>
      </c>
      <c r="J2" s="118" t="s">
        <v>102</v>
      </c>
      <c r="K2" s="118" t="s">
        <v>103</v>
      </c>
      <c r="L2" s="118" t="s">
        <v>104</v>
      </c>
      <c r="M2" s="118" t="s">
        <v>105</v>
      </c>
      <c r="N2" s="118" t="s">
        <v>106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 t="shared" ref="D4:D9" si="0">AVERAGE(B4:C4)</f>
        <v>-3.6599999999999997</v>
      </c>
      <c r="E4" s="69">
        <v>32.729999999999997</v>
      </c>
      <c r="F4" s="69">
        <f t="shared" ref="F4:F9" si="1">B4-C4</f>
        <v>18.419999999999998</v>
      </c>
      <c r="G4" s="65">
        <f t="shared" ref="G4:G9" si="2">(B4/1000+1)*0.0036765</f>
        <v>3.6969045749999999E-3</v>
      </c>
      <c r="H4" s="65">
        <f t="shared" ref="H4:H9" si="3"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 t="shared" si="0"/>
        <v>-0.27605719204194445</v>
      </c>
      <c r="E5" s="69">
        <v>41.949257311111111</v>
      </c>
      <c r="F5" s="69">
        <f t="shared" si="1"/>
        <v>-0.25581632613833338</v>
      </c>
      <c r="G5" s="65">
        <f t="shared" si="2"/>
        <v>3.6750148213719339E-3</v>
      </c>
      <c r="H5" s="65">
        <f t="shared" si="3"/>
        <v>3.6759553300949816E-3</v>
      </c>
      <c r="I5" s="65">
        <f t="shared" ref="I5:I9" si="4">(E5/1000+1)*0.0020052</f>
        <v>2.0893166507602399E-3</v>
      </c>
      <c r="J5" s="65">
        <f t="shared" ref="J5:J9" si="5">(I5/0.0020052)^0.516*0.0003799</f>
        <v>3.8804145413997107E-4</v>
      </c>
      <c r="K5" s="66">
        <f t="shared" ref="K5:K9" si="6">G5+H5+J5</f>
        <v>7.7390116056068863E-3</v>
      </c>
      <c r="L5" s="66">
        <f t="shared" ref="L5:L9" si="7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178</v>
      </c>
      <c r="B6" s="69">
        <v>-22.21</v>
      </c>
      <c r="C6" s="69">
        <v>-49.28</v>
      </c>
      <c r="D6" s="69">
        <f t="shared" si="0"/>
        <v>-35.745000000000005</v>
      </c>
      <c r="E6" s="69">
        <v>26.94</v>
      </c>
      <c r="F6" s="69">
        <f t="shared" si="1"/>
        <v>27.07</v>
      </c>
      <c r="G6" s="65">
        <f t="shared" si="2"/>
        <v>3.5948449350000004E-3</v>
      </c>
      <c r="H6" s="65">
        <f t="shared" si="3"/>
        <v>3.49532208E-3</v>
      </c>
      <c r="I6" s="65">
        <f t="shared" si="4"/>
        <v>2.0592200879999997E-3</v>
      </c>
      <c r="J6" s="65">
        <f t="shared" si="5"/>
        <v>3.8514702697154833E-4</v>
      </c>
      <c r="K6" s="66">
        <f t="shared" si="6"/>
        <v>7.4753140419715489E-3</v>
      </c>
      <c r="L6" s="66">
        <f t="shared" si="7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0"/>
        <v>48.074999999999996</v>
      </c>
      <c r="E7" s="69">
        <v>36.01</v>
      </c>
      <c r="F7" s="69">
        <f t="shared" si="1"/>
        <v>-92.73</v>
      </c>
      <c r="G7" s="65">
        <f t="shared" si="2"/>
        <v>3.6827868150000006E-3</v>
      </c>
      <c r="H7" s="65">
        <f t="shared" si="3"/>
        <v>4.0237086600000008E-3</v>
      </c>
      <c r="I7" s="65">
        <f t="shared" si="4"/>
        <v>2.0774072520000002E-3</v>
      </c>
      <c r="J7" s="65">
        <f t="shared" si="5"/>
        <v>3.8689853960154226E-4</v>
      </c>
      <c r="K7" s="66">
        <f t="shared" si="6"/>
        <v>8.0933940146015442E-3</v>
      </c>
      <c r="L7" s="66">
        <f t="shared" si="7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179</v>
      </c>
      <c r="B8" s="69">
        <v>17.11</v>
      </c>
      <c r="C8" s="69">
        <v>-3.43</v>
      </c>
      <c r="D8" s="69">
        <f t="shared" si="0"/>
        <v>6.84</v>
      </c>
      <c r="E8" s="69">
        <v>35.29</v>
      </c>
      <c r="F8" s="69">
        <f t="shared" si="1"/>
        <v>20.54</v>
      </c>
      <c r="G8" s="65">
        <f t="shared" si="2"/>
        <v>3.7394049149999998E-3</v>
      </c>
      <c r="H8" s="65">
        <f t="shared" si="3"/>
        <v>3.6638896049999998E-3</v>
      </c>
      <c r="I8" s="65">
        <f t="shared" si="4"/>
        <v>2.0759635080000003E-3</v>
      </c>
      <c r="J8" s="65">
        <f t="shared" si="5"/>
        <v>3.8675977189798279E-4</v>
      </c>
      <c r="K8" s="66">
        <f t="shared" si="6"/>
        <v>7.7900542918979817E-3</v>
      </c>
      <c r="L8" s="66">
        <f t="shared" si="7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69">
        <f t="shared" si="0"/>
        <v>25.585000000000001</v>
      </c>
      <c r="E9" s="120">
        <v>35.880000000000003</v>
      </c>
      <c r="F9" s="69">
        <f t="shared" si="1"/>
        <v>0.28999999999999915</v>
      </c>
      <c r="G9" s="65">
        <f t="shared" si="2"/>
        <v>3.7710963450000002E-3</v>
      </c>
      <c r="H9" s="65">
        <f t="shared" si="3"/>
        <v>3.7700301599999995E-3</v>
      </c>
      <c r="I9" s="121">
        <f t="shared" si="4"/>
        <v>2.0771465759999996E-3</v>
      </c>
      <c r="J9" s="121">
        <f t="shared" si="5"/>
        <v>3.8687348777560239E-4</v>
      </c>
      <c r="K9" s="122">
        <f t="shared" si="6"/>
        <v>7.9279999927756029E-3</v>
      </c>
      <c r="L9" s="122">
        <f t="shared" si="7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124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109</v>
      </c>
      <c r="C12" s="63" t="s">
        <v>110</v>
      </c>
      <c r="D12" s="63" t="s">
        <v>26</v>
      </c>
      <c r="E12" s="37" t="s">
        <v>27</v>
      </c>
      <c r="F12" s="63" t="s">
        <v>111</v>
      </c>
      <c r="G12" s="63" t="s">
        <v>112</v>
      </c>
      <c r="H12" s="63" t="s">
        <v>113</v>
      </c>
      <c r="I12" s="63" t="s">
        <v>114</v>
      </c>
      <c r="J12" s="41" t="s">
        <v>107</v>
      </c>
      <c r="K12" s="41" t="s">
        <v>108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8">M3</f>
        <v>1.0059496767117579</v>
      </c>
      <c r="C13" s="68">
        <f t="shared" si="8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9">LN(D13)</f>
        <v>5.6690060748599133E-3</v>
      </c>
      <c r="G13" s="67">
        <f t="shared" ref="G13:G27" si="10">LN(E13)</f>
        <v>7.4936919644022753E-3</v>
      </c>
      <c r="H13" s="67">
        <f t="shared" ref="H13:I19" si="11">LN(B13)</f>
        <v>5.9320472770020231E-3</v>
      </c>
      <c r="I13" s="67">
        <f t="shared" si="11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8"/>
        <v>0.99629623559207692</v>
      </c>
      <c r="C14" s="68">
        <f t="shared" si="8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9"/>
        <v>-3.3157633670658081E-3</v>
      </c>
      <c r="G14" s="67">
        <f t="shared" si="10"/>
        <v>-5.0356547842637621E-3</v>
      </c>
      <c r="H14" s="67">
        <f t="shared" si="11"/>
        <v>-3.7106403264231301E-3</v>
      </c>
      <c r="I14" s="67">
        <f t="shared" si="11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8"/>
        <v>0.99973991247556415</v>
      </c>
      <c r="C15" s="68">
        <f t="shared" si="8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9"/>
        <v>3.8320385549917295E-4</v>
      </c>
      <c r="G15" s="67">
        <f t="shared" si="10"/>
        <v>4.3013837783483656E-3</v>
      </c>
      <c r="H15" s="67">
        <f t="shared" si="11"/>
        <v>-2.6012135306176113E-4</v>
      </c>
      <c r="I15" s="67">
        <f t="shared" si="11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2">M3</f>
        <v>1.0059496767117579</v>
      </c>
      <c r="C16" s="68">
        <f t="shared" si="12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9"/>
        <v>6.3855513126554056E-3</v>
      </c>
      <c r="G16" s="67">
        <f t="shared" si="10"/>
        <v>7.6776086292741075E-3</v>
      </c>
      <c r="H16" s="67">
        <f t="shared" si="11"/>
        <v>5.9320472770020231E-3</v>
      </c>
      <c r="I16" s="67">
        <f t="shared" si="11"/>
        <v>4.412758119012896E-3</v>
      </c>
    </row>
    <row r="17" spans="1:9" ht="18" thickTop="1" thickBot="1">
      <c r="A17" s="63" t="str">
        <f>size_correction!D7</f>
        <v>S2_ref_2</v>
      </c>
      <c r="B17" s="68">
        <f t="shared" si="12"/>
        <v>0.99629623559207692</v>
      </c>
      <c r="C17" s="68">
        <f t="shared" si="12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9"/>
        <v>-3.3736683280273967E-3</v>
      </c>
      <c r="G17" s="67">
        <f t="shared" si="10"/>
        <v>-4.8488753146248009E-3</v>
      </c>
      <c r="H17" s="67">
        <f t="shared" si="11"/>
        <v>-3.7106403264231301E-3</v>
      </c>
      <c r="I17" s="67">
        <f t="shared" si="11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2"/>
        <v>0.99973991247556415</v>
      </c>
      <c r="C18" s="68">
        <f t="shared" si="12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9"/>
        <v>-8.2966123175853173E-4</v>
      </c>
      <c r="G18" s="67">
        <f t="shared" si="10"/>
        <v>2.3832486035312902E-3</v>
      </c>
      <c r="H18" s="67">
        <f t="shared" si="11"/>
        <v>-2.6012135306176113E-4</v>
      </c>
      <c r="I18" s="67">
        <f t="shared" si="11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9"/>
        <v>5.0812199816469847E-3</v>
      </c>
      <c r="G19" s="67">
        <f t="shared" si="10"/>
        <v>5.6953639452707308E-3</v>
      </c>
      <c r="H19" s="67">
        <f t="shared" si="11"/>
        <v>5.9320472770020231E-3</v>
      </c>
      <c r="I19" s="67">
        <f t="shared" si="11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9"/>
        <v>-9.1141789753790732E-3</v>
      </c>
      <c r="G20" s="67">
        <f t="shared" si="10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3">M3</f>
        <v>1.0059496767117579</v>
      </c>
      <c r="C21" s="68">
        <f t="shared" si="13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9"/>
        <v>5.7029884167436144E-3</v>
      </c>
      <c r="G21" s="67">
        <f t="shared" si="10"/>
        <v>5.4477259185061388E-3</v>
      </c>
      <c r="H21" s="67">
        <f t="shared" ref="H21:I26" si="14">LN(B21)</f>
        <v>5.9320472770020231E-3</v>
      </c>
      <c r="I21" s="67">
        <f t="shared" si="14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3"/>
        <v>0.99629623559207692</v>
      </c>
      <c r="C22" s="68">
        <f t="shared" si="13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9"/>
        <v>-3.5945739634335372E-3</v>
      </c>
      <c r="G22" s="67">
        <f t="shared" si="10"/>
        <v>-6.2381121983366193E-3</v>
      </c>
      <c r="H22" s="67">
        <f t="shared" si="14"/>
        <v>-3.7106403264231301E-3</v>
      </c>
      <c r="I22" s="67">
        <f t="shared" si="14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3"/>
        <v>0.99973991247556415</v>
      </c>
      <c r="C23" s="68">
        <f t="shared" si="13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9"/>
        <v>1.7966870305363727E-4</v>
      </c>
      <c r="G23" s="67">
        <f t="shared" si="10"/>
        <v>4.0262381999534996E-3</v>
      </c>
      <c r="H23" s="67">
        <f t="shared" si="14"/>
        <v>-2.6012135306176113E-4</v>
      </c>
      <c r="I23" s="67">
        <f t="shared" si="14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9"/>
        <v>4.8686826228146419E-3</v>
      </c>
      <c r="G24" s="67">
        <f t="shared" si="10"/>
        <v>5.3456591947391319E-3</v>
      </c>
      <c r="H24" s="67">
        <f t="shared" si="14"/>
        <v>5.9320472770020231E-3</v>
      </c>
      <c r="I24" s="67">
        <f t="shared" si="14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9"/>
        <v>5.6228928832132777E-3</v>
      </c>
      <c r="G25" s="67">
        <f t="shared" si="10"/>
        <v>6.446829485110093E-3</v>
      </c>
      <c r="H25" s="67">
        <f t="shared" si="14"/>
        <v>5.9320472770020231E-3</v>
      </c>
      <c r="I25" s="67">
        <f t="shared" si="14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9"/>
        <v>-3.6734640658408848E-3</v>
      </c>
      <c r="G26" s="67">
        <f t="shared" si="10"/>
        <v>-5.2698268942697113E-3</v>
      </c>
      <c r="H26" s="67">
        <f t="shared" si="14"/>
        <v>-3.7106403264231301E-3</v>
      </c>
      <c r="I26" s="67">
        <f t="shared" si="14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9"/>
        <v>-6.5263177824188435E-3</v>
      </c>
      <c r="G27" s="67">
        <f t="shared" si="10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N25" sqref="N25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176</v>
      </c>
      <c r="M1" t="s">
        <v>125</v>
      </c>
      <c r="N1">
        <v>3.7990000000000002E-4</v>
      </c>
      <c r="O1" s="24" t="s">
        <v>126</v>
      </c>
      <c r="P1" s="24"/>
      <c r="Q1" s="24"/>
      <c r="R1" s="78"/>
      <c r="S1" s="78"/>
    </row>
    <row r="2" spans="1:25">
      <c r="A2" s="1" t="s">
        <v>177</v>
      </c>
      <c r="M2" t="s">
        <v>127</v>
      </c>
      <c r="N2">
        <v>2.0052E-3</v>
      </c>
      <c r="R2" s="78"/>
      <c r="S2" s="78"/>
    </row>
    <row r="3" spans="1:25">
      <c r="A3" s="126" t="s">
        <v>174</v>
      </c>
      <c r="B3" s="126"/>
      <c r="C3" s="126"/>
      <c r="D3" s="126"/>
      <c r="E3" s="126"/>
      <c r="F3" s="126"/>
      <c r="G3" s="127" t="s">
        <v>175</v>
      </c>
      <c r="H3" s="127"/>
      <c r="I3" s="127"/>
      <c r="J3" s="127"/>
      <c r="K3" s="127"/>
      <c r="L3" s="127"/>
      <c r="M3" t="s">
        <v>128</v>
      </c>
      <c r="N3">
        <v>0.51600000000000001</v>
      </c>
      <c r="R3" s="78"/>
      <c r="S3" s="78"/>
    </row>
    <row r="4" spans="1:25" s="1" customFormat="1" ht="25" customHeight="1">
      <c r="A4" s="1" t="s">
        <v>129</v>
      </c>
      <c r="B4" s="1" t="s">
        <v>130</v>
      </c>
      <c r="C4" s="1" t="s">
        <v>132</v>
      </c>
      <c r="D4" s="1" t="s">
        <v>133</v>
      </c>
      <c r="E4" s="1" t="s">
        <v>139</v>
      </c>
      <c r="F4" s="113" t="s">
        <v>140</v>
      </c>
      <c r="G4" s="1" t="s">
        <v>134</v>
      </c>
      <c r="H4" s="1" t="s">
        <v>135</v>
      </c>
      <c r="I4" s="1" t="s">
        <v>137</v>
      </c>
      <c r="J4" s="1" t="s">
        <v>138</v>
      </c>
      <c r="K4" s="1" t="s">
        <v>142</v>
      </c>
      <c r="L4" s="113" t="s">
        <v>143</v>
      </c>
      <c r="M4" s="113" t="s">
        <v>141</v>
      </c>
      <c r="N4" s="113" t="s">
        <v>144</v>
      </c>
      <c r="O4" s="1" t="s">
        <v>131</v>
      </c>
      <c r="P4" s="1" t="s">
        <v>136</v>
      </c>
      <c r="Q4" s="113" t="s">
        <v>95</v>
      </c>
      <c r="R4" s="113" t="s">
        <v>96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145</v>
      </c>
      <c r="B1" s="79"/>
      <c r="C1" s="79"/>
      <c r="D1" s="79"/>
      <c r="L1" s="80"/>
      <c r="M1" s="80"/>
      <c r="N1" s="80"/>
    </row>
    <row r="2" spans="1:18">
      <c r="A2" t="s">
        <v>146</v>
      </c>
      <c r="B2" s="81">
        <f>B12</f>
        <v>0.4623614635092998</v>
      </c>
      <c r="C2" s="79" t="s">
        <v>147</v>
      </c>
      <c r="D2" s="81">
        <f>C12</f>
        <v>0.10975712247295455</v>
      </c>
      <c r="F2" t="s">
        <v>163</v>
      </c>
      <c r="G2" s="50">
        <f>1/B2</f>
        <v>2.1628100067208269</v>
      </c>
      <c r="H2" t="s">
        <v>162</v>
      </c>
      <c r="L2" s="80"/>
      <c r="M2" s="80"/>
      <c r="N2" s="80"/>
      <c r="O2" s="8"/>
    </row>
    <row r="3" spans="1:18">
      <c r="A3" t="s">
        <v>148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149</v>
      </c>
      <c r="B4" s="81">
        <v>1.026</v>
      </c>
      <c r="C4" s="79"/>
      <c r="E4" s="79" t="s">
        <v>150</v>
      </c>
      <c r="F4">
        <v>0.99819999999999998</v>
      </c>
      <c r="H4" s="79" t="s">
        <v>151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152</v>
      </c>
      <c r="B5" s="85">
        <f>1/B4</f>
        <v>0.97465886939571145</v>
      </c>
      <c r="C5" s="79"/>
      <c r="E5" s="79" t="s">
        <v>153</v>
      </c>
      <c r="F5" s="85">
        <f>1/F4</f>
        <v>1.0018032458425166</v>
      </c>
      <c r="H5" s="79" t="s">
        <v>154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155</v>
      </c>
      <c r="B6" s="88">
        <f>B5/1000</f>
        <v>9.7465886939571145E-4</v>
      </c>
      <c r="C6" s="79"/>
      <c r="E6" s="79" t="s">
        <v>156</v>
      </c>
      <c r="F6" s="88">
        <f>F5/1000</f>
        <v>1.0018032458425166E-3</v>
      </c>
      <c r="H6" s="79" t="s">
        <v>157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158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159</v>
      </c>
      <c r="C11" s="1" t="s">
        <v>160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161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2022-07-06T22:55:57Z</dcterms:modified>
</cp:coreProperties>
</file>