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AAA915F1-A313-7D44-A1EC-F76AF0806275}" xr6:coauthVersionLast="47" xr6:coauthVersionMax="47" xr10:uidLastSave="{00000000-0000-0000-0000-000000000000}"/>
  <bookViews>
    <workbookView xWindow="-37980" yWindow="-5500" windowWidth="37860" windowHeight="2350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3" i="2" l="1"/>
  <c r="AI3" i="2"/>
  <c r="AJ17" i="2"/>
  <c r="AI17" i="2"/>
  <c r="AJ16" i="2"/>
  <c r="AI16" i="2"/>
  <c r="AJ15" i="2"/>
  <c r="AI15" i="2"/>
  <c r="AJ14" i="2"/>
  <c r="AI14" i="2"/>
  <c r="AJ13" i="2"/>
  <c r="AI13" i="2"/>
  <c r="AJ12" i="2"/>
  <c r="AI12" i="2"/>
  <c r="AJ11" i="2"/>
  <c r="AI11" i="2"/>
  <c r="AJ10" i="2"/>
  <c r="AI10" i="2"/>
  <c r="AJ9" i="2"/>
  <c r="AI9" i="2"/>
  <c r="AJ8" i="2"/>
  <c r="AI8" i="2"/>
  <c r="AJ7" i="2"/>
  <c r="AI7" i="2"/>
  <c r="AJ6" i="2"/>
  <c r="AI6" i="2"/>
  <c r="AJ5" i="2"/>
  <c r="AI5" i="2"/>
  <c r="AJ4" i="2"/>
  <c r="AI4" i="2"/>
  <c r="Y12" i="2"/>
  <c r="Y11" i="2"/>
  <c r="X12" i="2"/>
  <c r="X11" i="2"/>
  <c r="Z4" i="3"/>
  <c r="Z3" i="3"/>
  <c r="Y4" i="3"/>
  <c r="Y3" i="3"/>
  <c r="N4" i="3"/>
  <c r="N5" i="3"/>
  <c r="N6" i="3"/>
  <c r="N7" i="3"/>
  <c r="N8" i="3"/>
  <c r="N9" i="3"/>
  <c r="M4" i="3"/>
  <c r="M5" i="3"/>
  <c r="M6" i="3"/>
  <c r="M7" i="3"/>
  <c r="M8" i="3"/>
  <c r="M9" i="3"/>
  <c r="AL3" i="2"/>
  <c r="S3" i="3"/>
  <c r="Q4" i="3"/>
  <c r="Q3" i="3"/>
  <c r="M3" i="3"/>
  <c r="L3" i="3"/>
  <c r="J3" i="3"/>
  <c r="K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R3" i="3"/>
  <c r="U3" i="3"/>
  <c r="T3" i="3"/>
  <c r="V3" i="3"/>
  <c r="W3" i="3"/>
  <c r="X3" i="3"/>
  <c r="G4" i="3"/>
  <c r="H4" i="3"/>
  <c r="I4" i="3"/>
  <c r="J4" i="3"/>
  <c r="K4" i="3"/>
  <c r="L4" i="3"/>
  <c r="R4" i="3"/>
  <c r="S4" i="3"/>
  <c r="U4" i="3"/>
  <c r="T4" i="3"/>
  <c r="V4" i="3"/>
  <c r="W4" i="3"/>
  <c r="X4" i="3"/>
  <c r="G5" i="3"/>
  <c r="H5" i="3"/>
  <c r="I5" i="3"/>
  <c r="J5" i="3"/>
  <c r="K5" i="3"/>
  <c r="Q5" i="3"/>
  <c r="L5" i="3"/>
  <c r="R5" i="3"/>
  <c r="S5" i="3"/>
  <c r="U5" i="3"/>
  <c r="T5" i="3"/>
  <c r="V5" i="3"/>
  <c r="W5" i="3"/>
  <c r="X5" i="3"/>
  <c r="Q6" i="3"/>
  <c r="R6" i="3"/>
  <c r="S6" i="3"/>
  <c r="U6" i="3"/>
  <c r="T6" i="3"/>
  <c r="V6" i="3"/>
  <c r="W6" i="3"/>
  <c r="X6" i="3"/>
  <c r="Q7" i="3"/>
  <c r="R7" i="3"/>
  <c r="S7" i="3"/>
  <c r="U7" i="3"/>
  <c r="T7" i="3"/>
  <c r="V7" i="3"/>
  <c r="W7" i="3"/>
  <c r="X7" i="3"/>
  <c r="Q8" i="3"/>
  <c r="R8" i="3"/>
  <c r="S8" i="3"/>
  <c r="U8" i="3"/>
  <c r="T8" i="3"/>
  <c r="V8" i="3"/>
  <c r="W8" i="3"/>
  <c r="X8" i="3"/>
  <c r="Q9" i="3"/>
  <c r="R9" i="3"/>
  <c r="S9" i="3"/>
  <c r="U9" i="3"/>
  <c r="T9" i="3"/>
  <c r="V9" i="3"/>
  <c r="W9" i="3"/>
  <c r="X9" i="3"/>
  <c r="S10" i="3"/>
  <c r="U10" i="3"/>
  <c r="T10" i="3"/>
  <c r="V10" i="3"/>
  <c r="Q11" i="3"/>
  <c r="R11" i="3"/>
  <c r="S11" i="3"/>
  <c r="U11" i="3"/>
  <c r="T11" i="3"/>
  <c r="V11" i="3"/>
  <c r="W11" i="3"/>
  <c r="X11" i="3"/>
  <c r="Q12" i="3"/>
  <c r="R12" i="3"/>
  <c r="S12" i="3"/>
  <c r="U12" i="3"/>
  <c r="T12" i="3"/>
  <c r="V12" i="3"/>
  <c r="W12" i="3"/>
  <c r="X12" i="3"/>
  <c r="Q13" i="3"/>
  <c r="R13" i="3"/>
  <c r="S13" i="3"/>
  <c r="U13" i="3"/>
  <c r="T13" i="3"/>
  <c r="V13" i="3"/>
  <c r="W13" i="3"/>
  <c r="X13" i="3"/>
  <c r="Q14" i="3"/>
  <c r="R14" i="3"/>
  <c r="S14" i="3"/>
  <c r="U14" i="3"/>
  <c r="T14" i="3"/>
  <c r="V14" i="3"/>
  <c r="W14" i="3"/>
  <c r="X14" i="3"/>
  <c r="Q15" i="3"/>
  <c r="R15" i="3"/>
  <c r="S15" i="3"/>
  <c r="U15" i="3"/>
  <c r="T15" i="3"/>
  <c r="V15" i="3"/>
  <c r="W15" i="3"/>
  <c r="X15" i="3"/>
  <c r="Q16" i="3"/>
  <c r="R16" i="3"/>
  <c r="S16" i="3"/>
  <c r="U16" i="3"/>
  <c r="T16" i="3"/>
  <c r="V16" i="3"/>
  <c r="W16" i="3"/>
  <c r="X16" i="3"/>
  <c r="S17" i="3"/>
  <c r="U17" i="3"/>
  <c r="T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<sst xmlns="http://schemas.openxmlformats.org/spreadsheetml/2006/main" count="232" uniqueCount="185">
  <si>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</si>
  <si>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</si>
  <si>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</si>
  <si>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</si>
  <si>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</si>
  <si>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</si>
  <si>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</si>
  <si>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</si>
  <si>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</si>
  <si>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</si>
  <si>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</si>
  <si>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</si>
  <si>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</si>
  <si>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</si>
  <si>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</si>
  <si>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</si>
  <si>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</si>
  <si>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</si>
  <si>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</si>
  <si>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</si>
  <si>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</si>
  <si>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</si>
  <si>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</si>
  <si>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</si>
  <si>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</si>
  <si>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</si>
  <si>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</si>
  <si>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</si>
  <si>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</si>
  <si>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</si>
  <si>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</si>
  <si>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</si>
  <si>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</si>
  <si>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</si>
  <si>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</si>
  <si>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</si>
  <si>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</si>
  <si>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</si>
  <si>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</si>
  <si>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</si>
  <si>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</si>
  <si>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</si>
  <si>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</si>
  <si>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</si>
  <si>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</si>
  <si>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</si>
  <si>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</si>
  <si>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</si>
  <si>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</si>
  <si>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</si>
  <si>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</si>
  <si>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</si>
  <si>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</si>
  <si>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</si>
  <si>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</si>
  <si>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</si>
  <si>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</si>
  <si>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</si>
  <si>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</si>
  <si>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</si>
  <si>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</si>
  <si>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</si>
  <si>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</si>
  <si>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</si>
  <si>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</si>
  <si>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</si>
  <si>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</si>
  <si>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</si>
  <si>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</si>
  <si>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</si>
  <si>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</si>
  <si>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</si>
  <si>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</si>
  <si>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</si>
  <si>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</si>
  <si>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</si>
  <si>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</si>
  <si>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</si>
  <si>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</si>
  <si>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</si>
  <si>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</si>
  <si>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</si>
  <si>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</si>
  <si>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</si>
  <si>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</si>
  <si>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</si>
  <si>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</si>
  <si>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</si>
  <si>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</si>
  <si>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</si>
  <si>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</si>
  <si>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</si>
  <si>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</si>
  <si>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</si>
  <si>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</si>
  <si>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</si>
  <si>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</si>
  <si>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</si>
  <si>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</si>
  <si>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</si>
  <si>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</si>
  <si>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</si>
  <si>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</si>
  <si>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</si>
  <si>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</si>
  <si>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</si>
  <si>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</si>
  <si>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</si>
  <si>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</si>
  <si>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</si>
  <si>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</si>
  <si>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</si>
  <si>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</si>
  <si>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</si>
  <si>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</si>
  <si>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</si>
  <si>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</si>
  <si>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</si>
  <si>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</si>
  <si>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</si>
  <si>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</si>
  <si>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</si>
  <si>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</si>
  <si>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</si>
  <si>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</si>
  <si>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</si>
  <si>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</si>
  <si>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</si>
  <si>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</si>
  <si>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</si>
  <si>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</si>
  <si>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</si>
  <si>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</si>
  <si>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</si>
  <si>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</si>
  <si>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</si>
  <si>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</si>
  <si>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</si>
  <si>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</si>
  <si>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</si>
  <si>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</si>
  <si>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</si>
  <si>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</si>
  <si>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</si>
  <si>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</si>
  <si>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</si>
  <si>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</si>
  <si>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</si>
  <si>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</si>
  <si>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</si>
  <si>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</si>
  <si>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</si>
  <si>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</si>
  <si>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</si>
  <si>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</si>
  <si>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</si>
  <si>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</si>
  <si>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</si>
  <si>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</si>
  <si>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</si>
  <si>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</si>
  <si>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</si>
  <si>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</si>
  <si>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</si>
  <si>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</si>
  <si>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</si>
  <si>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</si>
  <si>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</si>
  <si>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</si>
  <si>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</si>
  <si>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</si>
  <si>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</si>
  <si>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</si>
  <si>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</si>
  <si>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</si>
  <si>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</si>
  <si>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</si>
  <si>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</si>
  <si>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</si>
  <si>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</si>
  <si>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</si>
  <si>
    <t>𝜆</t>
  </si>
  <si>
    <t>intercept</t>
  </si>
  <si>
    <t>SCALE NORMALIZATION FACTORS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</si>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</sst>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0" fillId="0" borderId="6" xfId="0" applyBorder="1"/>
    <xf numFmtId="0" fontId="0" fillId="0" borderId="7" xfId="0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workbookViewId="0">
      <selection activeCell="H30" sqref="H30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120</v>
      </c>
      <c r="AJ1" s="74"/>
      <c r="AL1" s="51" t="s">
        <v>178</v>
      </c>
      <c r="AM1" s="51"/>
      <c r="AN1" s="51"/>
      <c r="AO1" s="51"/>
      <c r="AP1" s="58"/>
      <c r="AQ1" s="51"/>
      <c r="AR1" s="45"/>
      <c r="AT1" s="122" t="s">
        <v>180</v>
      </c>
      <c r="AU1" s="122"/>
      <c r="AV1" s="122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2" t="s">
        <v>161</v>
      </c>
      <c r="BF1" s="102"/>
      <c r="BG1" s="102"/>
      <c r="BH1" s="102"/>
      <c r="BI1" s="103"/>
      <c r="BJ1" s="104"/>
      <c r="BK1" s="104"/>
      <c r="BL1" s="104"/>
      <c r="BM1" s="104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118</v>
      </c>
      <c r="AJ2" s="75" t="s">
        <v>119</v>
      </c>
      <c r="AK2" s="23"/>
      <c r="AL2" s="55" t="s">
        <v>28</v>
      </c>
      <c r="AM2" s="52" t="s">
        <v>29</v>
      </c>
      <c r="AN2" s="52" t="s">
        <v>30</v>
      </c>
      <c r="AO2" s="52" t="s">
        <v>179</v>
      </c>
      <c r="AP2" s="59" t="s">
        <v>94</v>
      </c>
      <c r="AQ2" s="53" t="s">
        <v>95</v>
      </c>
      <c r="AR2" s="46" t="s">
        <v>74</v>
      </c>
      <c r="AS2" s="1" t="s">
        <v>73</v>
      </c>
      <c r="AT2" s="123" t="s">
        <v>33</v>
      </c>
      <c r="AU2" s="124" t="s">
        <v>47</v>
      </c>
      <c r="AV2" s="125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5" t="s">
        <v>162</v>
      </c>
      <c r="BF2" s="105" t="s">
        <v>163</v>
      </c>
      <c r="BG2" s="105" t="s">
        <v>164</v>
      </c>
      <c r="BH2" s="105" t="s">
        <v>165</v>
      </c>
      <c r="BI2" s="106" t="s">
        <v>166</v>
      </c>
      <c r="BJ2" s="107" t="s">
        <v>167</v>
      </c>
      <c r="BK2" s="108" t="s">
        <v>168</v>
      </c>
      <c r="BL2" s="107" t="s">
        <v>169</v>
      </c>
      <c r="BM2" s="109" t="s">
        <v>168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AF3^$X$11*EXP(X$12)</f>
        <v>1.0059968914794004</v>
      </c>
      <c r="AJ3" s="76">
        <f>AG3^$Y$11*EXP(Y$12)</f>
        <v>1.0054928361918907</v>
      </c>
      <c r="AK3" s="32"/>
      <c r="AL3" s="33">
        <f>AE3*$W$3</f>
        <v>3.7690253636311292E-3</v>
      </c>
      <c r="AM3" s="33">
        <f>AI3*$X$3</f>
        <v>7.7874470361848479E-3</v>
      </c>
      <c r="AN3" s="33">
        <f>AJ3*$Y$3</f>
        <v>2.1128372920185372E-3</v>
      </c>
      <c r="AO3" s="121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15.105455490000001</v>
      </c>
      <c r="AY3" s="50">
        <v>-2.7098456780000002</v>
      </c>
      <c r="AZ3" s="50">
        <v>17.815301160000001</v>
      </c>
      <c r="BA3" s="50">
        <v>6.1978049049999999</v>
      </c>
      <c r="BB3" s="50">
        <v>24.00972707</v>
      </c>
      <c r="BC3" s="50">
        <v>47.054171089999997</v>
      </c>
      <c r="BD3" s="44"/>
      <c r="BE3">
        <v>265</v>
      </c>
      <c r="BF3">
        <v>109</v>
      </c>
      <c r="BG3">
        <f>BE3-BF3</f>
        <v>156</v>
      </c>
      <c r="BH3" t="s">
        <v>170</v>
      </c>
      <c r="BI3" s="77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AF4^$X$11*EXP(X$12)</f>
        <v>0.99647928654867735</v>
      </c>
      <c r="AJ4" s="76">
        <f t="shared" ref="AJ4:AJ17" si="6">AG4^$Y$11*EXP(Y$12)</f>
        <v>0.99374694414430875</v>
      </c>
      <c r="AK4" s="32"/>
      <c r="AL4" s="33">
        <f t="shared" ref="AL4:AL17" si="7">AE4*$W$3</f>
        <v>3.7382429851740414E-3</v>
      </c>
      <c r="AM4" s="33">
        <f t="shared" ref="AM4:AM17" si="8">AI4*$X$3</f>
        <v>7.7137710189554686E-3</v>
      </c>
      <c r="AN4" s="33">
        <f t="shared" ref="AN4:AN17" si="9">AJ4*$Y$3</f>
        <v>2.0881557051858103E-3</v>
      </c>
      <c r="AO4" s="121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6.8736240879999997</v>
      </c>
      <c r="AY4" s="50">
        <v>-13.881471919999999</v>
      </c>
      <c r="AZ4" s="50">
        <v>20.755096009999999</v>
      </c>
      <c r="BA4" s="50">
        <v>-3.5039239150000001</v>
      </c>
      <c r="BB4" s="50">
        <v>17.84864966</v>
      </c>
      <c r="BC4" s="50">
        <v>34.879852069999998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7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1.0003866651070386</v>
      </c>
      <c r="AJ5" s="76">
        <f t="shared" si="6"/>
        <v>1.0024870261627283</v>
      </c>
      <c r="AK5" s="32"/>
      <c r="AL5" s="33">
        <f t="shared" si="7"/>
        <v>3.7228017752489757E-3</v>
      </c>
      <c r="AM5" s="33">
        <f t="shared" si="8"/>
        <v>7.7440181338633632E-3</v>
      </c>
      <c r="AN5" s="33">
        <f t="shared" si="9"/>
        <v>2.1065211977672944E-3</v>
      </c>
      <c r="AO5" s="121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-0.53970856960000002</v>
      </c>
      <c r="AY5" s="50">
        <v>1.282521574</v>
      </c>
      <c r="AZ5" s="50">
        <v>-1.8222301439999999</v>
      </c>
      <c r="BA5" s="50">
        <v>0.37140650219999999</v>
      </c>
      <c r="BB5" s="50">
        <v>22.461390439999999</v>
      </c>
      <c r="BC5" s="50">
        <v>43.988167449999999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7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1.0067598334872758</v>
      </c>
      <c r="AJ6" s="76">
        <f t="shared" si="6"/>
        <v>1.0056662825571459</v>
      </c>
      <c r="AK6" s="32"/>
      <c r="AL6" s="33">
        <f t="shared" si="7"/>
        <v>3.7689117349450109E-3</v>
      </c>
      <c r="AM6" s="33">
        <f t="shared" si="8"/>
        <v>7.793352989302926E-3</v>
      </c>
      <c r="AN6" s="33">
        <f t="shared" si="9"/>
        <v>2.1132017540370475E-3</v>
      </c>
      <c r="AO6" s="121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14.851574149999999</v>
      </c>
      <c r="AY6" s="50">
        <v>-0.85838254079999998</v>
      </c>
      <c r="AZ6" s="50">
        <v>15.70995669</v>
      </c>
      <c r="BA6" s="50">
        <v>6.9965958060000002</v>
      </c>
      <c r="BB6" s="50">
        <v>24.09542038</v>
      </c>
      <c r="BC6" s="50">
        <v>47.223987370000003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170</v>
      </c>
      <c r="BI6" s="77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0.99641824052375039</v>
      </c>
      <c r="AJ7" s="76">
        <f t="shared" si="6"/>
        <v>0.99392103287815814</v>
      </c>
      <c r="AK7" s="32"/>
      <c r="AL7" s="33">
        <f t="shared" si="7"/>
        <v>3.7376533142238627E-3</v>
      </c>
      <c r="AM7" s="33">
        <f t="shared" si="8"/>
        <v>7.713298460153434E-3</v>
      </c>
      <c r="AN7" s="33">
        <f t="shared" si="9"/>
        <v>2.0885215170103784E-3</v>
      </c>
      <c r="AO7" s="121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6.6566362139999997</v>
      </c>
      <c r="AY7" s="50">
        <v>-13.80264891</v>
      </c>
      <c r="AZ7" s="50">
        <v>20.459285130000001</v>
      </c>
      <c r="BA7" s="50">
        <v>-3.5730063489999999</v>
      </c>
      <c r="BB7" s="50">
        <v>17.941820060000001</v>
      </c>
      <c r="BC7" s="50">
        <v>35.063444019999999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7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0.99910377807114037</v>
      </c>
      <c r="AJ8" s="76">
        <f t="shared" si="6"/>
        <v>1.0006852738529772</v>
      </c>
      <c r="AK8" s="32"/>
      <c r="AL8" s="33">
        <f t="shared" si="7"/>
        <v>3.7199285353648262E-3</v>
      </c>
      <c r="AM8" s="33">
        <f t="shared" si="8"/>
        <v>7.7340872733109283E-3</v>
      </c>
      <c r="AN8" s="33">
        <f t="shared" si="9"/>
        <v>2.1027351842483515E-3</v>
      </c>
      <c r="AO8" s="121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-1.156289044</v>
      </c>
      <c r="AY8" s="50">
        <v>-0.70441124850000003</v>
      </c>
      <c r="AZ8" s="50">
        <v>-0.45187779509999998</v>
      </c>
      <c r="BA8" s="50">
        <v>-0.93035014599999999</v>
      </c>
      <c r="BB8" s="50">
        <v>21.515796810000001</v>
      </c>
      <c r="BC8" s="50">
        <v>42.117851049999999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7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W9" s="71" t="s">
        <v>183</v>
      </c>
      <c r="X9" s="2"/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1.0053714775393894</v>
      </c>
      <c r="AJ9" s="76">
        <f t="shared" si="6"/>
        <v>1.0037984617171607</v>
      </c>
      <c r="AL9" s="33">
        <f t="shared" si="7"/>
        <v>3.770760540076305E-3</v>
      </c>
      <c r="AM9" s="33">
        <f t="shared" si="8"/>
        <v>7.7826056912713801E-3</v>
      </c>
      <c r="AN9" s="33">
        <f t="shared" si="9"/>
        <v>2.1092769110312277E-3</v>
      </c>
      <c r="AO9" s="121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16.03665647</v>
      </c>
      <c r="AY9" s="50">
        <v>-4.8656873389999999</v>
      </c>
      <c r="AZ9" s="50">
        <v>20.902343810000001</v>
      </c>
      <c r="BA9" s="50">
        <v>5.5854845649999998</v>
      </c>
      <c r="BB9" s="50">
        <v>23.117269400000001</v>
      </c>
      <c r="BC9" s="50">
        <v>45.286402389999999</v>
      </c>
      <c r="BE9">
        <v>265</v>
      </c>
      <c r="BF9">
        <v>109</v>
      </c>
      <c r="BG9">
        <f t="shared" si="15"/>
        <v>156</v>
      </c>
      <c r="BH9" t="s">
        <v>170</v>
      </c>
      <c r="BI9" s="77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W10" s="15" t="s">
        <v>184</v>
      </c>
      <c r="X10" s="16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0.99038486066119624</v>
      </c>
      <c r="AJ10" s="76">
        <f t="shared" si="6"/>
        <v>1.0030741222584652</v>
      </c>
      <c r="AL10" s="33">
        <f t="shared" si="7"/>
        <v>3.7559237220544848E-3</v>
      </c>
      <c r="AM10" s="33">
        <f t="shared" si="8"/>
        <v>7.666593916106852E-3</v>
      </c>
      <c r="AN10" s="33">
        <f t="shared" si="9"/>
        <v>2.107754859987872E-3</v>
      </c>
      <c r="AO10" s="121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14.457971540000001</v>
      </c>
      <c r="AY10" s="50">
        <v>-34.815304670000003</v>
      </c>
      <c r="AZ10" s="50">
        <v>49.273276199999998</v>
      </c>
      <c r="BA10" s="50">
        <v>-10.178666570000001</v>
      </c>
      <c r="BB10" s="50">
        <v>22.853627360000001</v>
      </c>
      <c r="BC10" s="50">
        <v>44.764460249999999</v>
      </c>
      <c r="BE10">
        <v>265</v>
      </c>
      <c r="BF10">
        <v>109</v>
      </c>
      <c r="BG10">
        <f t="shared" si="15"/>
        <v>156</v>
      </c>
      <c r="BH10" t="s">
        <v>39</v>
      </c>
      <c r="BI10" s="77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W11" s="126" t="s">
        <v>181</v>
      </c>
      <c r="X11">
        <f>scale_normalization!Y3</f>
        <v>1.058002378564959</v>
      </c>
      <c r="Y11" s="127">
        <f>scale_normalization!Z3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1.0060330611367791</v>
      </c>
      <c r="AJ11" s="76">
        <f t="shared" si="6"/>
        <v>1.0035653623389771</v>
      </c>
      <c r="AL11" s="33">
        <f t="shared" si="7"/>
        <v>3.7741574091857285E-3</v>
      </c>
      <c r="AM11" s="33">
        <f t="shared" si="8"/>
        <v>7.7877270264050356E-3</v>
      </c>
      <c r="AN11" s="33">
        <f t="shared" si="9"/>
        <v>2.1087871004216979E-3</v>
      </c>
      <c r="AO11" s="121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</v>
      </c>
      <c r="AY11" s="50">
        <v>-4.5745335200000001</v>
      </c>
      <c r="AZ11" s="50">
        <v>21.726356989999999</v>
      </c>
      <c r="BA11" s="50">
        <v>6.2886449750000004</v>
      </c>
      <c r="BB11" s="50">
        <v>22.988533220000001</v>
      </c>
      <c r="BC11" s="50">
        <v>45.031522729999999</v>
      </c>
      <c r="BE11">
        <v>265</v>
      </c>
      <c r="BF11">
        <v>109</v>
      </c>
      <c r="BG11">
        <f t="shared" si="15"/>
        <v>156</v>
      </c>
      <c r="BH11" t="s">
        <v>170</v>
      </c>
      <c r="BI11" s="77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 ht="17" thickBot="1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W12" s="34" t="s">
        <v>182</v>
      </c>
      <c r="X12" s="35">
        <f>scale_normalization!Y4</f>
        <v>-1.8840219242949102E-5</v>
      </c>
      <c r="Y12" s="36">
        <f>scale_normalization!Z4</f>
        <v>-1.5500612170959347E-3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0.99618538617244334</v>
      </c>
      <c r="AJ12" s="76">
        <f t="shared" si="6"/>
        <v>0.99262691753881871</v>
      </c>
      <c r="AL12" s="33">
        <f t="shared" si="7"/>
        <v>3.7381947000342886E-3</v>
      </c>
      <c r="AM12" s="33">
        <f t="shared" si="8"/>
        <v>7.7114959288103382E-3</v>
      </c>
      <c r="AN12" s="33">
        <f t="shared" si="9"/>
        <v>2.0858021986316566E-3</v>
      </c>
      <c r="AO12" s="121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7.0098620809999996</v>
      </c>
      <c r="AY12" s="50">
        <v>-14.575141520000001</v>
      </c>
      <c r="AZ12" s="50">
        <v>21.5850036</v>
      </c>
      <c r="BA12" s="50">
        <v>-3.7826397200000001</v>
      </c>
      <c r="BB12" s="50">
        <v>17.254452000000001</v>
      </c>
      <c r="BC12" s="50">
        <v>33.709358479999999</v>
      </c>
      <c r="BE12">
        <v>265</v>
      </c>
      <c r="BF12">
        <v>109</v>
      </c>
      <c r="BG12">
        <f t="shared" si="15"/>
        <v>156</v>
      </c>
      <c r="BH12" t="s">
        <v>39</v>
      </c>
      <c r="BI12" s="77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1.0001712643600078</v>
      </c>
      <c r="AJ13" s="76">
        <f t="shared" si="6"/>
        <v>1.002228375883468</v>
      </c>
      <c r="AL13" s="33">
        <f t="shared" si="7"/>
        <v>3.7242631653031056E-3</v>
      </c>
      <c r="AM13" s="33">
        <f t="shared" si="8"/>
        <v>7.7423507113064316E-3</v>
      </c>
      <c r="AN13" s="33">
        <f t="shared" si="9"/>
        <v>2.1059776971714254E-3</v>
      </c>
      <c r="AO13" s="121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8.2241945280000006E-2</v>
      </c>
      <c r="AY13" s="50">
        <v>0.22102332359999999</v>
      </c>
      <c r="AZ13" s="50">
        <v>-0.13878137830000001</v>
      </c>
      <c r="BA13" s="50">
        <v>0.15163263439999999</v>
      </c>
      <c r="BB13" s="50">
        <v>22.325942359999999</v>
      </c>
      <c r="BC13" s="50">
        <v>43.720161279999999</v>
      </c>
      <c r="BE13">
        <v>265</v>
      </c>
      <c r="BF13">
        <v>109</v>
      </c>
      <c r="BG13">
        <f t="shared" si="15"/>
        <v>156</v>
      </c>
      <c r="BH13" t="s">
        <v>39</v>
      </c>
      <c r="BI13" s="77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1.0051454300667848</v>
      </c>
      <c r="AJ14" s="76">
        <f t="shared" si="6"/>
        <v>1.0034693036318658</v>
      </c>
      <c r="AL14" s="33">
        <f t="shared" si="7"/>
        <v>3.7661587198913019E-3</v>
      </c>
      <c r="AM14" s="33">
        <f t="shared" si="8"/>
        <v>7.7808558521461494E-3</v>
      </c>
      <c r="AN14" s="33">
        <f t="shared" si="9"/>
        <v>2.1085852527194544E-3</v>
      </c>
      <c r="AO14" s="121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</v>
      </c>
      <c r="AY14" s="50">
        <v>-3.6809189290000002</v>
      </c>
      <c r="AZ14" s="50">
        <v>18.074692469999999</v>
      </c>
      <c r="BA14" s="50">
        <v>5.3564273069999997</v>
      </c>
      <c r="BB14" s="50">
        <v>22.94455533</v>
      </c>
      <c r="BC14" s="50">
        <v>44.944459549999998</v>
      </c>
      <c r="BE14">
        <v>265</v>
      </c>
      <c r="BF14">
        <v>109</v>
      </c>
      <c r="BG14">
        <f t="shared" si="15"/>
        <v>156</v>
      </c>
      <c r="BH14" t="s">
        <v>170</v>
      </c>
      <c r="BI14" s="77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1.0059478122346599</v>
      </c>
      <c r="AJ15" s="76">
        <f t="shared" si="6"/>
        <v>1.0045061407432356</v>
      </c>
      <c r="AL15" s="33">
        <f t="shared" si="7"/>
        <v>3.7730126315774341E-3</v>
      </c>
      <c r="AM15" s="33">
        <f t="shared" si="8"/>
        <v>7.7870671125268029E-3</v>
      </c>
      <c r="AN15" s="33">
        <f t="shared" si="9"/>
        <v>2.110763953587128E-3</v>
      </c>
      <c r="AO15" s="121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16.679833429999999</v>
      </c>
      <c r="AY15" s="50">
        <v>-4.3336183510000001</v>
      </c>
      <c r="AZ15" s="50">
        <v>21.01345178</v>
      </c>
      <c r="BA15" s="50">
        <v>6.1731075390000001</v>
      </c>
      <c r="BB15" s="50">
        <v>23.48766578</v>
      </c>
      <c r="BC15" s="50">
        <v>46.019903290000002</v>
      </c>
      <c r="BE15">
        <v>265</v>
      </c>
      <c r="BF15">
        <v>109</v>
      </c>
      <c r="BG15">
        <f t="shared" si="15"/>
        <v>156</v>
      </c>
      <c r="BH15" t="s">
        <v>170</v>
      </c>
      <c r="BI15" s="77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0.99610224211658405</v>
      </c>
      <c r="AJ16" s="76">
        <f t="shared" si="6"/>
        <v>0.99352872594288855</v>
      </c>
      <c r="AL16" s="33">
        <f t="shared" si="7"/>
        <v>3.7385509216503769E-3</v>
      </c>
      <c r="AM16" s="33">
        <f t="shared" si="8"/>
        <v>7.7108523085995181E-3</v>
      </c>
      <c r="AN16" s="33">
        <f t="shared" si="9"/>
        <v>2.0876971643219054E-3</v>
      </c>
      <c r="AO16" s="121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7.1029978910000002</v>
      </c>
      <c r="AY16" s="50">
        <v>-14.893050089999999</v>
      </c>
      <c r="AZ16" s="50">
        <v>21.99604798</v>
      </c>
      <c r="BA16" s="50">
        <v>-3.895026101</v>
      </c>
      <c r="BB16" s="50">
        <v>17.735485740000001</v>
      </c>
      <c r="BC16" s="50">
        <v>34.656884159999997</v>
      </c>
      <c r="BE16">
        <v>265</v>
      </c>
      <c r="BF16">
        <v>109</v>
      </c>
      <c r="BG16">
        <f t="shared" si="15"/>
        <v>156</v>
      </c>
      <c r="BH16" t="s">
        <v>39</v>
      </c>
      <c r="BI16" s="77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0.99310021363223033</v>
      </c>
      <c r="AJ17" s="76">
        <f t="shared" si="6"/>
        <v>1.0025708516884744</v>
      </c>
      <c r="AL17" s="33">
        <f t="shared" si="7"/>
        <v>3.7557778240511282E-3</v>
      </c>
      <c r="AM17" s="33">
        <f t="shared" si="8"/>
        <v>7.6876135312026585E-3</v>
      </c>
      <c r="AN17" s="33">
        <f t="shared" si="9"/>
        <v>2.1066973399439907E-3</v>
      </c>
      <c r="AO17" s="121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13.725240319999999</v>
      </c>
      <c r="AY17" s="50">
        <v>-28.33536483</v>
      </c>
      <c r="AZ17" s="50">
        <v>42.060605150000001</v>
      </c>
      <c r="BA17" s="50">
        <v>-7.3050622580000004</v>
      </c>
      <c r="BB17" s="50">
        <v>22.56512682</v>
      </c>
      <c r="BC17" s="50">
        <v>44.193449379999997</v>
      </c>
      <c r="BE17">
        <v>265</v>
      </c>
      <c r="BF17">
        <v>109</v>
      </c>
      <c r="BG17">
        <f t="shared" si="15"/>
        <v>156</v>
      </c>
      <c r="BH17" t="s">
        <v>39</v>
      </c>
      <c r="BI17" s="77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6"/>
      <c r="AJ18" s="76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6"/>
      <c r="AJ19" s="76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6"/>
      <c r="AJ20" s="76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6"/>
      <c r="AJ21" s="76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6"/>
      <c r="AJ22" s="76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6"/>
      <c r="AJ23" s="76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6"/>
      <c r="AJ24" s="76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6"/>
      <c r="AJ25" s="76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6"/>
      <c r="AJ26" s="76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6"/>
      <c r="AJ27" s="76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6"/>
      <c r="AJ28" s="76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6"/>
      <c r="AJ29" s="76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6"/>
      <c r="AJ30" s="76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6"/>
      <c r="AJ31" s="76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6"/>
      <c r="AJ32" s="76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6"/>
      <c r="AJ33" s="76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6"/>
      <c r="AJ34" s="76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6"/>
      <c r="AJ35" s="76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6"/>
      <c r="AJ36" s="76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6"/>
      <c r="AJ37" s="76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6"/>
      <c r="AJ38" s="76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6"/>
      <c r="AJ39" s="76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6"/>
      <c r="AJ40" s="76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6"/>
      <c r="AJ41" s="76"/>
    </row>
    <row r="42" spans="3:55">
      <c r="AI42" s="76"/>
      <c r="AJ42" s="76"/>
    </row>
    <row r="43" spans="3:55">
      <c r="AI43" s="76"/>
      <c r="AJ43" s="76"/>
    </row>
    <row r="44" spans="3:55">
      <c r="AI44" s="76"/>
      <c r="AJ44" s="76"/>
    </row>
    <row r="45" spans="3:55">
      <c r="AI45" s="76"/>
      <c r="AJ45" s="76"/>
    </row>
    <row r="46" spans="3:55">
      <c r="AI46" s="76"/>
      <c r="AJ46" s="76"/>
    </row>
    <row r="47" spans="3:55">
      <c r="AI47" s="76"/>
      <c r="AJ47" s="76"/>
    </row>
    <row r="48" spans="3:55">
      <c r="AI48" s="76"/>
      <c r="AJ48" s="76"/>
    </row>
    <row r="49" spans="35:36">
      <c r="AI49" s="76"/>
      <c r="AJ49" s="76"/>
    </row>
    <row r="50" spans="35:36">
      <c r="AI50" s="76"/>
      <c r="AJ50" s="76"/>
    </row>
    <row r="51" spans="35:36">
      <c r="AI51" s="76"/>
      <c r="AJ51" s="76"/>
    </row>
    <row r="52" spans="35:36">
      <c r="AI52" s="76"/>
      <c r="AJ52" s="76"/>
    </row>
    <row r="53" spans="35:36">
      <c r="AI53" s="76"/>
      <c r="AJ53" s="76"/>
    </row>
    <row r="54" spans="35:36">
      <c r="AI54" s="76"/>
      <c r="AJ54" s="7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AA47"/>
  <sheetViews>
    <sheetView workbookViewId="0">
      <selection activeCell="Z5" sqref="Z5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  <col min="25" max="25" width="12.83203125" bestFit="1" customWidth="1"/>
  </cols>
  <sheetData>
    <row r="1" spans="1:27">
      <c r="A1" s="128" t="s">
        <v>177</v>
      </c>
      <c r="B1" s="128"/>
      <c r="C1" s="128"/>
      <c r="D1" s="128"/>
      <c r="E1" s="128"/>
      <c r="F1" s="128"/>
      <c r="G1" s="129" t="s">
        <v>115</v>
      </c>
      <c r="H1" s="129"/>
      <c r="I1" s="129"/>
      <c r="J1" s="129"/>
      <c r="K1" s="129"/>
      <c r="L1" s="129"/>
      <c r="M1" s="129"/>
      <c r="N1" s="129"/>
      <c r="O1" s="114" t="s">
        <v>114</v>
      </c>
      <c r="P1" s="113"/>
      <c r="Q1" s="70" t="s">
        <v>121</v>
      </c>
      <c r="R1" s="70"/>
      <c r="S1" s="113"/>
      <c r="T1" s="113"/>
      <c r="W1" s="37"/>
      <c r="X1" s="63"/>
      <c r="Y1" s="62"/>
    </row>
    <row r="2" spans="1:27" ht="17">
      <c r="A2" s="115" t="s">
        <v>92</v>
      </c>
      <c r="B2" s="115" t="s">
        <v>31</v>
      </c>
      <c r="C2" s="115" t="s">
        <v>32</v>
      </c>
      <c r="D2" s="115" t="s">
        <v>33</v>
      </c>
      <c r="E2" s="115" t="s">
        <v>34</v>
      </c>
      <c r="F2" s="115" t="s">
        <v>35</v>
      </c>
      <c r="G2" s="116" t="s">
        <v>98</v>
      </c>
      <c r="H2" s="116" t="s">
        <v>99</v>
      </c>
      <c r="I2" s="116" t="s">
        <v>100</v>
      </c>
      <c r="J2" s="116" t="s">
        <v>101</v>
      </c>
      <c r="K2" s="116" t="s">
        <v>102</v>
      </c>
      <c r="L2" s="116" t="s">
        <v>103</v>
      </c>
      <c r="M2" s="116" t="s">
        <v>104</v>
      </c>
      <c r="N2" s="116" t="s">
        <v>105</v>
      </c>
      <c r="P2" s="63" t="s">
        <v>2</v>
      </c>
      <c r="Q2" s="63" t="s">
        <v>108</v>
      </c>
      <c r="R2" s="63" t="s">
        <v>109</v>
      </c>
      <c r="S2" s="63" t="s">
        <v>26</v>
      </c>
      <c r="T2" s="37" t="s">
        <v>27</v>
      </c>
      <c r="U2" s="63" t="s">
        <v>110</v>
      </c>
      <c r="V2" s="63" t="s">
        <v>111</v>
      </c>
      <c r="W2" s="63" t="s">
        <v>112</v>
      </c>
      <c r="X2" s="63" t="s">
        <v>113</v>
      </c>
      <c r="Y2" t="s">
        <v>106</v>
      </c>
      <c r="Z2" t="s">
        <v>107</v>
      </c>
    </row>
    <row r="3" spans="1:27" ht="17" thickBot="1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  <c r="P3" s="63" t="str">
        <f>size_correction!D3</f>
        <v>ATM_EQ_SW</v>
      </c>
      <c r="Q3" s="68">
        <f t="shared" ref="Q3:R5" si="0">M3</f>
        <v>1.0059496767117579</v>
      </c>
      <c r="R3" s="68">
        <f t="shared" si="0"/>
        <v>1.0044225086731247</v>
      </c>
      <c r="S3" s="110">
        <f>size_correction!AF3</f>
        <v>1.0056851052976181</v>
      </c>
      <c r="T3" s="110">
        <f>size_correction!AG3</f>
        <v>1.0075218399408568</v>
      </c>
      <c r="U3" s="67">
        <f t="shared" ref="U3:U17" si="1">LN(S3)</f>
        <v>5.6690060748599133E-3</v>
      </c>
      <c r="V3" s="67">
        <f t="shared" ref="V3:V17" si="2">LN(T3)</f>
        <v>7.4936919644022753E-3</v>
      </c>
      <c r="W3" s="67">
        <f t="shared" ref="W3:X9" si="3">LN(Q3)</f>
        <v>5.9320472770020231E-3</v>
      </c>
      <c r="X3" s="67">
        <f t="shared" si="3"/>
        <v>4.412758119012896E-3</v>
      </c>
      <c r="Y3" s="72">
        <f>SLOPE(W3:W54,U3:U54)</f>
        <v>1.058002378564959</v>
      </c>
      <c r="Z3" s="72">
        <f>SLOPE(X3:X54,V3:V54)</f>
        <v>0.9378376950888252</v>
      </c>
      <c r="AA3" t="s">
        <v>181</v>
      </c>
    </row>
    <row r="4" spans="1:27" ht="18" thickTop="1" thickBot="1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4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  <c r="P4" s="63" t="str">
        <f>size_correction!D4</f>
        <v>S2_ref_1</v>
      </c>
      <c r="Q4" s="68">
        <f t="shared" si="0"/>
        <v>0.99629623559207692</v>
      </c>
      <c r="R4" s="68">
        <f t="shared" si="0"/>
        <v>0.99323347721175648</v>
      </c>
      <c r="S4" s="110">
        <f>size_correction!AF4</f>
        <v>0.99668972770557829</v>
      </c>
      <c r="T4" s="110">
        <f>size_correction!AG4</f>
        <v>0.99497700286985102</v>
      </c>
      <c r="U4" s="67">
        <f t="shared" si="1"/>
        <v>-3.3157633670658081E-3</v>
      </c>
      <c r="V4" s="67">
        <f t="shared" si="2"/>
        <v>-5.0356547842637621E-3</v>
      </c>
      <c r="W4" s="67">
        <f t="shared" si="3"/>
        <v>-3.7106403264231301E-3</v>
      </c>
      <c r="X4" s="67">
        <f t="shared" si="3"/>
        <v>-6.7895195007928941E-3</v>
      </c>
      <c r="Y4" s="72">
        <f>INTERCEPT(W3:W54,U3:U54)</f>
        <v>-1.8840219242949102E-5</v>
      </c>
      <c r="Z4" s="72">
        <f>INTERCEPT(X3:X54,V3:V54)</f>
        <v>-1.5500612170959347E-3</v>
      </c>
      <c r="AA4" t="s">
        <v>182</v>
      </c>
    </row>
    <row r="5" spans="1:27" ht="18" thickTop="1" thickBot="1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4"/>
        <v>-0.25581632613833338</v>
      </c>
      <c r="G5" s="65">
        <f t="shared" ref="G5:H9" si="5">(B5/1000+1)*0.0036765</f>
        <v>3.6750148213719339E-3</v>
      </c>
      <c r="H5" s="65">
        <f t="shared" si="5"/>
        <v>3.6759553300949816E-3</v>
      </c>
      <c r="I5" s="65">
        <f t="shared" ref="I5:I9" si="6">(E5/1000+1)*0.0020052</f>
        <v>2.0893166507602399E-3</v>
      </c>
      <c r="J5" s="65">
        <f t="shared" ref="J5:J9" si="7">(I5/0.0020052)^0.516*0.0003799</f>
        <v>3.8804145413997107E-4</v>
      </c>
      <c r="K5" s="66">
        <f t="shared" ref="K5:K9" si="8">G5+H5+J5</f>
        <v>7.7390116056068863E-3</v>
      </c>
      <c r="L5" s="66">
        <f t="shared" ref="L5:L9" si="9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  <c r="P5" s="63" t="str">
        <f>size_correction!D5</f>
        <v>B6_ref_1</v>
      </c>
      <c r="Q5" s="68">
        <f t="shared" si="0"/>
        <v>0.99973991247556415</v>
      </c>
      <c r="R5" s="68">
        <f t="shared" si="0"/>
        <v>1.0020859042591113</v>
      </c>
      <c r="S5" s="110">
        <f>size_correction!AF5</f>
        <v>1.0003832772874761</v>
      </c>
      <c r="T5" s="110">
        <f>size_correction!AG5</f>
        <v>1.0043106480077921</v>
      </c>
      <c r="U5" s="67">
        <f t="shared" si="1"/>
        <v>3.8320385549917295E-4</v>
      </c>
      <c r="V5" s="67">
        <f t="shared" si="2"/>
        <v>4.3013837783483656E-3</v>
      </c>
      <c r="W5" s="67">
        <f t="shared" si="3"/>
        <v>-2.6012135306176113E-4</v>
      </c>
      <c r="X5" s="67">
        <f t="shared" si="3"/>
        <v>2.0837317813513596E-3</v>
      </c>
    </row>
    <row r="6" spans="1:27" ht="18" thickTop="1" thickBot="1">
      <c r="A6" s="68" t="s">
        <v>175</v>
      </c>
      <c r="B6" s="69">
        <v>-22.21</v>
      </c>
      <c r="C6" s="69">
        <v>-49.28</v>
      </c>
      <c r="D6" s="69">
        <f t="shared" ref="D6:D9" si="10">AVERAGE(B6:C6)</f>
        <v>-35.745000000000005</v>
      </c>
      <c r="E6" s="69">
        <v>26.94</v>
      </c>
      <c r="F6" s="69">
        <f t="shared" si="4"/>
        <v>27.07</v>
      </c>
      <c r="G6" s="65">
        <f t="shared" si="5"/>
        <v>3.5948449350000004E-3</v>
      </c>
      <c r="H6" s="65">
        <f t="shared" si="5"/>
        <v>3.49532208E-3</v>
      </c>
      <c r="I6" s="65">
        <f t="shared" si="6"/>
        <v>2.0592200879999997E-3</v>
      </c>
      <c r="J6" s="65">
        <f t="shared" si="7"/>
        <v>3.8514702697154833E-4</v>
      </c>
      <c r="K6" s="66">
        <f t="shared" si="8"/>
        <v>7.4753140419715489E-3</v>
      </c>
      <c r="L6" s="66">
        <f t="shared" si="9"/>
        <v>2.0745159856220404E-3</v>
      </c>
      <c r="M6" s="67">
        <f>K6/size_correction!X$3</f>
        <v>0.96567497077192166</v>
      </c>
      <c r="N6" s="67">
        <f>L6/size_correction!Y$3</f>
        <v>0.98725584312065418</v>
      </c>
      <c r="P6" s="63" t="str">
        <f>size_correction!D6</f>
        <v>ATM_EQ_SW_1</v>
      </c>
      <c r="Q6" s="68">
        <f t="shared" ref="Q6:R8" si="11">M3</f>
        <v>1.0059496767117579</v>
      </c>
      <c r="R6" s="68">
        <f t="shared" si="11"/>
        <v>1.0044225086731247</v>
      </c>
      <c r="S6" s="110">
        <f>size_correction!AF6</f>
        <v>1.0064059824102283</v>
      </c>
      <c r="T6" s="110">
        <f>size_correction!AG6</f>
        <v>1.0077071570383731</v>
      </c>
      <c r="U6" s="67">
        <f t="shared" si="1"/>
        <v>6.3855513126554056E-3</v>
      </c>
      <c r="V6" s="67">
        <f t="shared" si="2"/>
        <v>7.6776086292741075E-3</v>
      </c>
      <c r="W6" s="67">
        <f t="shared" si="3"/>
        <v>5.9320472770020231E-3</v>
      </c>
      <c r="X6" s="67">
        <f t="shared" si="3"/>
        <v>4.412758119012896E-3</v>
      </c>
    </row>
    <row r="7" spans="1:27" ht="18" thickTop="1" thickBot="1">
      <c r="A7" s="68">
        <v>53504</v>
      </c>
      <c r="B7" s="69">
        <v>1.71</v>
      </c>
      <c r="C7" s="69">
        <v>94.44</v>
      </c>
      <c r="D7" s="69">
        <f t="shared" si="10"/>
        <v>48.074999999999996</v>
      </c>
      <c r="E7" s="69">
        <v>36.01</v>
      </c>
      <c r="F7" s="69">
        <f t="shared" si="4"/>
        <v>-92.73</v>
      </c>
      <c r="G7" s="65">
        <f>(B7/1000+1)*0.0036765</f>
        <v>3.6827868150000006E-3</v>
      </c>
      <c r="H7" s="65">
        <f t="shared" si="5"/>
        <v>4.0237086600000008E-3</v>
      </c>
      <c r="I7" s="65">
        <f t="shared" si="6"/>
        <v>2.0774072520000002E-3</v>
      </c>
      <c r="J7" s="65">
        <f t="shared" si="7"/>
        <v>3.8689853960154226E-4</v>
      </c>
      <c r="K7" s="66">
        <f t="shared" si="8"/>
        <v>8.0933940146015442E-3</v>
      </c>
      <c r="L7" s="66">
        <f t="shared" si="9"/>
        <v>2.0952073450451725E-3</v>
      </c>
      <c r="M7" s="67">
        <f>K7/size_correction!X$3</f>
        <v>1.0455196911613225</v>
      </c>
      <c r="N7" s="67">
        <f>L7/size_correction!Y$3</f>
        <v>0.99710279808951241</v>
      </c>
      <c r="P7" s="63" t="str">
        <f>size_correction!D7</f>
        <v>S2_ref_2</v>
      </c>
      <c r="Q7" s="68">
        <f t="shared" si="11"/>
        <v>0.99629623559207692</v>
      </c>
      <c r="R7" s="68">
        <f t="shared" si="11"/>
        <v>0.99323347721175648</v>
      </c>
      <c r="S7" s="110">
        <f>size_correction!AF7</f>
        <v>0.99663201609671503</v>
      </c>
      <c r="T7" s="110">
        <f>size_correction!AG7</f>
        <v>0.9951628615034982</v>
      </c>
      <c r="U7" s="67">
        <f t="shared" si="1"/>
        <v>-3.3736683280273967E-3</v>
      </c>
      <c r="V7" s="67">
        <f t="shared" si="2"/>
        <v>-4.8488753146248009E-3</v>
      </c>
      <c r="W7" s="67">
        <f t="shared" si="3"/>
        <v>-3.7106403264231301E-3</v>
      </c>
      <c r="X7" s="67">
        <f t="shared" si="3"/>
        <v>-6.7895195007928941E-3</v>
      </c>
    </row>
    <row r="8" spans="1:27" ht="18" thickTop="1" thickBot="1">
      <c r="A8" s="68" t="s">
        <v>176</v>
      </c>
      <c r="B8" s="69">
        <v>17.11</v>
      </c>
      <c r="C8" s="69">
        <v>-3.43</v>
      </c>
      <c r="D8" s="69">
        <f t="shared" si="10"/>
        <v>6.84</v>
      </c>
      <c r="E8" s="69">
        <v>35.29</v>
      </c>
      <c r="F8" s="69">
        <f t="shared" si="4"/>
        <v>20.54</v>
      </c>
      <c r="G8" s="65">
        <f t="shared" si="5"/>
        <v>3.7394049149999998E-3</v>
      </c>
      <c r="H8" s="65">
        <f t="shared" si="5"/>
        <v>3.6638896049999998E-3</v>
      </c>
      <c r="I8" s="65">
        <f t="shared" si="6"/>
        <v>2.0759635080000003E-3</v>
      </c>
      <c r="J8" s="65">
        <f t="shared" si="7"/>
        <v>3.8675977189798279E-4</v>
      </c>
      <c r="K8" s="66">
        <f t="shared" si="8"/>
        <v>7.7900542918979817E-3</v>
      </c>
      <c r="L8" s="66">
        <f t="shared" si="9"/>
        <v>2.0925275712968031E-3</v>
      </c>
      <c r="M8" s="67">
        <f>K8/size_correction!X$3</f>
        <v>1.0063337016214813</v>
      </c>
      <c r="N8" s="67">
        <f>L8/size_correction!Y$3</f>
        <v>0.99582750191939118</v>
      </c>
      <c r="P8" s="63" t="str">
        <f>size_correction!D8</f>
        <v>B6_ref_2</v>
      </c>
      <c r="Q8" s="68">
        <f t="shared" si="11"/>
        <v>0.99973991247556415</v>
      </c>
      <c r="R8" s="68">
        <f t="shared" si="11"/>
        <v>1.0020859042591113</v>
      </c>
      <c r="S8" s="110">
        <f>size_correction!AF8</f>
        <v>0.99917068284195976</v>
      </c>
      <c r="T8" s="110">
        <f>size_correction!AG8</f>
        <v>1.0023860907979212</v>
      </c>
      <c r="U8" s="67">
        <f t="shared" si="1"/>
        <v>-8.2966123175853173E-4</v>
      </c>
      <c r="V8" s="67">
        <f t="shared" si="2"/>
        <v>2.3832486035312902E-3</v>
      </c>
      <c r="W8" s="67">
        <f t="shared" si="3"/>
        <v>-2.6012135306176113E-4</v>
      </c>
      <c r="X8" s="67">
        <f t="shared" si="3"/>
        <v>2.0837317813513596E-3</v>
      </c>
    </row>
    <row r="9" spans="1:27" ht="18" thickTop="1" thickBot="1">
      <c r="A9" s="117">
        <v>90454</v>
      </c>
      <c r="B9" s="118">
        <v>25.73</v>
      </c>
      <c r="C9" s="118">
        <v>25.44</v>
      </c>
      <c r="D9" s="118">
        <f t="shared" si="10"/>
        <v>25.585000000000001</v>
      </c>
      <c r="E9" s="118">
        <v>35.880000000000003</v>
      </c>
      <c r="F9" s="118">
        <f t="shared" si="4"/>
        <v>0.28999999999999915</v>
      </c>
      <c r="G9" s="119">
        <f t="shared" si="5"/>
        <v>3.7710963450000002E-3</v>
      </c>
      <c r="H9" s="119">
        <f t="shared" si="5"/>
        <v>3.7700301599999995E-3</v>
      </c>
      <c r="I9" s="119">
        <f t="shared" si="6"/>
        <v>2.0771465759999996E-3</v>
      </c>
      <c r="J9" s="119">
        <f t="shared" si="7"/>
        <v>3.8687348777560239E-4</v>
      </c>
      <c r="K9" s="120">
        <f t="shared" si="8"/>
        <v>7.9279999927756029E-3</v>
      </c>
      <c r="L9" s="120">
        <f t="shared" si="9"/>
        <v>2.0942811848696616E-3</v>
      </c>
      <c r="M9" s="67">
        <f>K9/size_correction!X$3</f>
        <v>1.0241537838167138</v>
      </c>
      <c r="N9" s="67">
        <f>L9/size_correction!Y$3</f>
        <v>0.9966620412810443</v>
      </c>
      <c r="P9" s="63" t="str">
        <f>size_correction!D9</f>
        <v>ATM_EQ_SW_2</v>
      </c>
      <c r="Q9" s="68">
        <f>M3</f>
        <v>1.0059496767117579</v>
      </c>
      <c r="R9" s="68">
        <f>N3</f>
        <v>1.0044225086731247</v>
      </c>
      <c r="S9" s="110">
        <f>size_correction!AF9</f>
        <v>1.0050941512728657</v>
      </c>
      <c r="T9" s="110">
        <f>size_correction!AG9</f>
        <v>1.0057116133646442</v>
      </c>
      <c r="U9" s="67">
        <f t="shared" si="1"/>
        <v>5.0812199816469847E-3</v>
      </c>
      <c r="V9" s="67">
        <f t="shared" si="2"/>
        <v>5.6953639452707308E-3</v>
      </c>
      <c r="W9" s="67">
        <f t="shared" si="3"/>
        <v>5.9320472770020231E-3</v>
      </c>
      <c r="X9" s="67">
        <f t="shared" si="3"/>
        <v>4.412758119012896E-3</v>
      </c>
    </row>
    <row r="10" spans="1:27" ht="18" thickTop="1" thickBot="1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 t="str">
        <f>size_correction!D10</f>
        <v>DI</v>
      </c>
      <c r="Q10" s="68"/>
      <c r="R10" s="68"/>
      <c r="S10" s="110">
        <f>size_correction!AF10</f>
        <v>0.99092722925764687</v>
      </c>
      <c r="T10" s="110">
        <f>size_correction!AG10</f>
        <v>1.0049378092932522</v>
      </c>
      <c r="U10" s="67">
        <f t="shared" si="1"/>
        <v>-9.1141789753790732E-3</v>
      </c>
      <c r="V10" s="67">
        <f t="shared" si="2"/>
        <v>4.9256582960658154E-3</v>
      </c>
      <c r="W10" s="67"/>
      <c r="X10" s="67"/>
    </row>
    <row r="11" spans="1:27" ht="18" thickTop="1" thickBot="1">
      <c r="L11" s="63"/>
      <c r="M11" s="63"/>
      <c r="P11" s="63" t="str">
        <f>size_correction!D11</f>
        <v>ATM_EQ_SW_1</v>
      </c>
      <c r="Q11" s="68">
        <f t="shared" ref="Q11:R13" si="12">M3</f>
        <v>1.0059496767117579</v>
      </c>
      <c r="R11" s="68">
        <f t="shared" si="12"/>
        <v>1.0044225086731247</v>
      </c>
      <c r="S11" s="110">
        <f>size_correction!AF11</f>
        <v>1.0057192814133826</v>
      </c>
      <c r="T11" s="110">
        <f>size_correction!AG11</f>
        <v>1.0054625917600983</v>
      </c>
      <c r="U11" s="67">
        <f t="shared" si="1"/>
        <v>5.7029884167436144E-3</v>
      </c>
      <c r="V11" s="67">
        <f t="shared" si="2"/>
        <v>5.4477259185061388E-3</v>
      </c>
      <c r="W11" s="67">
        <f t="shared" ref="W11:X16" si="13">LN(Q11)</f>
        <v>5.9320472770020231E-3</v>
      </c>
      <c r="X11" s="67">
        <f t="shared" si="13"/>
        <v>4.412758119012896E-3</v>
      </c>
    </row>
    <row r="12" spans="1:27" s="41" customFormat="1" ht="18" thickTop="1" thickBot="1">
      <c r="M12" s="63"/>
      <c r="O12" s="63"/>
      <c r="P12" s="63" t="str">
        <f>size_correction!D12</f>
        <v>S2_ref_1</v>
      </c>
      <c r="Q12" s="68">
        <f t="shared" si="12"/>
        <v>0.99629623559207692</v>
      </c>
      <c r="R12" s="68">
        <f t="shared" si="12"/>
        <v>0.99323347721175648</v>
      </c>
      <c r="S12" s="110">
        <f>size_correction!AF12</f>
        <v>0.99641187878361481</v>
      </c>
      <c r="T12" s="110">
        <f>size_correction!AG12</f>
        <v>0.99378130442821833</v>
      </c>
      <c r="U12" s="67">
        <f t="shared" si="1"/>
        <v>-3.5945739634335372E-3</v>
      </c>
      <c r="V12" s="67">
        <f t="shared" si="2"/>
        <v>-6.2381121983366193E-3</v>
      </c>
      <c r="W12" s="67">
        <f t="shared" si="13"/>
        <v>-3.7106403264231301E-3</v>
      </c>
      <c r="X12" s="67">
        <f t="shared" si="13"/>
        <v>-6.7895195007928941E-3</v>
      </c>
      <c r="Y12"/>
      <c r="Z12"/>
    </row>
    <row r="13" spans="1:27" ht="18" thickTop="1" thickBot="1">
      <c r="P13" s="63" t="str">
        <f>size_correction!D13</f>
        <v>B6_ref_1</v>
      </c>
      <c r="Q13" s="68">
        <f t="shared" si="12"/>
        <v>0.99973991247556415</v>
      </c>
      <c r="R13" s="68">
        <f t="shared" si="12"/>
        <v>1.0020859042591113</v>
      </c>
      <c r="S13" s="110">
        <f>size_correction!AF13</f>
        <v>1.0001796848444418</v>
      </c>
      <c r="T13" s="110">
        <f>size_correction!AG13</f>
        <v>1.0040343543858852</v>
      </c>
      <c r="U13" s="67">
        <f t="shared" si="1"/>
        <v>1.7966870305363727E-4</v>
      </c>
      <c r="V13" s="67">
        <f t="shared" si="2"/>
        <v>4.0262381999534996E-3</v>
      </c>
      <c r="W13" s="67">
        <f t="shared" si="13"/>
        <v>-2.6012135306176113E-4</v>
      </c>
      <c r="X13" s="67">
        <f t="shared" si="13"/>
        <v>2.0837317813513596E-3</v>
      </c>
    </row>
    <row r="14" spans="1:27" ht="18" thickTop="1" thickBot="1">
      <c r="P14" s="63" t="str">
        <f>size_correction!D14</f>
        <v>ATM_EQ_SW_2</v>
      </c>
      <c r="Q14" s="68">
        <f>M3</f>
        <v>1.0059496767117579</v>
      </c>
      <c r="R14" s="68">
        <f>N3</f>
        <v>1.0044225086731247</v>
      </c>
      <c r="S14" s="110">
        <f>size_correction!AF14</f>
        <v>1.0048805539160894</v>
      </c>
      <c r="T14" s="110">
        <f>size_correction!AG14</f>
        <v>1.0053599727245706</v>
      </c>
      <c r="U14" s="67">
        <f t="shared" si="1"/>
        <v>4.8686826228146419E-3</v>
      </c>
      <c r="V14" s="67">
        <f t="shared" si="2"/>
        <v>5.3456591947391319E-3</v>
      </c>
      <c r="W14" s="67">
        <f t="shared" si="13"/>
        <v>5.9320472770020231E-3</v>
      </c>
      <c r="X14" s="67">
        <f t="shared" si="13"/>
        <v>4.412758119012896E-3</v>
      </c>
    </row>
    <row r="15" spans="1:27" ht="18" thickTop="1" thickBot="1">
      <c r="P15" s="63" t="str">
        <f>size_correction!D15</f>
        <v>ATM_EQ_SW_3</v>
      </c>
      <c r="Q15" s="68">
        <f>M3</f>
        <v>1.0059496767117579</v>
      </c>
      <c r="R15" s="68">
        <f>N3</f>
        <v>1.0044225086731247</v>
      </c>
      <c r="S15" s="110">
        <f>size_correction!AF15</f>
        <v>1.0056387310168626</v>
      </c>
      <c r="T15" s="110">
        <f>size_correction!AG15</f>
        <v>1.0064676550191509</v>
      </c>
      <c r="U15" s="67">
        <f t="shared" si="1"/>
        <v>5.6228928832132777E-3</v>
      </c>
      <c r="V15" s="67">
        <f t="shared" si="2"/>
        <v>6.446829485110093E-3</v>
      </c>
      <c r="W15" s="67">
        <f t="shared" si="13"/>
        <v>5.9320472770020231E-3</v>
      </c>
      <c r="X15" s="67">
        <f t="shared" si="13"/>
        <v>4.412758119012896E-3</v>
      </c>
    </row>
    <row r="16" spans="1:27" ht="18" thickTop="1" thickBot="1">
      <c r="P16" s="63" t="str">
        <f>size_correction!D16</f>
        <v>S2_ref_2</v>
      </c>
      <c r="Q16" s="68">
        <f>M4</f>
        <v>0.99629623559207692</v>
      </c>
      <c r="R16" s="68">
        <f>N4</f>
        <v>0.99323347721175648</v>
      </c>
      <c r="S16" s="110">
        <f>size_correction!AF16</f>
        <v>0.99633327484903467</v>
      </c>
      <c r="T16" s="110">
        <f>size_correction!AG16</f>
        <v>0.99474403428411884</v>
      </c>
      <c r="U16" s="67">
        <f t="shared" si="1"/>
        <v>-3.6734640658408848E-3</v>
      </c>
      <c r="V16" s="67">
        <f t="shared" si="2"/>
        <v>-5.2698268942697113E-3</v>
      </c>
      <c r="W16" s="67">
        <f t="shared" si="13"/>
        <v>-3.7106403264231301E-3</v>
      </c>
      <c r="X16" s="67">
        <f t="shared" si="13"/>
        <v>-6.7895195007928941E-3</v>
      </c>
    </row>
    <row r="17" spans="4:24" ht="18" thickTop="1" thickBot="1">
      <c r="P17" s="63" t="str">
        <f>size_correction!D17</f>
        <v>DI</v>
      </c>
      <c r="Q17" s="68"/>
      <c r="R17" s="68"/>
      <c r="S17" s="110">
        <f>size_correction!AF17</f>
        <v>0.99349493237592013</v>
      </c>
      <c r="T17" s="110">
        <f>size_correction!AG17</f>
        <v>1.0044001925480899</v>
      </c>
      <c r="U17" s="67">
        <f t="shared" si="1"/>
        <v>-6.5263177824188435E-3</v>
      </c>
      <c r="V17" s="67">
        <f t="shared" si="2"/>
        <v>4.3905400058642007E-3</v>
      </c>
      <c r="W17" s="67"/>
      <c r="X17" s="67"/>
    </row>
    <row r="18" spans="4:24" ht="17" thickTop="1"/>
    <row r="28" spans="4:24">
      <c r="D28" s="63"/>
      <c r="E28" s="64"/>
    </row>
    <row r="29" spans="4:24">
      <c r="D29" s="63"/>
      <c r="E29" s="64"/>
    </row>
    <row r="30" spans="4:24">
      <c r="D30" s="63"/>
      <c r="E30" s="64"/>
    </row>
    <row r="31" spans="4:24">
      <c r="D31" s="63"/>
      <c r="E31" s="64"/>
    </row>
    <row r="32" spans="4:24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topLeftCell="U1"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173</v>
      </c>
      <c r="M1" t="s">
        <v>122</v>
      </c>
      <c r="N1">
        <v>3.7990000000000002E-4</v>
      </c>
      <c r="O1" s="24" t="s">
        <v>123</v>
      </c>
      <c r="P1" s="24"/>
      <c r="Q1" s="24"/>
      <c r="R1" s="77"/>
      <c r="S1" s="77"/>
    </row>
    <row r="2" spans="1:25">
      <c r="A2" s="1" t="s">
        <v>174</v>
      </c>
      <c r="M2" t="s">
        <v>124</v>
      </c>
      <c r="N2">
        <v>2.0052E-3</v>
      </c>
      <c r="R2" s="77"/>
      <c r="S2" s="77"/>
    </row>
    <row r="3" spans="1:25">
      <c r="A3" s="130" t="s">
        <v>171</v>
      </c>
      <c r="B3" s="130"/>
      <c r="C3" s="130"/>
      <c r="D3" s="130"/>
      <c r="E3" s="130"/>
      <c r="F3" s="130"/>
      <c r="G3" s="131" t="s">
        <v>172</v>
      </c>
      <c r="H3" s="131"/>
      <c r="I3" s="131"/>
      <c r="J3" s="131"/>
      <c r="K3" s="131"/>
      <c r="L3" s="131"/>
      <c r="M3" t="s">
        <v>125</v>
      </c>
      <c r="N3">
        <v>0.51600000000000001</v>
      </c>
      <c r="R3" s="77"/>
      <c r="S3" s="77"/>
    </row>
    <row r="4" spans="1:25" s="1" customFormat="1" ht="25" customHeight="1">
      <c r="A4" s="1" t="s">
        <v>126</v>
      </c>
      <c r="B4" s="1" t="s">
        <v>127</v>
      </c>
      <c r="C4" s="1" t="s">
        <v>129</v>
      </c>
      <c r="D4" s="1" t="s">
        <v>130</v>
      </c>
      <c r="E4" s="1" t="s">
        <v>136</v>
      </c>
      <c r="F4" s="112" t="s">
        <v>137</v>
      </c>
      <c r="G4" s="1" t="s">
        <v>131</v>
      </c>
      <c r="H4" s="1" t="s">
        <v>132</v>
      </c>
      <c r="I4" s="1" t="s">
        <v>134</v>
      </c>
      <c r="J4" s="1" t="s">
        <v>135</v>
      </c>
      <c r="K4" s="1" t="s">
        <v>139</v>
      </c>
      <c r="L4" s="112" t="s">
        <v>140</v>
      </c>
      <c r="M4" s="112" t="s">
        <v>138</v>
      </c>
      <c r="N4" s="112" t="s">
        <v>141</v>
      </c>
      <c r="O4" s="1" t="s">
        <v>128</v>
      </c>
      <c r="P4" s="1" t="s">
        <v>133</v>
      </c>
      <c r="Q4" s="112" t="s">
        <v>94</v>
      </c>
      <c r="R4" s="112" t="s">
        <v>95</v>
      </c>
      <c r="V4" s="112"/>
      <c r="Y4" s="112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1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1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4">
        <f>(A5+R5*B5+A5*B5-(C5-O5)*(1+(1-R5)*B5))/(A5*(1+C5-O5))</f>
        <v>0.20872209614007559</v>
      </c>
      <c r="R5" s="84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1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1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4">
        <f>(A6+R6*B6+A6*B6-(C6-O6)*(1+(1-R6)*B6))/(A6*(1+C6-O6))</f>
        <v>0.17329677501906443</v>
      </c>
      <c r="R6" s="84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4">
        <f t="shared" ref="Q7:Q11" si="2">(A7+R7*B7+A7*B7-(C7-O7)*(1+(1-R7)*B7))/(A7*(1+C7-O7))</f>
        <v>0.17733587859609368</v>
      </c>
      <c r="R7" s="84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4">
        <f t="shared" si="2"/>
        <v>0.14191055747508233</v>
      </c>
      <c r="R8" s="84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4">
        <f t="shared" si="2"/>
        <v>0.14994727862657609</v>
      </c>
      <c r="R9" s="84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4">
        <f t="shared" si="2"/>
        <v>0.26277357755180591</v>
      </c>
      <c r="R10" s="84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4">
        <f t="shared" si="2"/>
        <v>0.16880903099141051</v>
      </c>
      <c r="R11" s="84">
        <f t="shared" si="3"/>
        <v>7.6477388081454753E-2</v>
      </c>
    </row>
    <row r="13" spans="1:25">
      <c r="Q13" s="84">
        <f>AVERAGE(Q5:Q11)</f>
        <v>0.18325645634287266</v>
      </c>
      <c r="R13" s="84">
        <f>AVERAGE(R5:R11)</f>
        <v>9.0490249769565087E-2</v>
      </c>
    </row>
    <row r="14" spans="1:25">
      <c r="Q14" s="84">
        <f>STDEV(Q5:Q11)</f>
        <v>4.1096294725866948E-2</v>
      </c>
      <c r="R14" s="84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142</v>
      </c>
      <c r="B1" s="78"/>
      <c r="C1" s="78"/>
      <c r="D1" s="78"/>
      <c r="L1" s="79"/>
      <c r="M1" s="79"/>
      <c r="N1" s="79"/>
    </row>
    <row r="2" spans="1:18">
      <c r="A2" t="s">
        <v>143</v>
      </c>
      <c r="B2" s="80">
        <f>B12</f>
        <v>0.4623614635092998</v>
      </c>
      <c r="C2" s="78" t="s">
        <v>144</v>
      </c>
      <c r="D2" s="80">
        <f>C12</f>
        <v>0.10975712247295455</v>
      </c>
      <c r="F2" t="s">
        <v>160</v>
      </c>
      <c r="G2" s="50">
        <f>1/B2</f>
        <v>2.1628100067208269</v>
      </c>
      <c r="H2" t="s">
        <v>159</v>
      </c>
      <c r="L2" s="79"/>
      <c r="M2" s="79"/>
      <c r="N2" s="79"/>
      <c r="O2" s="8"/>
    </row>
    <row r="3" spans="1:18">
      <c r="A3" t="s">
        <v>145</v>
      </c>
      <c r="B3" s="80">
        <f>B13</f>
        <v>8.0186890671505306E-3</v>
      </c>
      <c r="C3" s="78"/>
      <c r="D3" s="80">
        <f>C13</f>
        <v>0.30903560626553517</v>
      </c>
      <c r="L3" s="79"/>
      <c r="M3" s="79"/>
      <c r="N3" s="79"/>
      <c r="O3" s="8"/>
    </row>
    <row r="4" spans="1:18">
      <c r="A4" t="s">
        <v>146</v>
      </c>
      <c r="B4" s="80">
        <v>1.026</v>
      </c>
      <c r="C4" s="78"/>
      <c r="E4" s="78" t="s">
        <v>147</v>
      </c>
      <c r="F4">
        <v>0.99819999999999998</v>
      </c>
      <c r="H4" s="78" t="s">
        <v>148</v>
      </c>
      <c r="I4">
        <v>1.002</v>
      </c>
      <c r="L4" s="81"/>
      <c r="M4" s="82"/>
      <c r="N4" s="81"/>
      <c r="O4" s="81"/>
      <c r="P4" s="83"/>
      <c r="Q4" s="83"/>
    </row>
    <row r="5" spans="1:18">
      <c r="A5" t="s">
        <v>149</v>
      </c>
      <c r="B5" s="84">
        <f>1/B4</f>
        <v>0.97465886939571145</v>
      </c>
      <c r="C5" s="78"/>
      <c r="E5" s="78" t="s">
        <v>150</v>
      </c>
      <c r="F5" s="84">
        <f>1/F4</f>
        <v>1.0018032458425166</v>
      </c>
      <c r="H5" s="78" t="s">
        <v>151</v>
      </c>
      <c r="I5" s="84">
        <f>1/I4</f>
        <v>0.99800399201596801</v>
      </c>
      <c r="L5" s="81"/>
      <c r="M5" s="85"/>
      <c r="N5" s="81"/>
      <c r="O5" s="81"/>
      <c r="P5" s="81"/>
      <c r="Q5" s="86"/>
      <c r="R5" s="81"/>
    </row>
    <row r="6" spans="1:18">
      <c r="A6" t="s">
        <v>152</v>
      </c>
      <c r="B6" s="87">
        <f>B5/1000</f>
        <v>9.7465886939571145E-4</v>
      </c>
      <c r="C6" s="78"/>
      <c r="E6" s="78" t="s">
        <v>153</v>
      </c>
      <c r="F6" s="87">
        <f>F5/1000</f>
        <v>1.0018032458425166E-3</v>
      </c>
      <c r="H6" s="78" t="s">
        <v>154</v>
      </c>
      <c r="I6" s="87">
        <f>I5/1000</f>
        <v>9.9800399201596798E-4</v>
      </c>
      <c r="L6" s="81"/>
      <c r="M6" s="88"/>
      <c r="N6" s="88"/>
      <c r="O6" s="81"/>
      <c r="P6" s="81"/>
      <c r="Q6" s="86"/>
    </row>
    <row r="7" spans="1:18">
      <c r="L7" s="81"/>
      <c r="M7" s="89"/>
      <c r="N7" s="81"/>
    </row>
    <row r="8" spans="1:18" ht="18">
      <c r="L8" s="81"/>
      <c r="M8" s="90"/>
      <c r="N8" s="81"/>
    </row>
    <row r="9" spans="1:18">
      <c r="M9" s="91"/>
      <c r="N9" s="81"/>
    </row>
    <row r="10" spans="1:18">
      <c r="A10" s="92" t="s">
        <v>155</v>
      </c>
      <c r="B10" s="92"/>
      <c r="C10" s="92"/>
      <c r="D10" s="93"/>
      <c r="E10" s="94"/>
      <c r="G10" s="95"/>
      <c r="H10" s="95"/>
      <c r="I10" s="96"/>
      <c r="M10" s="91"/>
      <c r="N10" s="81"/>
    </row>
    <row r="11" spans="1:18">
      <c r="B11" s="1" t="s">
        <v>156</v>
      </c>
      <c r="C11" s="1" t="s">
        <v>157</v>
      </c>
      <c r="F11" s="78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158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7"/>
      <c r="F14" s="98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99"/>
      <c r="G16" s="50"/>
      <c r="I16" s="50"/>
    </row>
    <row r="17" spans="4:10">
      <c r="D17" s="50"/>
      <c r="E17" s="50"/>
      <c r="F17" s="99"/>
    </row>
    <row r="18" spans="4:10">
      <c r="G18" s="50"/>
      <c r="I18" s="100"/>
    </row>
    <row r="20" spans="4:10">
      <c r="J20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2022-08-26T21:58:53Z</dcterms:modified>
</cp:coreProperties>
</file>