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N2O Research/N2O_isotopocule_data_corrections/pyisotopomer/src/"/>
    </mc:Choice>
  </mc:AlternateContent>
  <xr:revisionPtr revIDLastSave="0" documentId="13_ncr:1_{1A09F09D-B53D-1349-BA88-A5CDF257245A}" xr6:coauthVersionLast="47" xr6:coauthVersionMax="47" xr10:uidLastSave="{00000000-0000-0000-0000-000000000000}"/>
  <bookViews>
    <workbookView xWindow="12080" yWindow="500" windowWidth="16720" windowHeight="15880" xr2:uid="{C87639FE-6F05-2348-B25E-B6AD821683A8}"/>
  </bookViews>
  <sheets>
    <sheet name="size_correction" sheetId="2" r:id="rId1"/>
    <sheet name="scale_normalization" sheetId="3" r:id="rId2"/>
    <sheet name="scrambling" sheetId="4" r:id="rId3"/>
    <sheet name="concentration_constants" sheetId="5" r:id="rId4"/>
  </sheets>
  <definedNames>
    <definedName name="Rsolve18">_xlfn.LAMBDA(_xlpm.Rsam18,_xlpm.n,_xlpm.Rsam45,_xlpm.Rsam46,_xlpm.D17O,_xlpm.k,_xlpm.RVSMOW18,_xlpm.RVSMOW17,       IF(_xlpm.n&gt;0,Rsolve18(_xlfn.LET(_xlpm.Rsam17,(1 + _xlpm.D17O / 1000) * _xlpm.RVSMOW17 * (_xlpm.Rsam18/_xlpm.RVSMOW18) ^ _xlpm.k,         _xlpm.Rsam46 - (_xlpm.Rsam45 - _xlpm.Rsam17) * _xlpm.Rsam17 - (_xlpm.Rsam45 - _xlpm.Rsam17) ^ 2/4),_xlpm.n-1,_xlpm.Rsam45,_xlpm.Rsam46,_xlpm.D17O,_xlpm.k,_xlpm.RVSMOW18,_xlpm.RVSMOW17),               _xlpm.Rsam18))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5" i="4" l="1"/>
  <c r="AI3" i="2"/>
  <c r="Y4" i="3"/>
  <c r="X12" i="2" s="1"/>
  <c r="AJ3" i="2"/>
  <c r="AJ17" i="2"/>
  <c r="AJ16" i="2"/>
  <c r="AJ15" i="2"/>
  <c r="AJ14" i="2"/>
  <c r="AJ13" i="2"/>
  <c r="AJ12" i="2"/>
  <c r="AJ11" i="2"/>
  <c r="AJ10" i="2"/>
  <c r="AJ9" i="2"/>
  <c r="AJ8" i="2"/>
  <c r="AJ7" i="2"/>
  <c r="AJ6" i="2"/>
  <c r="AJ5" i="2"/>
  <c r="AJ4" i="2"/>
  <c r="Y12" i="2"/>
  <c r="Y11" i="2"/>
  <c r="X11" i="2"/>
  <c r="Z4" i="3"/>
  <c r="Z3" i="3"/>
  <c r="Y3" i="3"/>
  <c r="N4" i="3"/>
  <c r="N5" i="3"/>
  <c r="N6" i="3"/>
  <c r="N7" i="3"/>
  <c r="N8" i="3"/>
  <c r="N9" i="3"/>
  <c r="M4" i="3"/>
  <c r="M5" i="3"/>
  <c r="M6" i="3"/>
  <c r="M7" i="3"/>
  <c r="M8" i="3"/>
  <c r="M9" i="3"/>
  <c r="AL3" i="2"/>
  <c r="S3" i="3"/>
  <c r="Q4" i="3"/>
  <c r="Q3" i="3"/>
  <c r="M3" i="3"/>
  <c r="L3" i="3"/>
  <c r="J3" i="3"/>
  <c r="K3" i="3"/>
  <c r="B16" i="2"/>
  <c r="B15" i="2"/>
  <c r="B14" i="2"/>
  <c r="B12" i="2"/>
  <c r="B13" i="2"/>
  <c r="B11" i="2"/>
  <c r="B9" i="2"/>
  <c r="B7" i="2"/>
  <c r="B8" i="2"/>
  <c r="B6" i="2"/>
  <c r="B5" i="2"/>
  <c r="B4" i="2"/>
  <c r="B3" i="2"/>
  <c r="G9" i="3"/>
  <c r="H9" i="3"/>
  <c r="I9" i="3"/>
  <c r="J9" i="3"/>
  <c r="L9" i="3"/>
  <c r="K9" i="3"/>
  <c r="F9" i="3"/>
  <c r="D9" i="3"/>
  <c r="N3" i="3"/>
  <c r="G8" i="3"/>
  <c r="H8" i="3"/>
  <c r="I8" i="3"/>
  <c r="J8" i="3"/>
  <c r="L8" i="3"/>
  <c r="K8" i="3"/>
  <c r="F8" i="3"/>
  <c r="D8" i="3"/>
  <c r="G7" i="3"/>
  <c r="H7" i="3"/>
  <c r="I7" i="3"/>
  <c r="J7" i="3"/>
  <c r="L7" i="3"/>
  <c r="K7" i="3"/>
  <c r="F7" i="3"/>
  <c r="D7" i="3"/>
  <c r="G6" i="3"/>
  <c r="H6" i="3"/>
  <c r="I6" i="3"/>
  <c r="J6" i="3"/>
  <c r="L6" i="3"/>
  <c r="K6" i="3"/>
  <c r="F6" i="3"/>
  <c r="D6" i="3"/>
  <c r="M5" i="4" a="1"/>
  <c r="M5" i="4"/>
  <c r="N5" i="4" a="1"/>
  <c r="N5" i="4"/>
  <c r="P5" i="4"/>
  <c r="R5" i="4"/>
  <c r="M6" i="4" a="1"/>
  <c r="M6" i="4"/>
  <c r="O6" i="4"/>
  <c r="N6" i="4" a="1"/>
  <c r="N6" i="4"/>
  <c r="P6" i="4"/>
  <c r="R6" i="4"/>
  <c r="M7" i="4" a="1"/>
  <c r="M7" i="4"/>
  <c r="O7" i="4"/>
  <c r="N7" i="4" a="1"/>
  <c r="N7" i="4"/>
  <c r="P7" i="4"/>
  <c r="R7" i="4"/>
  <c r="M8" i="4" a="1"/>
  <c r="M8" i="4"/>
  <c r="O8" i="4"/>
  <c r="N8" i="4" a="1"/>
  <c r="N8" i="4"/>
  <c r="P8" i="4"/>
  <c r="R8" i="4"/>
  <c r="M9" i="4" a="1"/>
  <c r="M9" i="4"/>
  <c r="O9" i="4"/>
  <c r="N9" i="4" a="1"/>
  <c r="N9" i="4"/>
  <c r="P9" i="4"/>
  <c r="R9" i="4"/>
  <c r="M10" i="4" a="1"/>
  <c r="M10" i="4"/>
  <c r="O10" i="4"/>
  <c r="N10" i="4" a="1"/>
  <c r="N10" i="4"/>
  <c r="P10" i="4"/>
  <c r="R10" i="4"/>
  <c r="M11" i="4" a="1"/>
  <c r="M11" i="4"/>
  <c r="O11" i="4"/>
  <c r="N11" i="4" a="1"/>
  <c r="N11" i="4"/>
  <c r="P11" i="4"/>
  <c r="R11" i="4"/>
  <c r="R14" i="4"/>
  <c r="Q5" i="4"/>
  <c r="Q6" i="4"/>
  <c r="Q7" i="4"/>
  <c r="Q8" i="4"/>
  <c r="Q9" i="4"/>
  <c r="Q10" i="4"/>
  <c r="Q11" i="4"/>
  <c r="Q14" i="4"/>
  <c r="R13" i="4"/>
  <c r="Q13" i="4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K6" i="2"/>
  <c r="BG6" i="2"/>
  <c r="BI6" i="2"/>
  <c r="BL6" i="2"/>
  <c r="BM6" i="2"/>
  <c r="BK7" i="2"/>
  <c r="BG7" i="2"/>
  <c r="BI7" i="2"/>
  <c r="BL7" i="2"/>
  <c r="BM7" i="2"/>
  <c r="BK8" i="2"/>
  <c r="BG8" i="2"/>
  <c r="BI8" i="2"/>
  <c r="BL8" i="2"/>
  <c r="BM8" i="2"/>
  <c r="BK9" i="2"/>
  <c r="BG9" i="2"/>
  <c r="BI9" i="2"/>
  <c r="BL9" i="2"/>
  <c r="BM9" i="2"/>
  <c r="BK10" i="2"/>
  <c r="BG10" i="2"/>
  <c r="BI10" i="2"/>
  <c r="BL10" i="2"/>
  <c r="BM10" i="2"/>
  <c r="BK11" i="2"/>
  <c r="BG11" i="2"/>
  <c r="BI11" i="2"/>
  <c r="BL11" i="2"/>
  <c r="BM11" i="2"/>
  <c r="BK12" i="2"/>
  <c r="BG12" i="2"/>
  <c r="BI12" i="2"/>
  <c r="BL12" i="2"/>
  <c r="BM12" i="2"/>
  <c r="BK13" i="2"/>
  <c r="BG13" i="2"/>
  <c r="BI13" i="2"/>
  <c r="BL13" i="2"/>
  <c r="BM13" i="2"/>
  <c r="BK14" i="2"/>
  <c r="BG14" i="2"/>
  <c r="BI14" i="2"/>
  <c r="BL14" i="2"/>
  <c r="BM14" i="2"/>
  <c r="BK15" i="2"/>
  <c r="BG15" i="2"/>
  <c r="BI15" i="2"/>
  <c r="BL15" i="2"/>
  <c r="BM15" i="2"/>
  <c r="BK16" i="2"/>
  <c r="BG16" i="2"/>
  <c r="BI16" i="2"/>
  <c r="BL16" i="2"/>
  <c r="BM16" i="2"/>
  <c r="BK17" i="2"/>
  <c r="BG17" i="2"/>
  <c r="BI17" i="2"/>
  <c r="BL17" i="2"/>
  <c r="BM17" i="2"/>
  <c r="BG3" i="2"/>
  <c r="BI3" i="2"/>
  <c r="BK4" i="2"/>
  <c r="BK5" i="2"/>
  <c r="BK3" i="2"/>
  <c r="BG4" i="2"/>
  <c r="BI4" i="2"/>
  <c r="BG5" i="2"/>
  <c r="BI5" i="2"/>
  <c r="BM5" i="2"/>
  <c r="BL5" i="2"/>
  <c r="BM4" i="2"/>
  <c r="BL4" i="2"/>
  <c r="BM3" i="2"/>
  <c r="BL3" i="2"/>
  <c r="G2" i="5"/>
  <c r="I5" i="5"/>
  <c r="I6" i="5"/>
  <c r="F5" i="5"/>
  <c r="F6" i="5"/>
  <c r="B5" i="5"/>
  <c r="B6" i="5"/>
  <c r="D3" i="5"/>
  <c r="B3" i="5"/>
  <c r="D2" i="5"/>
  <c r="B2" i="5"/>
  <c r="AB3" i="2"/>
  <c r="AG3" i="2"/>
  <c r="AB4" i="2"/>
  <c r="AG4" i="2"/>
  <c r="AB5" i="2"/>
  <c r="AG5" i="2"/>
  <c r="AB6" i="2"/>
  <c r="AG6" i="2"/>
  <c r="AB7" i="2"/>
  <c r="AG7" i="2"/>
  <c r="AB8" i="2"/>
  <c r="AG8" i="2"/>
  <c r="AB9" i="2"/>
  <c r="AG9" i="2"/>
  <c r="AB10" i="2"/>
  <c r="AG10" i="2"/>
  <c r="AB11" i="2"/>
  <c r="AG11" i="2"/>
  <c r="AB12" i="2"/>
  <c r="AG12" i="2"/>
  <c r="AB13" i="2"/>
  <c r="AG13" i="2"/>
  <c r="AB14" i="2"/>
  <c r="AG14" i="2"/>
  <c r="AB15" i="2"/>
  <c r="AG15" i="2"/>
  <c r="AB16" i="2"/>
  <c r="AG16" i="2"/>
  <c r="AB17" i="2"/>
  <c r="AG17" i="2"/>
  <c r="AA3" i="2"/>
  <c r="AF3" i="2"/>
  <c r="AA4" i="2"/>
  <c r="AF4" i="2"/>
  <c r="AA5" i="2"/>
  <c r="AF5" i="2"/>
  <c r="AA6" i="2"/>
  <c r="AF6" i="2"/>
  <c r="AA7" i="2"/>
  <c r="AF7" i="2"/>
  <c r="AA8" i="2"/>
  <c r="AF8" i="2"/>
  <c r="AA9" i="2"/>
  <c r="AF9" i="2"/>
  <c r="AA10" i="2"/>
  <c r="AF10" i="2"/>
  <c r="AA11" i="2"/>
  <c r="AF11" i="2"/>
  <c r="AA12" i="2"/>
  <c r="AF12" i="2"/>
  <c r="AA13" i="2"/>
  <c r="AF13" i="2"/>
  <c r="AA14" i="2"/>
  <c r="AF14" i="2"/>
  <c r="AA15" i="2"/>
  <c r="AF15" i="2"/>
  <c r="AA16" i="2"/>
  <c r="AF16" i="2"/>
  <c r="AA17" i="2"/>
  <c r="AF17" i="2"/>
  <c r="AC3" i="2"/>
  <c r="AE3" i="2"/>
  <c r="G3" i="3"/>
  <c r="H3" i="3"/>
  <c r="I3" i="3"/>
  <c r="R3" i="3"/>
  <c r="U3" i="3"/>
  <c r="T3" i="3"/>
  <c r="V3" i="3"/>
  <c r="W3" i="3"/>
  <c r="X3" i="3"/>
  <c r="G4" i="3"/>
  <c r="H4" i="3"/>
  <c r="I4" i="3"/>
  <c r="J4" i="3"/>
  <c r="K4" i="3"/>
  <c r="L4" i="3"/>
  <c r="R4" i="3"/>
  <c r="S4" i="3"/>
  <c r="U4" i="3"/>
  <c r="T4" i="3"/>
  <c r="V4" i="3"/>
  <c r="W4" i="3"/>
  <c r="X4" i="3"/>
  <c r="G5" i="3"/>
  <c r="H5" i="3"/>
  <c r="I5" i="3"/>
  <c r="J5" i="3"/>
  <c r="K5" i="3"/>
  <c r="Q5" i="3"/>
  <c r="L5" i="3"/>
  <c r="R5" i="3"/>
  <c r="S5" i="3"/>
  <c r="U5" i="3"/>
  <c r="T5" i="3"/>
  <c r="V5" i="3"/>
  <c r="W5" i="3"/>
  <c r="X5" i="3"/>
  <c r="Q6" i="3"/>
  <c r="R6" i="3"/>
  <c r="S6" i="3"/>
  <c r="U6" i="3"/>
  <c r="T6" i="3"/>
  <c r="V6" i="3"/>
  <c r="W6" i="3"/>
  <c r="X6" i="3"/>
  <c r="Q7" i="3"/>
  <c r="R7" i="3"/>
  <c r="S7" i="3"/>
  <c r="U7" i="3"/>
  <c r="T7" i="3"/>
  <c r="V7" i="3"/>
  <c r="W7" i="3"/>
  <c r="X7" i="3"/>
  <c r="Q8" i="3"/>
  <c r="R8" i="3"/>
  <c r="S8" i="3"/>
  <c r="U8" i="3"/>
  <c r="T8" i="3"/>
  <c r="V8" i="3"/>
  <c r="W8" i="3"/>
  <c r="X8" i="3"/>
  <c r="Q9" i="3"/>
  <c r="R9" i="3"/>
  <c r="S9" i="3"/>
  <c r="U9" i="3"/>
  <c r="T9" i="3"/>
  <c r="V9" i="3"/>
  <c r="W9" i="3"/>
  <c r="X9" i="3"/>
  <c r="S10" i="3"/>
  <c r="U10" i="3"/>
  <c r="T10" i="3"/>
  <c r="V10" i="3"/>
  <c r="Q11" i="3"/>
  <c r="R11" i="3"/>
  <c r="S11" i="3"/>
  <c r="U11" i="3"/>
  <c r="T11" i="3"/>
  <c r="V11" i="3"/>
  <c r="W11" i="3"/>
  <c r="X11" i="3"/>
  <c r="Q12" i="3"/>
  <c r="R12" i="3"/>
  <c r="S12" i="3"/>
  <c r="U12" i="3"/>
  <c r="T12" i="3"/>
  <c r="V12" i="3"/>
  <c r="W12" i="3"/>
  <c r="X12" i="3"/>
  <c r="Q13" i="3"/>
  <c r="R13" i="3"/>
  <c r="S13" i="3"/>
  <c r="U13" i="3"/>
  <c r="T13" i="3"/>
  <c r="V13" i="3"/>
  <c r="W13" i="3"/>
  <c r="X13" i="3"/>
  <c r="Q14" i="3"/>
  <c r="R14" i="3"/>
  <c r="S14" i="3"/>
  <c r="U14" i="3"/>
  <c r="T14" i="3"/>
  <c r="V14" i="3"/>
  <c r="W14" i="3"/>
  <c r="X14" i="3"/>
  <c r="Q15" i="3"/>
  <c r="R15" i="3"/>
  <c r="S15" i="3"/>
  <c r="U15" i="3"/>
  <c r="T15" i="3"/>
  <c r="V15" i="3"/>
  <c r="W15" i="3"/>
  <c r="X15" i="3"/>
  <c r="Q16" i="3"/>
  <c r="R16" i="3"/>
  <c r="S16" i="3"/>
  <c r="U16" i="3"/>
  <c r="T16" i="3"/>
  <c r="V16" i="3"/>
  <c r="W16" i="3"/>
  <c r="X16" i="3"/>
  <c r="S17" i="3"/>
  <c r="U17" i="3"/>
  <c r="T17" i="3"/>
  <c r="V17" i="3"/>
  <c r="P13" i="3"/>
  <c r="P8" i="3"/>
  <c r="P5" i="3"/>
  <c r="P16" i="3"/>
  <c r="P12" i="3"/>
  <c r="P7" i="3"/>
  <c r="P4" i="3"/>
  <c r="P15" i="3"/>
  <c r="P14" i="3"/>
  <c r="P11" i="3"/>
  <c r="P9" i="3"/>
  <c r="P6" i="3"/>
  <c r="P3" i="3"/>
  <c r="P10" i="3"/>
  <c r="P17" i="3"/>
  <c r="F5" i="3"/>
  <c r="D5" i="3"/>
  <c r="F4" i="3"/>
  <c r="D4" i="3"/>
  <c r="F3" i="3"/>
  <c r="D3" i="3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C4" i="2"/>
  <c r="AE4" i="2"/>
  <c r="AL4" i="2"/>
  <c r="AC5" i="2"/>
  <c r="AC6" i="2"/>
  <c r="AC7" i="2"/>
  <c r="AE7" i="2"/>
  <c r="AL7" i="2"/>
  <c r="AC8" i="2"/>
  <c r="AC9" i="2"/>
  <c r="AC10" i="2"/>
  <c r="AC11" i="2"/>
  <c r="AE11" i="2"/>
  <c r="AL11" i="2"/>
  <c r="AC12" i="2"/>
  <c r="AE12" i="2"/>
  <c r="AL12" i="2"/>
  <c r="AC13" i="2"/>
  <c r="AC14" i="2"/>
  <c r="AE14" i="2"/>
  <c r="AL14" i="2"/>
  <c r="AC15" i="2"/>
  <c r="AE15" i="2"/>
  <c r="AL15" i="2"/>
  <c r="AC16" i="2"/>
  <c r="AE16" i="2"/>
  <c r="AL16" i="2"/>
  <c r="AC17" i="2"/>
  <c r="AE5" i="2"/>
  <c r="AL5" i="2"/>
  <c r="AE6" i="2"/>
  <c r="AL6" i="2"/>
  <c r="AE8" i="2"/>
  <c r="AL8" i="2"/>
  <c r="AE9" i="2"/>
  <c r="AE10" i="2"/>
  <c r="AL10" i="2"/>
  <c r="AE13" i="2"/>
  <c r="AL13" i="2"/>
  <c r="AE17" i="2"/>
  <c r="AL17" i="2"/>
  <c r="AL9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3" i="2"/>
  <c r="AN17" i="2"/>
  <c r="AN16" i="2"/>
  <c r="AN15" i="2"/>
  <c r="AN14" i="2"/>
  <c r="AN13" i="2"/>
  <c r="AN12" i="2"/>
  <c r="AN11" i="2"/>
  <c r="AN10" i="2"/>
  <c r="AN9" i="2"/>
  <c r="AN8" i="2"/>
  <c r="AN7" i="2"/>
  <c r="AN6" i="2"/>
  <c r="AN5" i="2"/>
  <c r="AN4" i="2"/>
  <c r="AN3" i="2"/>
  <c r="AI13" i="2" l="1"/>
  <c r="AM13" i="2" s="1"/>
  <c r="AM3" i="2"/>
  <c r="AI16" i="2"/>
  <c r="AM16" i="2" s="1"/>
  <c r="AI14" i="2"/>
  <c r="AM14" i="2" s="1"/>
  <c r="AI12" i="2"/>
  <c r="AM12" i="2" s="1"/>
  <c r="AI10" i="2"/>
  <c r="AM10" i="2" s="1"/>
  <c r="AI8" i="2"/>
  <c r="AM8" i="2" s="1"/>
  <c r="AI6" i="2"/>
  <c r="AM6" i="2" s="1"/>
  <c r="AI4" i="2"/>
  <c r="AM4" i="2" s="1"/>
  <c r="AI17" i="2"/>
  <c r="AM17" i="2" s="1"/>
  <c r="AI11" i="2"/>
  <c r="AM11" i="2" s="1"/>
  <c r="AI7" i="2"/>
  <c r="AM7" i="2" s="1"/>
  <c r="AI15" i="2"/>
  <c r="AM15" i="2" s="1"/>
  <c r="AI9" i="2"/>
  <c r="AM9" i="2" s="1"/>
  <c r="AI5" i="2"/>
  <c r="AM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<sst xmlns="http://schemas.openxmlformats.org/spreadsheetml/2006/main" count="232" uniqueCount="185">
  <si>
    <t>corrected to m/z=44 peak area of 20 Vs</t>
  </si>
  <si>
    <t>Row</t>
  </si>
  <si>
    <t>Identifier 1</t>
  </si>
  <si>
    <t>Is Ref _</t>
  </si>
  <si>
    <t>d 15N/14N</t>
  </si>
  <si>
    <t>d 18O/16O</t>
  </si>
  <si>
    <t>d 17O/16O</t>
  </si>
  <si>
    <t>Area 44</t>
  </si>
  <si>
    <t>Area 30</t>
  </si>
  <si>
    <t>BGD 44</t>
  </si>
  <si>
    <t>Rt</t>
  </si>
  <si>
    <t>FileHeader: Filename</t>
  </si>
  <si>
    <t>Time Code</t>
  </si>
  <si>
    <t>rR 45N2O/44N2O sam</t>
  </si>
  <si>
    <t>rR 46N2O/44N2O sam</t>
  </si>
  <si>
    <t>rR 31NO/30NO sam</t>
  </si>
  <si>
    <t>rR 45N2O/44N2O std</t>
  </si>
  <si>
    <t>rR 46N2O/44N2O std</t>
  </si>
  <si>
    <t>rR 31NO/30NO std</t>
  </si>
  <si>
    <t>31R</t>
    <phoneticPr fontId="0" type="noConversion"/>
  </si>
  <si>
    <t>45R</t>
    <phoneticPr fontId="0" type="noConversion"/>
  </si>
  <si>
    <t>46R</t>
    <phoneticPr fontId="0" type="noConversion"/>
  </si>
  <si>
    <t>raw 45rR/45rR</t>
  </si>
  <si>
    <t>raw 46rR/46rR</t>
  </si>
  <si>
    <t>raw 31rR/31rR</t>
  </si>
  <si>
    <t>size corrected 31rR/31rR</t>
  </si>
  <si>
    <t>size corrected 45rR/45rR</t>
  </si>
  <si>
    <t>size corrected 46rR/46rR</t>
  </si>
  <si>
    <t>size corrected 31R</t>
  </si>
  <si>
    <t>size corrected 45R</t>
  </si>
  <si>
    <t>size corrected 46R</t>
  </si>
  <si>
    <t>d15Na</t>
  </si>
  <si>
    <t>d15Nb</t>
  </si>
  <si>
    <t>d15Nbulk</t>
  </si>
  <si>
    <t>d18O</t>
  </si>
  <si>
    <t>SP</t>
  </si>
  <si>
    <t>ATM</t>
  </si>
  <si>
    <t>B6</t>
  </si>
  <si>
    <t>S2</t>
  </si>
  <si>
    <t>DI</t>
  </si>
  <si>
    <t>ATM_EQ_SW</t>
  </si>
  <si>
    <t>2.3</t>
  </si>
  <si>
    <t>1.8</t>
  </si>
  <si>
    <t>1.6</t>
  </si>
  <si>
    <t>2.2</t>
  </si>
  <si>
    <t>SIZE CORRECTED DELTA VALUES</t>
  </si>
  <si>
    <t>peak area 20</t>
  </si>
  <si>
    <t>d17O</t>
  </si>
  <si>
    <t>ATM_EQ_SW_1</t>
  </si>
  <si>
    <t>ATM_EQ_SW_2</t>
  </si>
  <si>
    <t>201204_V-0002.dxf</t>
  </si>
  <si>
    <t>S2_ref_1</t>
  </si>
  <si>
    <t>1.9</t>
  </si>
  <si>
    <t>201205_V-0000.dxf</t>
  </si>
  <si>
    <t>2020/12/05 14:32:14</t>
  </si>
  <si>
    <t>B6_ref_1</t>
  </si>
  <si>
    <t>2.0</t>
  </si>
  <si>
    <t>201205_V-0001.dxf</t>
  </si>
  <si>
    <t>2020/12/05 15:07:56</t>
  </si>
  <si>
    <t>201205_V-0002.dxf</t>
  </si>
  <si>
    <t>2020/12/05 15:39:59</t>
  </si>
  <si>
    <t>S2_ref_2</t>
  </si>
  <si>
    <t>201205_V-0003.dxf</t>
  </si>
  <si>
    <t>2020/12/05 16:11:34</t>
  </si>
  <si>
    <t>B6_ref_2</t>
  </si>
  <si>
    <t>3.5</t>
  </si>
  <si>
    <t>201205_V-0004.dxf</t>
  </si>
  <si>
    <t>2020/12/05 18:31:18</t>
  </si>
  <si>
    <t>201205_V-0005.dxf</t>
  </si>
  <si>
    <t>2020/12/05 19:02:52</t>
  </si>
  <si>
    <t>2.7</t>
  </si>
  <si>
    <t>201205_V-0006.dxf</t>
  </si>
  <si>
    <t>2020/12/05 19:34:26</t>
  </si>
  <si>
    <t>SAMPLE ID</t>
  </si>
  <si>
    <t>DATE</t>
  </si>
  <si>
    <t>201207_V-0000.dxf</t>
  </si>
  <si>
    <t>2020/12/07 11:54:27</t>
  </si>
  <si>
    <t>201207_V-0001.dxf</t>
  </si>
  <si>
    <t>2020/12/07 12:26:40</t>
  </si>
  <si>
    <t>201207_V-0002.dxf</t>
  </si>
  <si>
    <t>2020/12/07 13:08:33</t>
  </si>
  <si>
    <t>201207_V-0012.dxf</t>
  </si>
  <si>
    <t>2020/12/07 19:56:02</t>
  </si>
  <si>
    <t>ATM_EQ_SW_3</t>
  </si>
  <si>
    <t>201207_V-0022.dxf</t>
  </si>
  <si>
    <t>2020/12/08 01:14:46</t>
  </si>
  <si>
    <t>201207_V-0023.dxf</t>
  </si>
  <si>
    <t>2020/12/08 01:46:13</t>
  </si>
  <si>
    <t>201207_V-0024.dxf</t>
  </si>
  <si>
    <t>2020/12/08 02:17:40</t>
  </si>
  <si>
    <t>2.4</t>
  </si>
  <si>
    <t>MATLAB/PYTHON OUTPUT</t>
  </si>
  <si>
    <t>ref_tag</t>
  </si>
  <si>
    <t>run_date</t>
  </si>
  <si>
    <t>gamma</t>
  </si>
  <si>
    <t>kappa</t>
  </si>
  <si>
    <t>INPUT VALUES FOR DIRECT N2O REF. INJECTION</t>
  </si>
  <si>
    <t>INPUT SIZE CORRECTION SLOPES</t>
  </si>
  <si>
    <t>15Ralpha</t>
  </si>
  <si>
    <t>15Rbeta</t>
  </si>
  <si>
    <t>18R</t>
  </si>
  <si>
    <t>17R</t>
  </si>
  <si>
    <t>45R</t>
  </si>
  <si>
    <t>46R</t>
  </si>
  <si>
    <t>45R/45R</t>
  </si>
  <si>
    <t>46R/46R</t>
  </si>
  <si>
    <t>45R 𝜆</t>
  </si>
  <si>
    <t>46R 𝜆</t>
  </si>
  <si>
    <t>known 45rR/45rR</t>
  </si>
  <si>
    <t>known 46rR/46rR</t>
  </si>
  <si>
    <t>ln(size corrected 45rR/45rR)</t>
  </si>
  <si>
    <t>ln(size corrected 46rR/46rR)</t>
  </si>
  <si>
    <t>ln(known 45rR/45rR)</t>
  </si>
  <si>
    <t>ln(known 46rR/46rR)</t>
  </si>
  <si>
    <t>Log. normalization following Kaiser et al. (2007) Triple oxygen isotope analysis of nitrate using the denitrifier method and thermal decomposition of N2O. Anal. Chem. 79, 599-607 doi:10.1021/ac061022s</t>
  </si>
  <si>
    <t>CALCULATE KNOWN 45R/45R &amp; 46R/46R FOR EACH REFERENCE MATERIAL</t>
  </si>
  <si>
    <t>COPY AND PASTE IN RAW DATA</t>
  </si>
  <si>
    <t>USER INPUTS:</t>
  </si>
  <si>
    <t>scale decompressed 45rR/45rR</t>
  </si>
  <si>
    <t>scale decompressed 46rR/46rR</t>
  </si>
  <si>
    <t>scale normalized 45R and 46R</t>
  </si>
  <si>
    <t>USER INPUT: REFERENCE APPROPRIATE VALUES IN COLUMNS M &amp; N</t>
  </si>
  <si>
    <t>17RVSMOW</t>
  </si>
  <si>
    <t>=LAMBDA(R18,n,R45,R46,D17O,k,R18VSMOW,R17VSMOW,
      IF(n&gt;0,Rsolve18(LET(R17,(1 + D17O / 1000) * RVSMOW17 * (Rsam18/RVSMOW18) ^ k,
        R46 - (R45 - R17) * R17 - (R45 - R17) ^ 2/4),n-1,R45,R46,D17O,k,R18VSMOW,R17VSMOW),
              R18))</t>
  </si>
  <si>
    <t>18RVSMOW</t>
  </si>
  <si>
    <t>k</t>
  </si>
  <si>
    <t>15Ralpha, ref1</t>
  </si>
  <si>
    <t>15Rbeta, ref1</t>
  </si>
  <si>
    <t>17R, ref1</t>
  </si>
  <si>
    <t>31Rm, ref1</t>
  </si>
  <si>
    <t>45Rm, ref1</t>
  </si>
  <si>
    <t>15Ralpha, ref2</t>
  </si>
  <si>
    <t>15Rbeta, ref2</t>
  </si>
  <si>
    <t>17R, ref2</t>
  </si>
  <si>
    <t>31Rm, ref2</t>
  </si>
  <si>
    <t>45Rm, ref2</t>
  </si>
  <si>
    <t>46Rm, ref1</t>
  </si>
  <si>
    <t>D17O_ref1</t>
  </si>
  <si>
    <t>R18_ref1</t>
  </si>
  <si>
    <t>46Rm, ref2</t>
  </si>
  <si>
    <t>D17O_ref2</t>
  </si>
  <si>
    <t>R18_ref2</t>
  </si>
  <si>
    <t>CONSTANTS USED IN CONCENTRATION CALCULATIONS</t>
  </si>
  <si>
    <t>nmol per Vs</t>
  </si>
  <si>
    <t>*x +</t>
  </si>
  <si>
    <t>error</t>
  </si>
  <si>
    <t>seawater kg/L</t>
  </si>
  <si>
    <t>DI water kg/L</t>
  </si>
  <si>
    <t>freshwater kg/L</t>
  </si>
  <si>
    <t>seawater L/kg</t>
  </si>
  <si>
    <t>DI water L/kg</t>
  </si>
  <si>
    <t>freshwater L/kg</t>
  </si>
  <si>
    <t>seawater L/g</t>
  </si>
  <si>
    <t>DI water L/g</t>
  </si>
  <si>
    <t>freshwater L/g</t>
  </si>
  <si>
    <t>Linest results</t>
  </si>
  <si>
    <t>SLOPE</t>
  </si>
  <si>
    <t>INTERCEPT</t>
  </si>
  <si>
    <t>ERROR</t>
  </si>
  <si>
    <t>Vs/nmol</t>
  </si>
  <si>
    <t>Equivalent to:</t>
  </si>
  <si>
    <t>N2O CONCENTRATIONS</t>
  </si>
  <si>
    <t>Pre_weight_g</t>
  </si>
  <si>
    <t>Post_weight_g</t>
  </si>
  <si>
    <t>volume analyzed (g)</t>
  </si>
  <si>
    <t>matrix</t>
  </si>
  <si>
    <t>volume analyzed (L)</t>
  </si>
  <si>
    <t>N2O (nmols)</t>
  </si>
  <si>
    <t>+/-</t>
  </si>
  <si>
    <t>N2O (nmols/L)</t>
  </si>
  <si>
    <t>seawater</t>
  </si>
  <si>
    <t>Copy and paste in values for ref #1: atmosphere-equilibrated seawater</t>
  </si>
  <si>
    <t>Copy and paste in values for ref #2: B6 reference gas</t>
  </si>
  <si>
    <t>Template for algebraic solution for gamma and kappa.</t>
  </si>
  <si>
    <t xml:space="preserve"> Both algebraic and least squares methods are also available in the "Scrambling" function of pyisotopomer.</t>
  </si>
  <si>
    <t>CA06261</t>
  </si>
  <si>
    <t>CA08214</t>
  </si>
  <si>
    <t>PYTHON INPUTS: CALIBRATED DELTA VALS FOR EACH REFERENCE MATERIAL</t>
  </si>
  <si>
    <t>PYTHON INPUTS</t>
  </si>
  <si>
    <t>D17O</t>
  </si>
  <si>
    <t>SCRAMBLING OUTPUT: CHECK VALUES</t>
  </si>
  <si>
    <t>𝜆</t>
  </si>
  <si>
    <t>intercept</t>
  </si>
  <si>
    <t>SCALE NORMALIZATION FACTORS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</si>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</sst>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00"/>
    <numFmt numFmtId="165" formatCode="0.0000"/>
    <numFmt numFmtId="166" formatCode="0.0000000000000"/>
    <numFmt numFmtId="167" formatCode="0.00000000000"/>
    <numFmt numFmtId="168" formatCode="0.00000000000000000"/>
    <numFmt numFmtId="169" formatCode="0.000000000000"/>
    <numFmt numFmtId="170" formatCode="0.00000"/>
    <numFmt numFmtId="171" formatCode="0.00000000000000"/>
    <numFmt numFmtId="172" formatCode="0.00000000"/>
    <numFmt numFmtId="173" formatCode="0.0000E+00"/>
    <numFmt numFmtId="174" formatCode="0.000000"/>
  </numFmts>
  <fonts count="2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48"/>
      <name val="MS Sans Serif"/>
      <family val="2"/>
    </font>
    <font>
      <b/>
      <sz val="10"/>
      <name val="MS Sans Serif"/>
      <family val="2"/>
    </font>
    <font>
      <sz val="10"/>
      <name val="MS Reference Sans Serif"/>
      <family val="2"/>
    </font>
    <font>
      <sz val="12"/>
      <color theme="1"/>
      <name val="Calibri"/>
      <family val="2"/>
    </font>
    <font>
      <sz val="10"/>
      <name val="MS Sans Serif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FA7D00"/>
      <name val="Calibri"/>
      <family val="2"/>
      <scheme val="minor"/>
    </font>
    <font>
      <sz val="10"/>
      <name val="Arial"/>
      <family val="2"/>
    </font>
    <font>
      <b/>
      <sz val="10"/>
      <color indexed="9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4"/>
      <name val="MS Sans Serif"/>
    </font>
    <font>
      <b/>
      <sz val="10"/>
      <name val="MS Sans Serif"/>
    </font>
    <font>
      <sz val="10"/>
      <color theme="0"/>
      <name val="MS Sans Serif"/>
    </font>
    <font>
      <sz val="10"/>
      <color rgb="FFFF0000"/>
      <name val="MS Sans Serif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rgb="FF3F3F76"/>
      <name val="Calibri"/>
      <family val="2"/>
    </font>
    <font>
      <b/>
      <sz val="12"/>
      <color rgb="FFFA7D00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E7E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7B0"/>
        <bgColor indexed="64"/>
      </patternFill>
    </fill>
    <fill>
      <patternFill patternType="solid">
        <fgColor rgb="FFBDD6EE"/>
        <bgColor rgb="FFBDD6EE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00B0F0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9" borderId="18" applyNumberFormat="0" applyAlignment="0" applyProtection="0"/>
    <xf numFmtId="0" fontId="8" fillId="10" borderId="19" applyNumberFormat="0" applyAlignment="0" applyProtection="0"/>
    <xf numFmtId="0" fontId="9" fillId="10" borderId="18" applyNumberFormat="0" applyAlignment="0" applyProtection="0"/>
    <xf numFmtId="0" fontId="12" fillId="0" borderId="20" applyNumberFormat="0" applyFill="0" applyAlignment="0" applyProtection="0"/>
    <xf numFmtId="0" fontId="13" fillId="0" borderId="0"/>
  </cellStyleXfs>
  <cellXfs count="12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166" fontId="0" fillId="0" borderId="0" xfId="0" applyNumberFormat="1"/>
    <xf numFmtId="167" fontId="0" fillId="0" borderId="0" xfId="0" applyNumberFormat="1"/>
    <xf numFmtId="0" fontId="0" fillId="2" borderId="4" xfId="0" applyFill="1" applyBorder="1"/>
    <xf numFmtId="0" fontId="0" fillId="2" borderId="5" xfId="0" applyFill="1" applyBorder="1"/>
    <xf numFmtId="0" fontId="0" fillId="0" borderId="0" xfId="0" applyAlignment="1">
      <alignment wrapText="1"/>
    </xf>
    <xf numFmtId="0" fontId="0" fillId="4" borderId="0" xfId="0" applyFill="1" applyAlignment="1">
      <alignment wrapText="1"/>
    </xf>
    <xf numFmtId="0" fontId="0" fillId="4" borderId="0" xfId="0" quotePrefix="1" applyFill="1" applyAlignment="1">
      <alignment wrapText="1"/>
    </xf>
    <xf numFmtId="2" fontId="0" fillId="4" borderId="0" xfId="0" quotePrefix="1" applyNumberFormat="1" applyFill="1" applyAlignment="1">
      <alignment wrapText="1"/>
    </xf>
    <xf numFmtId="164" fontId="0" fillId="4" borderId="0" xfId="0" quotePrefix="1" applyNumberFormat="1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quotePrefix="1" applyFill="1" applyAlignment="1">
      <alignment wrapText="1"/>
    </xf>
    <xf numFmtId="168" fontId="2" fillId="6" borderId="6" xfId="0" applyNumberFormat="1" applyFont="1" applyFill="1" applyBorder="1" applyAlignment="1">
      <alignment wrapText="1"/>
    </xf>
    <xf numFmtId="168" fontId="2" fillId="6" borderId="0" xfId="0" applyNumberFormat="1" applyFont="1" applyFill="1" applyAlignment="1">
      <alignment wrapText="1"/>
    </xf>
    <xf numFmtId="168" fontId="2" fillId="6" borderId="7" xfId="0" applyNumberFormat="1" applyFont="1" applyFill="1" applyBorder="1" applyAlignment="1">
      <alignment wrapText="1"/>
    </xf>
    <xf numFmtId="166" fontId="0" fillId="7" borderId="8" xfId="0" applyNumberFormat="1" applyFill="1" applyBorder="1" applyAlignment="1">
      <alignment wrapText="1"/>
    </xf>
    <xf numFmtId="167" fontId="0" fillId="7" borderId="9" xfId="0" applyNumberFormat="1" applyFill="1" applyBorder="1" applyAlignment="1">
      <alignment wrapText="1"/>
    </xf>
    <xf numFmtId="2" fontId="0" fillId="7" borderId="10" xfId="0" applyNumberForma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0" fillId="0" borderId="0" xfId="0" quotePrefix="1"/>
    <xf numFmtId="166" fontId="4" fillId="0" borderId="12" xfId="0" applyNumberFormat="1" applyFont="1" applyBorder="1"/>
    <xf numFmtId="169" fontId="4" fillId="0" borderId="13" xfId="0" applyNumberFormat="1" applyFont="1" applyBorder="1"/>
    <xf numFmtId="166" fontId="4" fillId="0" borderId="14" xfId="0" applyNumberFormat="1" applyFont="1" applyBorder="1"/>
    <xf numFmtId="166" fontId="0" fillId="7" borderId="0" xfId="0" applyNumberFormat="1" applyFill="1"/>
    <xf numFmtId="167" fontId="0" fillId="7" borderId="0" xfId="0" applyNumberFormat="1" applyFill="1" applyAlignment="1">
      <alignment wrapText="1"/>
    </xf>
    <xf numFmtId="167" fontId="0" fillId="7" borderId="0" xfId="0" applyNumberFormat="1" applyFill="1"/>
    <xf numFmtId="166" fontId="0" fillId="2" borderId="0" xfId="0" applyNumberFormat="1" applyFill="1" applyAlignment="1">
      <alignment wrapText="1"/>
    </xf>
    <xf numFmtId="166" fontId="0" fillId="0" borderId="0" xfId="0" applyNumberFormat="1" applyAlignment="1">
      <alignment wrapText="1"/>
    </xf>
    <xf numFmtId="166" fontId="0" fillId="3" borderId="0" xfId="0" applyNumberForma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5" fillId="0" borderId="0" xfId="0" applyNumberFormat="1" applyFont="1"/>
    <xf numFmtId="0" fontId="0" fillId="8" borderId="0" xfId="0" applyFill="1"/>
    <xf numFmtId="0" fontId="0" fillId="8" borderId="9" xfId="0" applyFill="1" applyBorder="1" applyAlignment="1">
      <alignment wrapText="1"/>
    </xf>
    <xf numFmtId="0" fontId="0" fillId="8" borderId="10" xfId="0" applyFill="1" applyBorder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2" fontId="0" fillId="0" borderId="0" xfId="0" applyNumberFormat="1"/>
    <xf numFmtId="0" fontId="0" fillId="3" borderId="0" xfId="0" applyFill="1"/>
    <xf numFmtId="0" fontId="3" fillId="3" borderId="15" xfId="0" applyFont="1" applyFill="1" applyBorder="1" applyAlignment="1">
      <alignment wrapText="1"/>
    </xf>
    <xf numFmtId="0" fontId="3" fillId="3" borderId="16" xfId="0" applyFont="1" applyFill="1" applyBorder="1" applyAlignment="1">
      <alignment wrapText="1"/>
    </xf>
    <xf numFmtId="164" fontId="0" fillId="3" borderId="0" xfId="0" applyNumberFormat="1" applyFill="1" applyAlignment="1">
      <alignment wrapText="1"/>
    </xf>
    <xf numFmtId="0" fontId="3" fillId="3" borderId="17" xfId="0" applyFont="1" applyFill="1" applyBorder="1" applyAlignment="1">
      <alignment wrapText="1"/>
    </xf>
    <xf numFmtId="165" fontId="0" fillId="3" borderId="0" xfId="0" applyNumberFormat="1" applyFill="1" applyAlignment="1">
      <alignment wrapText="1"/>
    </xf>
    <xf numFmtId="170" fontId="0" fillId="3" borderId="0" xfId="0" applyNumberFormat="1" applyFill="1" applyAlignment="1">
      <alignment wrapText="1"/>
    </xf>
    <xf numFmtId="165" fontId="0" fillId="3" borderId="0" xfId="0" applyNumberFormat="1" applyFill="1"/>
    <xf numFmtId="165" fontId="3" fillId="3" borderId="15" xfId="0" applyNumberFormat="1" applyFont="1" applyFill="1" applyBorder="1" applyAlignment="1">
      <alignment wrapText="1"/>
    </xf>
    <xf numFmtId="165" fontId="0" fillId="0" borderId="0" xfId="0" applyNumberFormat="1" applyAlignment="1">
      <alignment wrapText="1"/>
    </xf>
    <xf numFmtId="165" fontId="0" fillId="0" borderId="0" xfId="0" applyNumberFormat="1"/>
    <xf numFmtId="2" fontId="10" fillId="0" borderId="0" xfId="0" applyNumberFormat="1" applyFont="1"/>
    <xf numFmtId="0" fontId="5" fillId="0" borderId="0" xfId="0" applyFont="1"/>
    <xf numFmtId="0" fontId="11" fillId="0" borderId="0" xfId="0" applyFont="1"/>
    <xf numFmtId="169" fontId="9" fillId="10" borderId="18" xfId="3" applyNumberFormat="1"/>
    <xf numFmtId="171" fontId="9" fillId="10" borderId="18" xfId="3" applyNumberFormat="1"/>
    <xf numFmtId="0" fontId="9" fillId="10" borderId="18" xfId="3"/>
    <xf numFmtId="0" fontId="7" fillId="9" borderId="18" xfId="1"/>
    <xf numFmtId="2" fontId="7" fillId="9" borderId="18" xfId="1" applyNumberFormat="1"/>
    <xf numFmtId="0" fontId="1" fillId="0" borderId="1" xfId="0" applyFont="1" applyBorder="1"/>
    <xf numFmtId="0" fontId="8" fillId="10" borderId="19" xfId="2"/>
    <xf numFmtId="0" fontId="0" fillId="11" borderId="4" xfId="0" applyFill="1" applyBorder="1"/>
    <xf numFmtId="0" fontId="0" fillId="11" borderId="0" xfId="0" applyFill="1"/>
    <xf numFmtId="0" fontId="3" fillId="11" borderId="9" xfId="0" applyFont="1" applyFill="1" applyBorder="1" applyAlignment="1">
      <alignment wrapText="1"/>
    </xf>
    <xf numFmtId="166" fontId="0" fillId="11" borderId="0" xfId="0" applyNumberFormat="1" applyFill="1"/>
    <xf numFmtId="164" fontId="0" fillId="0" borderId="0" xfId="0" applyNumberFormat="1"/>
    <xf numFmtId="1" fontId="0" fillId="0" borderId="0" xfId="0" applyNumberFormat="1"/>
    <xf numFmtId="0" fontId="14" fillId="0" borderId="0" xfId="5" applyFont="1"/>
    <xf numFmtId="164" fontId="7" fillId="9" borderId="18" xfId="1" applyNumberFormat="1"/>
    <xf numFmtId="0" fontId="15" fillId="0" borderId="0" xfId="0" applyFont="1"/>
    <xf numFmtId="173" fontId="15" fillId="0" borderId="0" xfId="0" applyNumberFormat="1" applyFont="1"/>
    <xf numFmtId="0" fontId="3" fillId="0" borderId="0" xfId="0" applyFont="1"/>
    <xf numFmtId="164" fontId="8" fillId="10" borderId="19" xfId="2" applyNumberFormat="1"/>
    <xf numFmtId="11" fontId="15" fillId="0" borderId="0" xfId="0" applyNumberFormat="1" applyFont="1"/>
    <xf numFmtId="0" fontId="15" fillId="0" borderId="0" xfId="0" applyFont="1" applyAlignment="1">
      <alignment horizontal="left"/>
    </xf>
    <xf numFmtId="174" fontId="8" fillId="10" borderId="19" xfId="2" applyNumberFormat="1"/>
    <xf numFmtId="0" fontId="16" fillId="0" borderId="0" xfId="0" applyFont="1"/>
    <xf numFmtId="2" fontId="1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2" fontId="18" fillId="0" borderId="0" xfId="0" applyNumberFormat="1" applyFont="1"/>
    <xf numFmtId="0" fontId="0" fillId="0" borderId="5" xfId="0" applyBorder="1"/>
    <xf numFmtId="0" fontId="18" fillId="0" borderId="5" xfId="0" applyFont="1" applyBorder="1" applyAlignment="1">
      <alignment wrapTex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 vertical="center"/>
    </xf>
    <xf numFmtId="2" fontId="19" fillId="0" borderId="0" xfId="0" applyNumberFormat="1" applyFont="1"/>
    <xf numFmtId="0" fontId="19" fillId="0" borderId="0" xfId="0" applyFont="1"/>
    <xf numFmtId="2" fontId="18" fillId="0" borderId="0" xfId="0" applyNumberFormat="1" applyFont="1" applyAlignment="1">
      <alignment horizontal="center"/>
    </xf>
    <xf numFmtId="2" fontId="20" fillId="0" borderId="0" xfId="0" applyNumberFormat="1" applyFont="1"/>
    <xf numFmtId="0" fontId="20" fillId="0" borderId="0" xfId="0" applyFont="1"/>
    <xf numFmtId="0" fontId="0" fillId="12" borderId="0" xfId="0" applyFill="1"/>
    <xf numFmtId="164" fontId="0" fillId="12" borderId="0" xfId="0" applyNumberFormat="1" applyFill="1"/>
    <xf numFmtId="2" fontId="0" fillId="12" borderId="0" xfId="0" applyNumberFormat="1" applyFill="1"/>
    <xf numFmtId="0" fontId="0" fillId="12" borderId="9" xfId="0" applyFill="1" applyBorder="1" applyAlignment="1">
      <alignment wrapText="1"/>
    </xf>
    <xf numFmtId="164" fontId="0" fillId="12" borderId="9" xfId="0" applyNumberFormat="1" applyFill="1" applyBorder="1" applyAlignment="1">
      <alignment wrapText="1"/>
    </xf>
    <xf numFmtId="2" fontId="0" fillId="12" borderId="9" xfId="0" applyNumberFormat="1" applyFill="1" applyBorder="1" applyAlignment="1">
      <alignment wrapText="1"/>
    </xf>
    <xf numFmtId="2" fontId="0" fillId="12" borderId="9" xfId="0" quotePrefix="1" applyNumberFormat="1" applyFill="1" applyBorder="1" applyAlignment="1">
      <alignment wrapText="1"/>
    </xf>
    <xf numFmtId="2" fontId="0" fillId="12" borderId="10" xfId="0" quotePrefix="1" applyNumberFormat="1" applyFill="1" applyBorder="1" applyAlignment="1">
      <alignment wrapText="1"/>
    </xf>
    <xf numFmtId="0" fontId="12" fillId="0" borderId="20" xfId="4"/>
    <xf numFmtId="172" fontId="7" fillId="9" borderId="18" xfId="1" applyNumberFormat="1"/>
    <xf numFmtId="164" fontId="1" fillId="0" borderId="0" xfId="0" applyNumberFormat="1" applyFont="1" applyAlignment="1">
      <alignment wrapText="1"/>
    </xf>
    <xf numFmtId="0" fontId="22" fillId="0" borderId="0" xfId="0" applyFont="1"/>
    <xf numFmtId="0" fontId="22" fillId="14" borderId="22" xfId="0" applyFont="1" applyFill="1" applyBorder="1" applyAlignment="1">
      <alignment wrapText="1"/>
    </xf>
    <xf numFmtId="0" fontId="22" fillId="15" borderId="22" xfId="0" applyFont="1" applyFill="1" applyBorder="1" applyAlignment="1">
      <alignment wrapText="1"/>
    </xf>
    <xf numFmtId="0" fontId="23" fillId="16" borderId="18" xfId="0" applyFont="1" applyFill="1" applyBorder="1"/>
    <xf numFmtId="2" fontId="23" fillId="16" borderId="18" xfId="0" applyNumberFormat="1" applyFont="1" applyFill="1" applyBorder="1"/>
    <xf numFmtId="169" fontId="24" fillId="17" borderId="18" xfId="0" applyNumberFormat="1" applyFont="1" applyFill="1" applyBorder="1"/>
    <xf numFmtId="171" fontId="24" fillId="17" borderId="18" xfId="0" applyNumberFormat="1" applyFont="1" applyFill="1" applyBorder="1"/>
    <xf numFmtId="2" fontId="0" fillId="3" borderId="0" xfId="0" applyNumberFormat="1" applyFill="1" applyAlignment="1">
      <alignment wrapText="1"/>
    </xf>
    <xf numFmtId="2" fontId="0" fillId="18" borderId="0" xfId="0" applyNumberFormat="1" applyFill="1"/>
    <xf numFmtId="2" fontId="0" fillId="18" borderId="8" xfId="0" applyNumberFormat="1" applyFill="1" applyBorder="1"/>
    <xf numFmtId="2" fontId="0" fillId="18" borderId="9" xfId="0" applyNumberFormat="1" applyFill="1" applyBorder="1"/>
    <xf numFmtId="2" fontId="0" fillId="18" borderId="10" xfId="0" applyNumberFormat="1" applyFill="1" applyBorder="1"/>
    <xf numFmtId="0" fontId="0" fillId="0" borderId="6" xfId="0" applyBorder="1"/>
    <xf numFmtId="0" fontId="0" fillId="0" borderId="7" xfId="0" applyBorder="1"/>
    <xf numFmtId="0" fontId="21" fillId="0" borderId="21" xfId="0" applyFont="1" applyBorder="1" applyAlignment="1">
      <alignment horizontal="center"/>
    </xf>
    <xf numFmtId="0" fontId="22" fillId="0" borderId="21" xfId="0" applyFont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6">
    <cellStyle name="Calculation" xfId="3" builtinId="22"/>
    <cellStyle name="Input" xfId="1" builtinId="20"/>
    <cellStyle name="Linked Cell" xfId="4" builtinId="24"/>
    <cellStyle name="Normal" xfId="0" builtinId="0"/>
    <cellStyle name="Normal 2" xfId="5" xr:uid="{D7E8506B-CBCD-8348-9CFC-3E9D0294CC9E}"/>
    <cellStyle name="Output" xfId="2" builtinId="21"/>
  </cellStyles>
  <dxfs count="0"/>
  <tableStyles count="0" defaultTableStyle="TableStyleMedium2" defaultPivotStyle="PivotStyleLight16"/>
  <colors>
    <mruColors>
      <color rgb="FFFFE7E5"/>
      <color rgb="FFFFF7B0"/>
      <color rgb="FFDCD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45rR/45rR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2295572072755354"/>
                  <c:y val="0.119953703703703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scale_normalization!$U$3:$U$17</c:f>
              <c:numCache>
                <c:formatCode>General</c:formatCode>
                <c:ptCount val="15"/>
                <c:pt idx="0">
                  <c:v>5.6690060748599133E-3</c:v>
                </c:pt>
                <c:pt idx="1">
                  <c:v>-3.3157633670658081E-3</c:v>
                </c:pt>
                <c:pt idx="2">
                  <c:v>3.8320385549917295E-4</c:v>
                </c:pt>
                <c:pt idx="3">
                  <c:v>6.3855513126554056E-3</c:v>
                </c:pt>
                <c:pt idx="4">
                  <c:v>-3.3736683280273967E-3</c:v>
                </c:pt>
                <c:pt idx="5">
                  <c:v>-8.2966123175853173E-4</c:v>
                </c:pt>
                <c:pt idx="6">
                  <c:v>5.0812199816469847E-3</c:v>
                </c:pt>
                <c:pt idx="7">
                  <c:v>-9.1141789753790732E-3</c:v>
                </c:pt>
                <c:pt idx="8">
                  <c:v>5.7029884167436144E-3</c:v>
                </c:pt>
                <c:pt idx="9">
                  <c:v>-3.5945739634335372E-3</c:v>
                </c:pt>
                <c:pt idx="10">
                  <c:v>1.7966870305363727E-4</c:v>
                </c:pt>
                <c:pt idx="11">
                  <c:v>4.8686826228146419E-3</c:v>
                </c:pt>
                <c:pt idx="12">
                  <c:v>5.6228928832132777E-3</c:v>
                </c:pt>
                <c:pt idx="13">
                  <c:v>-3.6734640658408848E-3</c:v>
                </c:pt>
                <c:pt idx="14">
                  <c:v>-6.5263177824188435E-3</c:v>
                </c:pt>
              </c:numCache>
            </c:numRef>
          </c:xVal>
          <c:yVal>
            <c:numRef>
              <c:f>scale_normalization!$W$3:$W$17</c:f>
              <c:numCache>
                <c:formatCode>General</c:formatCode>
                <c:ptCount val="15"/>
                <c:pt idx="0">
                  <c:v>5.9320472770020231E-3</c:v>
                </c:pt>
                <c:pt idx="1">
                  <c:v>-3.7106403264231301E-3</c:v>
                </c:pt>
                <c:pt idx="2">
                  <c:v>-2.6012135306176113E-4</c:v>
                </c:pt>
                <c:pt idx="3">
                  <c:v>5.9320472770020231E-3</c:v>
                </c:pt>
                <c:pt idx="4">
                  <c:v>-3.7106403264231301E-3</c:v>
                </c:pt>
                <c:pt idx="5">
                  <c:v>-2.6012135306176113E-4</c:v>
                </c:pt>
                <c:pt idx="6">
                  <c:v>5.9320472770020231E-3</c:v>
                </c:pt>
                <c:pt idx="8">
                  <c:v>5.9320472770020231E-3</c:v>
                </c:pt>
                <c:pt idx="9">
                  <c:v>-3.7106403264231301E-3</c:v>
                </c:pt>
                <c:pt idx="10">
                  <c:v>-2.6012135306176113E-4</c:v>
                </c:pt>
                <c:pt idx="11">
                  <c:v>5.9320472770020231E-3</c:v>
                </c:pt>
                <c:pt idx="12">
                  <c:v>5.9320472770020231E-3</c:v>
                </c:pt>
                <c:pt idx="13">
                  <c:v>-3.7106403264231301E-3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4B-AE4E-B90E-C7043A95B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0975360"/>
        <c:axId val="490977008"/>
      </c:scatterChart>
      <c:valAx>
        <c:axId val="490975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ln(size corrected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7008"/>
        <c:crossesAt val="-1.0000000000000002E-2"/>
        <c:crossBetween val="midCat"/>
      </c:valAx>
      <c:valAx>
        <c:axId val="490977008"/>
        <c:scaling>
          <c:orientation val="minMax"/>
          <c:min val="-1.0000000000000002E-2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ln(known 45rR/45rR)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975360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45rR/46rR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6.834176813712646E-2"/>
                  <c:y val="-1.82097550306211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scale_normalization!$V$3:$V$17</c:f>
              <c:numCache>
                <c:formatCode>General</c:formatCode>
                <c:ptCount val="15"/>
                <c:pt idx="0">
                  <c:v>7.4936919644022753E-3</c:v>
                </c:pt>
                <c:pt idx="1">
                  <c:v>-5.0356547842637621E-3</c:v>
                </c:pt>
                <c:pt idx="2">
                  <c:v>4.3013837783483656E-3</c:v>
                </c:pt>
                <c:pt idx="3">
                  <c:v>7.6776086292741075E-3</c:v>
                </c:pt>
                <c:pt idx="4">
                  <c:v>-4.8488753146248009E-3</c:v>
                </c:pt>
                <c:pt idx="5">
                  <c:v>2.3832486035312902E-3</c:v>
                </c:pt>
                <c:pt idx="6">
                  <c:v>5.6953639452707308E-3</c:v>
                </c:pt>
                <c:pt idx="7">
                  <c:v>4.9256582960658154E-3</c:v>
                </c:pt>
                <c:pt idx="8">
                  <c:v>5.4477259185061388E-3</c:v>
                </c:pt>
                <c:pt idx="9">
                  <c:v>-6.2381121983366193E-3</c:v>
                </c:pt>
                <c:pt idx="10">
                  <c:v>4.0262381999534996E-3</c:v>
                </c:pt>
                <c:pt idx="11">
                  <c:v>5.3456591947391319E-3</c:v>
                </c:pt>
                <c:pt idx="12">
                  <c:v>6.446829485110093E-3</c:v>
                </c:pt>
                <c:pt idx="13">
                  <c:v>-5.2698268942697113E-3</c:v>
                </c:pt>
                <c:pt idx="14">
                  <c:v>4.3905400058642007E-3</c:v>
                </c:pt>
              </c:numCache>
            </c:numRef>
          </c:xVal>
          <c:yVal>
            <c:numRef>
              <c:f>scale_normalization!$X$3:$X$17</c:f>
              <c:numCache>
                <c:formatCode>General</c:formatCode>
                <c:ptCount val="15"/>
                <c:pt idx="0">
                  <c:v>4.412758119012896E-3</c:v>
                </c:pt>
                <c:pt idx="1">
                  <c:v>-6.7895195007928941E-3</c:v>
                </c:pt>
                <c:pt idx="2">
                  <c:v>2.0837317813513596E-3</c:v>
                </c:pt>
                <c:pt idx="3">
                  <c:v>4.412758119012896E-3</c:v>
                </c:pt>
                <c:pt idx="4">
                  <c:v>-6.7895195007928941E-3</c:v>
                </c:pt>
                <c:pt idx="5">
                  <c:v>2.0837317813513596E-3</c:v>
                </c:pt>
                <c:pt idx="6">
                  <c:v>4.412758119012896E-3</c:v>
                </c:pt>
                <c:pt idx="8">
                  <c:v>4.412758119012896E-3</c:v>
                </c:pt>
                <c:pt idx="9">
                  <c:v>-6.7895195007928941E-3</c:v>
                </c:pt>
                <c:pt idx="10">
                  <c:v>2.0837317813513596E-3</c:v>
                </c:pt>
                <c:pt idx="11">
                  <c:v>4.412758119012896E-3</c:v>
                </c:pt>
                <c:pt idx="12">
                  <c:v>4.412758119012896E-3</c:v>
                </c:pt>
                <c:pt idx="13">
                  <c:v>-6.7895195007928941E-3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84-9746-BA0A-BB5E27D180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261856"/>
        <c:axId val="491263504"/>
      </c:scatterChart>
      <c:valAx>
        <c:axId val="491261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ln(size corrected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3504"/>
        <c:crossesAt val="-1.0000000000000002E-2"/>
        <c:crossBetween val="midCat"/>
      </c:valAx>
      <c:valAx>
        <c:axId val="49126350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ln(known 46rR/46rR)</a:t>
                </a:r>
                <a:endParaRPr lang="en-US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261856"/>
        <c:crossesAt val="-1.0000000000000002E-2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298450</xdr:colOff>
      <xdr:row>11</xdr:row>
      <xdr:rowOff>25400</xdr:rowOff>
    </xdr:from>
    <xdr:to>
      <xdr:col>10</xdr:col>
      <xdr:colOff>685800</xdr:colOff>
      <xdr:row>22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AAAFD0-27C3-376A-8A0B-790E693B6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1352550</xdr:colOff>
      <xdr:row>10</xdr:row>
      <xdr:rowOff>165100</xdr:rowOff>
    </xdr:from>
    <xdr:to>
      <xdr:col>13</xdr:col>
      <xdr:colOff>101600</xdr:colOff>
      <xdr:row>22</xdr:row>
      <xdr:rowOff>63500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7477B1C-0659-CC7F-0E76-B4DC57220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812C-3217-554B-B2A1-EA8A97EA775D}">
  <dimension ref="A1:BM54"/>
  <sheetViews>
    <sheetView tabSelected="1" topLeftCell="AL1" workbookViewId="0">
      <selection activeCell="AP3" sqref="AP3:AQ17"/>
    </sheetView>
  </sheetViews>
  <sheetFormatPr baseColWidth="10" defaultRowHeight="16"/>
  <cols>
    <col min="1" max="1" width="14.33203125" customWidth="1"/>
    <col min="4" max="4" width="14" customWidth="1"/>
    <col min="23" max="23" width="15.83203125" bestFit="1" customWidth="1"/>
    <col min="24" max="24" width="14.83203125" bestFit="1" customWidth="1"/>
    <col min="25" max="25" width="15.83203125" bestFit="1" customWidth="1"/>
    <col min="27" max="27" width="15.6640625" bestFit="1" customWidth="1"/>
    <col min="28" max="29" width="13.6640625" bestFit="1" customWidth="1"/>
    <col min="31" max="33" width="15.6640625" bestFit="1" customWidth="1"/>
    <col min="35" max="35" width="15.6640625" bestFit="1" customWidth="1"/>
    <col min="36" max="36" width="16.83203125" bestFit="1" customWidth="1"/>
    <col min="38" max="40" width="15.6640625" bestFit="1" customWidth="1"/>
    <col min="41" max="41" width="7.83203125" customWidth="1"/>
    <col min="42" max="42" width="9.6640625" style="54" customWidth="1"/>
    <col min="43" max="43" width="10.1640625" customWidth="1"/>
    <col min="44" max="44" width="15.6640625" customWidth="1"/>
    <col min="45" max="45" width="14.33203125" customWidth="1"/>
    <col min="46" max="48" width="10.83203125" style="43"/>
    <col min="51" max="51" width="13.5" customWidth="1"/>
  </cols>
  <sheetData>
    <row r="1" spans="1:65" ht="17" thickBot="1">
      <c r="A1" s="1" t="s">
        <v>117</v>
      </c>
      <c r="B1" s="1"/>
      <c r="C1" s="1" t="s">
        <v>116</v>
      </c>
      <c r="G1" s="1"/>
      <c r="W1" s="63" t="s">
        <v>96</v>
      </c>
      <c r="X1" s="2"/>
      <c r="Y1" s="3"/>
      <c r="AA1" s="4"/>
      <c r="AB1" s="5"/>
      <c r="AE1" s="6" t="s">
        <v>0</v>
      </c>
      <c r="AF1" s="7"/>
      <c r="AG1" s="7"/>
      <c r="AI1" s="65" t="s">
        <v>120</v>
      </c>
      <c r="AJ1" s="66"/>
      <c r="AL1" s="44" t="s">
        <v>178</v>
      </c>
      <c r="AM1" s="44"/>
      <c r="AN1" s="44"/>
      <c r="AO1" s="44"/>
      <c r="AP1" s="51"/>
      <c r="AQ1" s="44"/>
      <c r="AT1" s="113" t="s">
        <v>180</v>
      </c>
      <c r="AU1" s="113"/>
      <c r="AV1" s="113"/>
      <c r="AX1" s="38" t="s">
        <v>91</v>
      </c>
      <c r="AY1" s="38"/>
      <c r="AZ1" s="38" t="s">
        <v>45</v>
      </c>
      <c r="BA1" s="38"/>
      <c r="BB1" s="38"/>
      <c r="BC1" s="38" t="s">
        <v>46</v>
      </c>
      <c r="BE1" s="94" t="s">
        <v>161</v>
      </c>
      <c r="BF1" s="94"/>
      <c r="BG1" s="94"/>
      <c r="BH1" s="94"/>
      <c r="BI1" s="95"/>
      <c r="BJ1" s="96"/>
      <c r="BK1" s="96"/>
      <c r="BL1" s="96"/>
      <c r="BM1" s="96"/>
    </row>
    <row r="2" spans="1:65" ht="52" thickBot="1">
      <c r="A2" s="8" t="s">
        <v>93</v>
      </c>
      <c r="B2" s="8" t="s">
        <v>92</v>
      </c>
      <c r="C2" s="9" t="s">
        <v>1</v>
      </c>
      <c r="D2" s="10" t="s">
        <v>2</v>
      </c>
      <c r="E2" s="10" t="s">
        <v>3</v>
      </c>
      <c r="F2" s="11" t="s">
        <v>4</v>
      </c>
      <c r="G2" s="10" t="s">
        <v>5</v>
      </c>
      <c r="H2" s="10" t="s">
        <v>6</v>
      </c>
      <c r="I2" s="12" t="s">
        <v>7</v>
      </c>
      <c r="J2" s="11" t="s">
        <v>8</v>
      </c>
      <c r="K2" s="10" t="s">
        <v>9</v>
      </c>
      <c r="L2" s="10" t="s">
        <v>10</v>
      </c>
      <c r="M2" s="10" t="s">
        <v>11</v>
      </c>
      <c r="N2" s="10" t="s">
        <v>12</v>
      </c>
      <c r="O2" s="10" t="s">
        <v>13</v>
      </c>
      <c r="P2" s="10" t="s">
        <v>14</v>
      </c>
      <c r="Q2" s="10" t="s">
        <v>15</v>
      </c>
      <c r="R2" s="13"/>
      <c r="S2" s="14" t="s">
        <v>16</v>
      </c>
      <c r="T2" s="14" t="s">
        <v>17</v>
      </c>
      <c r="U2" s="14" t="s">
        <v>18</v>
      </c>
      <c r="V2" s="8"/>
      <c r="W2" s="15" t="s">
        <v>19</v>
      </c>
      <c r="X2" s="16" t="s">
        <v>20</v>
      </c>
      <c r="Y2" s="17" t="s">
        <v>21</v>
      </c>
      <c r="Z2" s="8"/>
      <c r="AA2" s="18" t="s">
        <v>22</v>
      </c>
      <c r="AB2" s="19" t="s">
        <v>23</v>
      </c>
      <c r="AC2" s="20" t="s">
        <v>24</v>
      </c>
      <c r="AD2" s="8"/>
      <c r="AE2" s="21" t="s">
        <v>25</v>
      </c>
      <c r="AF2" s="22" t="s">
        <v>26</v>
      </c>
      <c r="AG2" s="22" t="s">
        <v>27</v>
      </c>
      <c r="AI2" s="67" t="s">
        <v>118</v>
      </c>
      <c r="AJ2" s="67" t="s">
        <v>119</v>
      </c>
      <c r="AK2" s="23"/>
      <c r="AL2" s="48" t="s">
        <v>28</v>
      </c>
      <c r="AM2" s="45" t="s">
        <v>29</v>
      </c>
      <c r="AN2" s="45" t="s">
        <v>30</v>
      </c>
      <c r="AO2" s="45" t="s">
        <v>179</v>
      </c>
      <c r="AP2" s="52" t="s">
        <v>94</v>
      </c>
      <c r="AQ2" s="46" t="s">
        <v>95</v>
      </c>
      <c r="AR2" s="42" t="s">
        <v>74</v>
      </c>
      <c r="AS2" s="1" t="s">
        <v>73</v>
      </c>
      <c r="AT2" s="114" t="s">
        <v>33</v>
      </c>
      <c r="AU2" s="115" t="s">
        <v>47</v>
      </c>
      <c r="AV2" s="116" t="s">
        <v>34</v>
      </c>
      <c r="AX2" s="39" t="s">
        <v>31</v>
      </c>
      <c r="AY2" s="39" t="s">
        <v>32</v>
      </c>
      <c r="AZ2" s="39" t="s">
        <v>35</v>
      </c>
      <c r="BA2" s="39" t="s">
        <v>33</v>
      </c>
      <c r="BB2" s="39" t="s">
        <v>47</v>
      </c>
      <c r="BC2" s="40" t="s">
        <v>34</v>
      </c>
      <c r="BE2" s="97" t="s">
        <v>162</v>
      </c>
      <c r="BF2" s="97" t="s">
        <v>163</v>
      </c>
      <c r="BG2" s="97" t="s">
        <v>164</v>
      </c>
      <c r="BH2" s="97" t="s">
        <v>165</v>
      </c>
      <c r="BI2" s="98" t="s">
        <v>166</v>
      </c>
      <c r="BJ2" s="99" t="s">
        <v>167</v>
      </c>
      <c r="BK2" s="100" t="s">
        <v>168</v>
      </c>
      <c r="BL2" s="99" t="s">
        <v>169</v>
      </c>
      <c r="BM2" s="101" t="s">
        <v>168</v>
      </c>
    </row>
    <row r="3" spans="1:65" ht="17" thickBot="1">
      <c r="A3">
        <v>201204</v>
      </c>
      <c r="B3" t="str">
        <f>scale_normalization!A3</f>
        <v>ATM</v>
      </c>
      <c r="C3" s="41">
        <v>2</v>
      </c>
      <c r="D3" s="41" t="s">
        <v>40</v>
      </c>
      <c r="E3" s="41">
        <v>0</v>
      </c>
      <c r="F3" s="41">
        <v>5.4059999999999997</v>
      </c>
      <c r="G3" s="41">
        <v>46.78</v>
      </c>
      <c r="H3" s="41">
        <v>3.4780000000000002</v>
      </c>
      <c r="I3" s="41">
        <v>4.7690000000000001</v>
      </c>
      <c r="J3" s="41">
        <v>4.95</v>
      </c>
      <c r="K3" s="41">
        <v>2.1</v>
      </c>
      <c r="L3" s="41">
        <v>1547.6</v>
      </c>
      <c r="M3" s="41" t="s">
        <v>50</v>
      </c>
      <c r="N3" s="41">
        <v>44169.764756944445</v>
      </c>
      <c r="O3" s="41">
        <v>0.76603699999999997</v>
      </c>
      <c r="P3" s="41">
        <v>0.74141800000000002</v>
      </c>
      <c r="Q3" s="41">
        <v>0.43208400000000002</v>
      </c>
      <c r="S3" s="24">
        <v>0.76203100000000001</v>
      </c>
      <c r="T3" s="24">
        <v>0.73642510000000005</v>
      </c>
      <c r="U3" s="24">
        <v>0.42840719999999999</v>
      </c>
      <c r="W3" s="25">
        <v>3.7347517422551104E-3</v>
      </c>
      <c r="X3" s="26">
        <v>7.7410249496226297E-3</v>
      </c>
      <c r="Y3" s="27">
        <v>2.1012952215756198E-3</v>
      </c>
      <c r="AA3" s="28">
        <f>O3/S3</f>
        <v>1.0052570039801529</v>
      </c>
      <c r="AB3" s="29">
        <f t="shared" ref="AB3:AC17" si="0">P3/T3</f>
        <v>1.0067799155677881</v>
      </c>
      <c r="AC3" s="30">
        <f t="shared" si="0"/>
        <v>1.0085824888097119</v>
      </c>
      <c r="AE3" s="31">
        <f>$W$7*(20-I3)+AC3</f>
        <v>1.0094442361786187</v>
      </c>
      <c r="AF3" s="31">
        <f>$X$7*(20-I3)+AA3</f>
        <v>1.0056851052976181</v>
      </c>
      <c r="AG3" s="31">
        <f>$Y$7*(20-I3)+AB3</f>
        <v>1.0075218399408568</v>
      </c>
      <c r="AI3" s="68">
        <f>AF3^$X$11*EXP(X$12)</f>
        <v>1.0059968914794004</v>
      </c>
      <c r="AJ3" s="68">
        <f>AG3^$Y$11*EXP(Y$12)</f>
        <v>1.0054928361918907</v>
      </c>
      <c r="AK3" s="32"/>
      <c r="AL3" s="33">
        <f>AE3*$W$3</f>
        <v>3.7700236197774754E-3</v>
      </c>
      <c r="AM3" s="33">
        <f>AI3*$X$3</f>
        <v>7.7874470361848479E-3</v>
      </c>
      <c r="AN3" s="33">
        <f>AJ3*$Y$3</f>
        <v>2.1128372920185372E-3</v>
      </c>
      <c r="AO3" s="112">
        <v>0</v>
      </c>
      <c r="AP3" s="49">
        <v>0.18299621340752117</v>
      </c>
      <c r="AQ3" s="50">
        <v>9.0583232593247826E-2</v>
      </c>
      <c r="AR3" s="8">
        <f>A3</f>
        <v>201204</v>
      </c>
      <c r="AS3" t="str">
        <f>D3</f>
        <v>ATM_EQ_SW</v>
      </c>
      <c r="AT3" s="43">
        <v>6.2203181437037101</v>
      </c>
      <c r="AU3" s="43">
        <v>23.184854106174502</v>
      </c>
      <c r="AV3" s="43">
        <v>45.420222711976798</v>
      </c>
      <c r="AX3" s="43">
        <v>15.0999929772066</v>
      </c>
      <c r="AY3" s="43">
        <v>-2.65906639806534</v>
      </c>
      <c r="AZ3" s="43">
        <v>17.759059375271999</v>
      </c>
      <c r="BA3" s="43">
        <v>6.2204632895706498</v>
      </c>
      <c r="BB3" s="43">
        <v>23.184968719754199</v>
      </c>
      <c r="BC3" s="43">
        <v>45.420449658321701</v>
      </c>
      <c r="BE3">
        <v>265</v>
      </c>
      <c r="BF3">
        <v>109</v>
      </c>
      <c r="BG3">
        <f>BE3-BF3</f>
        <v>156</v>
      </c>
      <c r="BH3" t="s">
        <v>170</v>
      </c>
      <c r="BI3" s="69">
        <f>BG3*concentration_constants!$B$6</f>
        <v>0.15204678362573099</v>
      </c>
      <c r="BJ3" s="43">
        <f>I3*concentration_constants!$B$2+concentration_constants!$D$2</f>
        <v>2.3147589419488055</v>
      </c>
      <c r="BK3" s="43">
        <f>BJ3*concentration_constants!$B$3+concentration_constants!$D$3</f>
        <v>0.32759693848642901</v>
      </c>
      <c r="BL3" s="43">
        <f>BJ3/BI3</f>
        <v>15.223991502817144</v>
      </c>
      <c r="BM3" s="43">
        <f>BK3/BI3</f>
        <v>2.1545798646607448</v>
      </c>
    </row>
    <row r="4" spans="1:65" ht="17" thickBot="1">
      <c r="A4">
        <v>201205</v>
      </c>
      <c r="B4" t="str">
        <f>scale_normalization!A4</f>
        <v>S2</v>
      </c>
      <c r="C4" s="24">
        <v>1</v>
      </c>
      <c r="D4" s="24" t="s">
        <v>51</v>
      </c>
      <c r="E4" s="24">
        <v>0</v>
      </c>
      <c r="F4" s="24">
        <v>-3.6890000000000001</v>
      </c>
      <c r="G4" s="24">
        <v>33.856000000000002</v>
      </c>
      <c r="H4" s="24">
        <v>-2.9340000000000002</v>
      </c>
      <c r="I4" s="24">
        <v>6.2770000000000001</v>
      </c>
      <c r="J4" s="24">
        <v>6.5369999999999999</v>
      </c>
      <c r="K4" s="24" t="s">
        <v>52</v>
      </c>
      <c r="L4" s="24">
        <v>1546.3</v>
      </c>
      <c r="M4" s="24" t="s">
        <v>53</v>
      </c>
      <c r="N4" s="24" t="s">
        <v>54</v>
      </c>
      <c r="O4" s="24">
        <v>0.75906430000000003</v>
      </c>
      <c r="P4" s="24">
        <v>0.73224469999999997</v>
      </c>
      <c r="Q4" s="24">
        <v>0.42948419999999998</v>
      </c>
      <c r="S4" s="24">
        <v>0.76188020000000001</v>
      </c>
      <c r="T4" s="24">
        <v>0.73643610000000004</v>
      </c>
      <c r="U4" s="24">
        <v>0.42930239999999997</v>
      </c>
      <c r="AA4" s="28">
        <f t="shared" ref="AA4:AA17" si="1">O4/S4</f>
        <v>0.99630401210059016</v>
      </c>
      <c r="AB4" s="29">
        <f t="shared" si="0"/>
        <v>0.99430853539091846</v>
      </c>
      <c r="AC4" s="30">
        <f t="shared" si="0"/>
        <v>1.0004234777164069</v>
      </c>
      <c r="AE4" s="31">
        <f t="shared" ref="AE4:AE17" si="2">$W$7*(20-I4)+AC4</f>
        <v>1.0011999046840065</v>
      </c>
      <c r="AF4" s="31">
        <f t="shared" ref="AF4:AF17" si="3">$X$7*(20-I4)+AA4</f>
        <v>0.99668972770557829</v>
      </c>
      <c r="AG4" s="31">
        <f t="shared" ref="AG4:AG17" si="4">$Y$7*(20-I4)+AB4</f>
        <v>0.99497700286985102</v>
      </c>
      <c r="AI4" s="68">
        <f t="shared" ref="AI4:AI17" si="5">AF4^$X$11*EXP(X$12)</f>
        <v>0.99647928654867735</v>
      </c>
      <c r="AJ4" s="68">
        <f t="shared" ref="AJ4:AJ17" si="6">AG4^$Y$11*EXP(Y$12)</f>
        <v>0.99374694414430875</v>
      </c>
      <c r="AK4" s="32"/>
      <c r="AL4" s="33">
        <f t="shared" ref="AL4:AL17" si="7">AE4*$W$3</f>
        <v>3.7392330883642441E-3</v>
      </c>
      <c r="AM4" s="33">
        <f t="shared" ref="AM4:AM17" si="8">AI4*$X$3</f>
        <v>7.7137710189554686E-3</v>
      </c>
      <c r="AN4" s="33">
        <f t="shared" ref="AN4:AN17" si="9">AJ4*$Y$3</f>
        <v>2.0881557051858103E-3</v>
      </c>
      <c r="AO4" s="112">
        <v>0</v>
      </c>
      <c r="AP4" s="49">
        <v>0.18299621340752117</v>
      </c>
      <c r="AQ4" s="50">
        <v>9.0583232593247826E-2</v>
      </c>
      <c r="AR4" s="8">
        <f t="shared" ref="AR4:AR17" si="10">A4</f>
        <v>201205</v>
      </c>
      <c r="AS4" t="str">
        <f t="shared" ref="AS4:AS17" si="11">D4</f>
        <v>S2_ref_1</v>
      </c>
      <c r="AT4" s="43">
        <v>-3.4723263363131101</v>
      </c>
      <c r="AU4" s="43">
        <v>17.092027865309198</v>
      </c>
      <c r="AV4" s="43">
        <v>33.389515229178897</v>
      </c>
      <c r="AX4" s="43">
        <v>6.8686685500460802</v>
      </c>
      <c r="AY4" s="43">
        <v>-13.831339262750801</v>
      </c>
      <c r="AZ4" s="43">
        <v>20.700007812796901</v>
      </c>
      <c r="BA4" s="43">
        <v>-3.4813353563523601</v>
      </c>
      <c r="BB4" s="43">
        <v>17.0288966326066</v>
      </c>
      <c r="BC4" s="43">
        <v>33.265211051257197</v>
      </c>
      <c r="BE4">
        <v>265</v>
      </c>
      <c r="BF4">
        <v>109</v>
      </c>
      <c r="BG4">
        <f t="shared" ref="BG4:BG5" si="12">BE4-BF4</f>
        <v>156</v>
      </c>
      <c r="BH4" t="s">
        <v>39</v>
      </c>
      <c r="BI4" s="69">
        <f>BG4*concentration_constants!$F$6</f>
        <v>0.15628130635143259</v>
      </c>
      <c r="BJ4" s="43">
        <f>I4*concentration_constants!$B$2+concentration_constants!$D$2</f>
        <v>3.0120000289208293</v>
      </c>
      <c r="BK4" s="43">
        <f>BJ4*concentration_constants!$B$3+concentration_constants!$D$3</f>
        <v>0.33318789796769971</v>
      </c>
      <c r="BL4" s="43">
        <f t="shared" ref="BL4:BL5" si="13">BJ4/BI4</f>
        <v>19.272938646594689</v>
      </c>
      <c r="BM4" s="43">
        <f t="shared" ref="BM4:BM5" si="14">BK4/BI4</f>
        <v>2.1319753830215245</v>
      </c>
    </row>
    <row r="5" spans="1:65">
      <c r="A5">
        <v>201205</v>
      </c>
      <c r="B5" t="str">
        <f>scale_normalization!A5</f>
        <v>B6</v>
      </c>
      <c r="C5" s="24">
        <v>2</v>
      </c>
      <c r="D5" s="24" t="s">
        <v>55</v>
      </c>
      <c r="E5" s="24">
        <v>0</v>
      </c>
      <c r="F5" s="24">
        <v>0.36399999999999999</v>
      </c>
      <c r="G5" s="24">
        <v>44.33</v>
      </c>
      <c r="H5" s="24">
        <v>2.266</v>
      </c>
      <c r="I5" s="24">
        <v>21.184999999999999</v>
      </c>
      <c r="J5" s="24">
        <v>22.027999999999999</v>
      </c>
      <c r="K5" s="24" t="s">
        <v>56</v>
      </c>
      <c r="L5" s="24">
        <v>1545.8</v>
      </c>
      <c r="M5" s="24" t="s">
        <v>57</v>
      </c>
      <c r="N5" s="24" t="s">
        <v>58</v>
      </c>
      <c r="O5" s="24">
        <v>0.76222789999999996</v>
      </c>
      <c r="P5" s="24">
        <v>0.7396701</v>
      </c>
      <c r="Q5" s="24">
        <v>0.42810490000000001</v>
      </c>
      <c r="S5" s="24">
        <v>0.76191050000000005</v>
      </c>
      <c r="T5" s="24">
        <v>0.73645300000000002</v>
      </c>
      <c r="U5" s="24">
        <v>0.42933650000000001</v>
      </c>
      <c r="W5" s="63" t="s">
        <v>97</v>
      </c>
      <c r="X5" s="2"/>
      <c r="Y5" s="3"/>
      <c r="AA5" s="28">
        <f t="shared" si="1"/>
        <v>1.0004165843625989</v>
      </c>
      <c r="AB5" s="29">
        <f t="shared" si="0"/>
        <v>1.0043683710976803</v>
      </c>
      <c r="AC5" s="30">
        <f t="shared" si="0"/>
        <v>0.99713138761787079</v>
      </c>
      <c r="AE5" s="31">
        <f t="shared" si="2"/>
        <v>0.99706434207705574</v>
      </c>
      <c r="AF5" s="31">
        <f t="shared" si="3"/>
        <v>1.0003832772874761</v>
      </c>
      <c r="AG5" s="31">
        <f t="shared" si="4"/>
        <v>1.0043106480077921</v>
      </c>
      <c r="AI5" s="68">
        <f t="shared" si="5"/>
        <v>1.0003866651070386</v>
      </c>
      <c r="AJ5" s="68">
        <f t="shared" si="6"/>
        <v>1.0024870261627283</v>
      </c>
      <c r="AK5" s="32"/>
      <c r="AL5" s="33">
        <f t="shared" si="7"/>
        <v>3.7237877887127293E-3</v>
      </c>
      <c r="AM5" s="33">
        <f t="shared" si="8"/>
        <v>7.7440181338633632E-3</v>
      </c>
      <c r="AN5" s="33">
        <f t="shared" si="9"/>
        <v>2.1065211977672944E-3</v>
      </c>
      <c r="AO5" s="112">
        <v>0</v>
      </c>
      <c r="AP5" s="49">
        <v>0.18299621340752117</v>
      </c>
      <c r="AQ5" s="50">
        <v>9.0583232593247826E-2</v>
      </c>
      <c r="AR5" s="8">
        <f t="shared" si="10"/>
        <v>201205</v>
      </c>
      <c r="AS5" t="str">
        <f t="shared" si="11"/>
        <v>B6_ref_1</v>
      </c>
      <c r="AT5" s="43">
        <v>0.39399419819985398</v>
      </c>
      <c r="AU5" s="43">
        <v>21.639630589042699</v>
      </c>
      <c r="AV5" s="43">
        <v>42.362693025552701</v>
      </c>
      <c r="AX5" s="43">
        <v>-0.54495067572513101</v>
      </c>
      <c r="AY5" s="43">
        <v>1.33316893428658</v>
      </c>
      <c r="AZ5" s="43">
        <v>-1.8781196100117099</v>
      </c>
      <c r="BA5" s="43">
        <v>0.394109129280728</v>
      </c>
      <c r="BB5" s="43">
        <v>21.6379295492561</v>
      </c>
      <c r="BC5" s="43">
        <v>42.359329571039098</v>
      </c>
      <c r="BE5">
        <v>265</v>
      </c>
      <c r="BF5">
        <v>109</v>
      </c>
      <c r="BG5">
        <f t="shared" si="12"/>
        <v>156</v>
      </c>
      <c r="BH5" t="s">
        <v>39</v>
      </c>
      <c r="BI5" s="69">
        <f>BG5*concentration_constants!$F$6</f>
        <v>0.15628130635143259</v>
      </c>
      <c r="BJ5" s="43">
        <f>I5*concentration_constants!$B$2+concentration_constants!$D$2</f>
        <v>9.9048847269174694</v>
      </c>
      <c r="BK5" s="43">
        <f>BJ5*concentration_constants!$B$3+concentration_constants!$D$3</f>
        <v>0.38845979713665457</v>
      </c>
      <c r="BL5" s="43">
        <f t="shared" si="13"/>
        <v>63.378563682109089</v>
      </c>
      <c r="BM5" s="43">
        <f t="shared" si="14"/>
        <v>2.4856446762936448</v>
      </c>
    </row>
    <row r="6" spans="1:65">
      <c r="A6">
        <v>201205</v>
      </c>
      <c r="B6" t="str">
        <f>scale_normalization!A3</f>
        <v>ATM</v>
      </c>
      <c r="C6" s="24">
        <v>3</v>
      </c>
      <c r="D6" s="24" t="s">
        <v>48</v>
      </c>
      <c r="E6" s="24">
        <v>0</v>
      </c>
      <c r="F6" s="24">
        <v>6.1689999999999996</v>
      </c>
      <c r="G6" s="24">
        <v>46.973999999999997</v>
      </c>
      <c r="H6" s="24">
        <v>3.5739999999999998</v>
      </c>
      <c r="I6" s="24">
        <v>4.992</v>
      </c>
      <c r="J6" s="24">
        <v>5.1929999999999996</v>
      </c>
      <c r="K6" s="24" t="s">
        <v>43</v>
      </c>
      <c r="L6" s="24">
        <v>1546.9</v>
      </c>
      <c r="M6" s="24" t="s">
        <v>59</v>
      </c>
      <c r="N6" s="24" t="s">
        <v>60</v>
      </c>
      <c r="O6" s="24">
        <v>0.76655629999999997</v>
      </c>
      <c r="P6" s="24">
        <v>0.74166759999999998</v>
      </c>
      <c r="Q6" s="24">
        <v>0.43299870000000001</v>
      </c>
      <c r="S6" s="24">
        <v>0.76199640000000002</v>
      </c>
      <c r="T6" s="24">
        <v>0.73652949999999995</v>
      </c>
      <c r="U6" s="24">
        <v>0.42932169999999997</v>
      </c>
      <c r="W6" s="15" t="s">
        <v>19</v>
      </c>
      <c r="X6" s="16" t="s">
        <v>20</v>
      </c>
      <c r="Y6" s="17" t="s">
        <v>21</v>
      </c>
      <c r="AA6" s="28">
        <f t="shared" si="1"/>
        <v>1.0059841490064783</v>
      </c>
      <c r="AB6" s="29">
        <f t="shared" si="0"/>
        <v>1.0069760953227265</v>
      </c>
      <c r="AC6" s="30">
        <f t="shared" si="0"/>
        <v>1.008564673064511</v>
      </c>
      <c r="AE6" s="31">
        <f t="shared" si="2"/>
        <v>1.0094138034244713</v>
      </c>
      <c r="AF6" s="31">
        <f t="shared" si="3"/>
        <v>1.0064059824102283</v>
      </c>
      <c r="AG6" s="31">
        <f t="shared" si="4"/>
        <v>1.0077071570383731</v>
      </c>
      <c r="AI6" s="68">
        <f t="shared" si="5"/>
        <v>1.0067598334872758</v>
      </c>
      <c r="AJ6" s="68">
        <f t="shared" si="6"/>
        <v>1.0056662825571459</v>
      </c>
      <c r="AK6" s="32"/>
      <c r="AL6" s="33">
        <f t="shared" si="7"/>
        <v>3.7699099609959015E-3</v>
      </c>
      <c r="AM6" s="33">
        <f t="shared" si="8"/>
        <v>7.793352989302926E-3</v>
      </c>
      <c r="AN6" s="33">
        <f t="shared" si="9"/>
        <v>2.1132017540370475E-3</v>
      </c>
      <c r="AO6" s="112">
        <v>0</v>
      </c>
      <c r="AP6" s="49">
        <v>0.18299621340752117</v>
      </c>
      <c r="AQ6" s="50">
        <v>9.0583232593247826E-2</v>
      </c>
      <c r="AR6" s="8">
        <f t="shared" si="10"/>
        <v>201205</v>
      </c>
      <c r="AS6" t="str">
        <f t="shared" si="11"/>
        <v>ATM_EQ_SW_1</v>
      </c>
      <c r="AT6" s="43">
        <v>7.01905073292086</v>
      </c>
      <c r="AU6" s="43">
        <v>23.2705758467213</v>
      </c>
      <c r="AV6" s="43">
        <v>45.589966987490101</v>
      </c>
      <c r="AX6" s="43">
        <v>14.845855550435999</v>
      </c>
      <c r="AY6" s="43">
        <v>-0.80736955119242704</v>
      </c>
      <c r="AZ6" s="43">
        <v>15.653225101628401</v>
      </c>
      <c r="BA6" s="43">
        <v>7.0192429996218104</v>
      </c>
      <c r="BB6" s="43">
        <v>23.2705857507415</v>
      </c>
      <c r="BC6" s="43">
        <v>45.589986599980698</v>
      </c>
      <c r="BE6">
        <v>265</v>
      </c>
      <c r="BF6">
        <v>109</v>
      </c>
      <c r="BG6">
        <f t="shared" ref="BG6:BG17" si="15">BE6-BF6</f>
        <v>156</v>
      </c>
      <c r="BH6" t="s">
        <v>170</v>
      </c>
      <c r="BI6" s="69">
        <f>BG6*concentration_constants!$B$6</f>
        <v>0.15204678362573099</v>
      </c>
      <c r="BJ6" s="43">
        <f>I6*concentration_constants!$B$2+concentration_constants!$D$2</f>
        <v>2.4178655483113793</v>
      </c>
      <c r="BK6" s="43">
        <f>BJ6*concentration_constants!$B$3+concentration_constants!$D$3</f>
        <v>0.32842371830361955</v>
      </c>
      <c r="BL6" s="43">
        <f t="shared" ref="BL6:BL17" si="16">BJ6/BI6</f>
        <v>15.90211572158638</v>
      </c>
      <c r="BM6" s="43">
        <f t="shared" ref="BM6:BM17" si="17">BK6/BI6</f>
        <v>2.1600175319199595</v>
      </c>
    </row>
    <row r="7" spans="1:65" ht="17" thickBot="1">
      <c r="A7">
        <v>201205</v>
      </c>
      <c r="B7" t="str">
        <f>scale_normalization!A4</f>
        <v>S2</v>
      </c>
      <c r="C7" s="24">
        <v>4</v>
      </c>
      <c r="D7" s="24" t="s">
        <v>61</v>
      </c>
      <c r="E7" s="24">
        <v>0</v>
      </c>
      <c r="F7" s="24">
        <v>-2.8940000000000001</v>
      </c>
      <c r="G7" s="24">
        <v>35.591999999999999</v>
      </c>
      <c r="H7" s="24">
        <v>-2.0710000000000002</v>
      </c>
      <c r="I7" s="24">
        <v>36.725000000000001</v>
      </c>
      <c r="J7" s="24">
        <v>38.040999999999997</v>
      </c>
      <c r="K7" s="24" t="s">
        <v>56</v>
      </c>
      <c r="L7" s="24">
        <v>1546.2</v>
      </c>
      <c r="M7" s="24" t="s">
        <v>62</v>
      </c>
      <c r="N7" s="24" t="s">
        <v>63</v>
      </c>
      <c r="O7" s="24">
        <v>0.75979439999999998</v>
      </c>
      <c r="P7" s="24">
        <v>0.73348139999999995</v>
      </c>
      <c r="Q7" s="24">
        <v>0.4297725</v>
      </c>
      <c r="S7" s="24">
        <v>0.76200259999999997</v>
      </c>
      <c r="T7" s="24">
        <v>0.73644370000000003</v>
      </c>
      <c r="U7" s="24">
        <v>0.42891970000000001</v>
      </c>
      <c r="W7" s="34">
        <v>5.65785154557688E-5</v>
      </c>
      <c r="X7" s="35">
        <v>2.8107236390596598E-5</v>
      </c>
      <c r="Y7" s="36">
        <v>4.8711468260038703E-5</v>
      </c>
      <c r="AA7" s="28">
        <f t="shared" si="1"/>
        <v>0.99710210962534773</v>
      </c>
      <c r="AB7" s="29">
        <f t="shared" si="0"/>
        <v>0.99597756081014732</v>
      </c>
      <c r="AC7" s="30">
        <f t="shared" si="0"/>
        <v>1.0019882509476716</v>
      </c>
      <c r="AE7" s="31">
        <f t="shared" si="2"/>
        <v>1.0010419752766739</v>
      </c>
      <c r="AF7" s="31">
        <f t="shared" si="3"/>
        <v>0.99663201609671503</v>
      </c>
      <c r="AG7" s="31">
        <f t="shared" si="4"/>
        <v>0.9951628615034982</v>
      </c>
      <c r="AI7" s="68">
        <f t="shared" si="5"/>
        <v>0.99641824052375039</v>
      </c>
      <c r="AJ7" s="68">
        <f t="shared" si="6"/>
        <v>0.99392103287815814</v>
      </c>
      <c r="AK7" s="32"/>
      <c r="AL7" s="33">
        <f t="shared" si="7"/>
        <v>3.7386432612350551E-3</v>
      </c>
      <c r="AM7" s="33">
        <f t="shared" si="8"/>
        <v>7.713298460153434E-3</v>
      </c>
      <c r="AN7" s="33">
        <f t="shared" si="9"/>
        <v>2.0885215170103784E-3</v>
      </c>
      <c r="AO7" s="112">
        <v>0</v>
      </c>
      <c r="AP7" s="49">
        <v>0.18299621340752117</v>
      </c>
      <c r="AQ7" s="50">
        <v>9.0583232593247826E-2</v>
      </c>
      <c r="AR7" s="8">
        <f t="shared" si="10"/>
        <v>201205</v>
      </c>
      <c r="AS7" t="str">
        <f t="shared" si="11"/>
        <v>S2_ref_2</v>
      </c>
      <c r="AT7" s="43">
        <v>-3.5407865147798399</v>
      </c>
      <c r="AU7" s="43">
        <v>17.183123306251801</v>
      </c>
      <c r="AV7" s="43">
        <v>33.568893149070703</v>
      </c>
      <c r="AX7" s="43">
        <v>6.6516993692156099</v>
      </c>
      <c r="AY7" s="43">
        <v>-13.7525249566912</v>
      </c>
      <c r="AZ7" s="43">
        <v>20.404224325906799</v>
      </c>
      <c r="BA7" s="43">
        <v>-3.5504127937378001</v>
      </c>
      <c r="BB7" s="43">
        <v>17.121993750426299</v>
      </c>
      <c r="BC7" s="43">
        <v>33.448520011165101</v>
      </c>
      <c r="BE7">
        <v>265</v>
      </c>
      <c r="BF7">
        <v>109</v>
      </c>
      <c r="BG7">
        <f t="shared" si="15"/>
        <v>156</v>
      </c>
      <c r="BH7" t="s">
        <v>39</v>
      </c>
      <c r="BI7" s="69">
        <f>BG7*concentration_constants!$F$6</f>
        <v>0.15628130635143259</v>
      </c>
      <c r="BJ7" s="43">
        <f>I7*concentration_constants!$B$2+concentration_constants!$D$2</f>
        <v>17.089981869851989</v>
      </c>
      <c r="BK7" s="43">
        <f>BJ7*concentration_constants!$B$3+concentration_constants!$D$3</f>
        <v>0.44607485704311811</v>
      </c>
      <c r="BL7" s="43">
        <f t="shared" si="16"/>
        <v>109.35397373388625</v>
      </c>
      <c r="BM7" s="43">
        <f t="shared" si="17"/>
        <v>2.8543071942335927</v>
      </c>
    </row>
    <row r="8" spans="1:65" ht="17" thickBot="1">
      <c r="A8">
        <v>201205</v>
      </c>
      <c r="B8" t="str">
        <f>scale_normalization!A5</f>
        <v>B6</v>
      </c>
      <c r="C8" s="24">
        <v>5</v>
      </c>
      <c r="D8" s="24" t="s">
        <v>64</v>
      </c>
      <c r="E8" s="24">
        <v>0</v>
      </c>
      <c r="F8" s="24">
        <v>-0.86599999999999999</v>
      </c>
      <c r="G8" s="24">
        <v>42.325000000000003</v>
      </c>
      <c r="H8" s="24">
        <v>1.272</v>
      </c>
      <c r="I8" s="24">
        <v>21.033999999999999</v>
      </c>
      <c r="J8" s="24">
        <v>21.866</v>
      </c>
      <c r="K8" s="24" t="s">
        <v>65</v>
      </c>
      <c r="L8" s="24">
        <v>1550.8</v>
      </c>
      <c r="M8" s="24" t="s">
        <v>66</v>
      </c>
      <c r="N8" s="24" t="s">
        <v>67</v>
      </c>
      <c r="O8" s="24">
        <v>0.76139800000000002</v>
      </c>
      <c r="P8" s="24">
        <v>0.73827319999999996</v>
      </c>
      <c r="Q8" s="24">
        <v>0.4269908</v>
      </c>
      <c r="S8" s="24">
        <v>0.76200780000000001</v>
      </c>
      <c r="T8" s="24">
        <v>0.73647879999999999</v>
      </c>
      <c r="U8" s="24">
        <v>0.42855359999999998</v>
      </c>
      <c r="AA8" s="28">
        <f t="shared" si="1"/>
        <v>0.99919974572438763</v>
      </c>
      <c r="AB8" s="29">
        <f t="shared" si="0"/>
        <v>1.0024364584561021</v>
      </c>
      <c r="AC8" s="30">
        <f t="shared" si="0"/>
        <v>0.99635331496456925</v>
      </c>
      <c r="AE8" s="31">
        <f t="shared" si="2"/>
        <v>0.99629481277958798</v>
      </c>
      <c r="AF8" s="31">
        <f t="shared" si="3"/>
        <v>0.99917068284195976</v>
      </c>
      <c r="AG8" s="31">
        <f t="shared" si="4"/>
        <v>1.0023860907979212</v>
      </c>
      <c r="AI8" s="68">
        <f t="shared" si="5"/>
        <v>0.99910377807114037</v>
      </c>
      <c r="AJ8" s="68">
        <f t="shared" si="6"/>
        <v>1.0006852738529772</v>
      </c>
      <c r="AK8" s="32"/>
      <c r="AL8" s="33">
        <f t="shared" si="7"/>
        <v>3.7209137878282954E-3</v>
      </c>
      <c r="AM8" s="33">
        <f t="shared" si="8"/>
        <v>7.7340872733109283E-3</v>
      </c>
      <c r="AN8" s="33">
        <f t="shared" si="9"/>
        <v>2.1027351842483515E-3</v>
      </c>
      <c r="AO8" s="112">
        <v>0</v>
      </c>
      <c r="AP8" s="49">
        <v>0.18299621340752117</v>
      </c>
      <c r="AQ8" s="50">
        <v>9.0583232593247826E-2</v>
      </c>
      <c r="AR8" s="8">
        <f t="shared" si="10"/>
        <v>201205</v>
      </c>
      <c r="AS8" t="str">
        <f t="shared" si="11"/>
        <v>B6_ref_2</v>
      </c>
      <c r="AT8" s="43">
        <v>-0.90723617820675995</v>
      </c>
      <c r="AU8" s="43">
        <v>20.700616843694</v>
      </c>
      <c r="AV8" s="43">
        <v>40.5067863924302</v>
      </c>
      <c r="AX8" s="43">
        <v>-1.1614488103544001</v>
      </c>
      <c r="AY8" s="43">
        <v>-0.65387448217857302</v>
      </c>
      <c r="AZ8" s="43">
        <v>-0.50757432817583004</v>
      </c>
      <c r="BA8" s="43">
        <v>-0.90766164626648804</v>
      </c>
      <c r="BB8" s="43">
        <v>20.6931018581875</v>
      </c>
      <c r="BC8" s="43">
        <v>40.491939912826503</v>
      </c>
      <c r="BE8">
        <v>265</v>
      </c>
      <c r="BF8">
        <v>109</v>
      </c>
      <c r="BG8">
        <f t="shared" si="15"/>
        <v>156</v>
      </c>
      <c r="BH8" t="s">
        <v>39</v>
      </c>
      <c r="BI8" s="69">
        <f>BG8*concentration_constants!$F$6</f>
        <v>0.15628130635143259</v>
      </c>
      <c r="BJ8" s="43">
        <f>I8*concentration_constants!$B$2+concentration_constants!$D$2</f>
        <v>9.8350681459275666</v>
      </c>
      <c r="BK8" s="43">
        <f>BJ8*concentration_constants!$B$3+concentration_constants!$D$3</f>
        <v>0.387899959681965</v>
      </c>
      <c r="BL8" s="43">
        <f t="shared" si="16"/>
        <v>62.931827072210872</v>
      </c>
      <c r="BM8" s="43">
        <f t="shared" si="17"/>
        <v>2.4820624343239581</v>
      </c>
    </row>
    <row r="9" spans="1:65">
      <c r="A9">
        <v>201205</v>
      </c>
      <c r="B9" t="str">
        <f>scale_normalization!A3</f>
        <v>ATM</v>
      </c>
      <c r="C9" s="24">
        <v>6</v>
      </c>
      <c r="D9" s="24" t="s">
        <v>49</v>
      </c>
      <c r="E9" s="24">
        <v>0</v>
      </c>
      <c r="F9" s="24">
        <v>4.8410000000000002</v>
      </c>
      <c r="G9" s="24">
        <v>44.902999999999999</v>
      </c>
      <c r="H9" s="24">
        <v>2.5489999999999999</v>
      </c>
      <c r="I9" s="24">
        <v>4.9820000000000002</v>
      </c>
      <c r="J9" s="24">
        <v>5.1920000000000002</v>
      </c>
      <c r="K9" s="24" t="s">
        <v>41</v>
      </c>
      <c r="L9" s="24">
        <v>1550.5</v>
      </c>
      <c r="M9" s="24" t="s">
        <v>68</v>
      </c>
      <c r="N9" s="24" t="s">
        <v>69</v>
      </c>
      <c r="O9" s="24">
        <v>0.76554029999999995</v>
      </c>
      <c r="P9" s="24">
        <v>0.74014409999999997</v>
      </c>
      <c r="Q9" s="24">
        <v>0.4323824</v>
      </c>
      <c r="S9" s="24">
        <v>0.76198030000000005</v>
      </c>
      <c r="T9" s="24">
        <v>0.73647640000000003</v>
      </c>
      <c r="U9" s="24">
        <v>0.42850050000000001</v>
      </c>
      <c r="W9" s="63" t="s">
        <v>183</v>
      </c>
      <c r="X9" s="2"/>
      <c r="Y9" s="3"/>
      <c r="AA9" s="28">
        <f t="shared" si="1"/>
        <v>1.0046720367967517</v>
      </c>
      <c r="AB9" s="29">
        <f t="shared" si="0"/>
        <v>1.004980064534315</v>
      </c>
      <c r="AC9" s="30">
        <f t="shared" si="0"/>
        <v>1.0090592659751856</v>
      </c>
      <c r="AE9" s="31">
        <f t="shared" si="2"/>
        <v>1.0099089621203003</v>
      </c>
      <c r="AF9" s="31">
        <f t="shared" si="3"/>
        <v>1.0050941512728657</v>
      </c>
      <c r="AG9" s="31">
        <f t="shared" si="4"/>
        <v>1.0057116133646442</v>
      </c>
      <c r="AI9" s="68">
        <f t="shared" si="5"/>
        <v>1.0053714775393894</v>
      </c>
      <c r="AJ9" s="68">
        <f t="shared" si="6"/>
        <v>1.0037984617171607</v>
      </c>
      <c r="AL9" s="33">
        <f t="shared" si="7"/>
        <v>3.7717592557978421E-3</v>
      </c>
      <c r="AM9" s="33">
        <f t="shared" si="8"/>
        <v>7.7826056912713801E-3</v>
      </c>
      <c r="AN9" s="33">
        <f t="shared" si="9"/>
        <v>2.1092769110312277E-3</v>
      </c>
      <c r="AO9" s="112">
        <v>0</v>
      </c>
      <c r="AP9" s="49">
        <v>0.18299621340752117</v>
      </c>
      <c r="AQ9" s="50">
        <v>9.0583232593247826E-2</v>
      </c>
      <c r="AR9" s="8">
        <f t="shared" si="10"/>
        <v>201205</v>
      </c>
      <c r="AS9" t="str">
        <f t="shared" si="11"/>
        <v>ATM_EQ_SW_2</v>
      </c>
      <c r="AT9" s="43">
        <v>5.6080109260125903</v>
      </c>
      <c r="AU9" s="43">
        <v>22.293017038728699</v>
      </c>
      <c r="AV9" s="43">
        <v>43.655018162835397</v>
      </c>
      <c r="AX9" s="43">
        <v>16.0311013691021</v>
      </c>
      <c r="AY9" s="43">
        <v>-4.81486472977421</v>
      </c>
      <c r="AZ9" s="43">
        <v>20.8459660988763</v>
      </c>
      <c r="BA9" s="43">
        <v>5.6081183196639497</v>
      </c>
      <c r="BB9" s="43">
        <v>22.293227867574402</v>
      </c>
      <c r="BC9" s="43">
        <v>43.655435283727499</v>
      </c>
      <c r="BE9">
        <v>265</v>
      </c>
      <c r="BF9">
        <v>109</v>
      </c>
      <c r="BG9">
        <f t="shared" si="15"/>
        <v>156</v>
      </c>
      <c r="BH9" t="s">
        <v>170</v>
      </c>
      <c r="BI9" s="69">
        <f>BG9*concentration_constants!$B$6</f>
        <v>0.15204678362573099</v>
      </c>
      <c r="BJ9" s="43">
        <f>I9*concentration_constants!$B$2+concentration_constants!$D$2</f>
        <v>2.4132419336762863</v>
      </c>
      <c r="BK9" s="43">
        <f>BJ9*concentration_constants!$B$3+concentration_constants!$D$3</f>
        <v>0.32838664297549441</v>
      </c>
      <c r="BL9" s="43">
        <f t="shared" si="16"/>
        <v>15.871706563794037</v>
      </c>
      <c r="BM9" s="43">
        <f t="shared" si="17"/>
        <v>2.1597736903388287</v>
      </c>
    </row>
    <row r="10" spans="1:65">
      <c r="A10">
        <v>201205</v>
      </c>
      <c r="C10" s="24">
        <v>7</v>
      </c>
      <c r="D10" s="24" t="s">
        <v>39</v>
      </c>
      <c r="E10" s="24">
        <v>0</v>
      </c>
      <c r="F10" s="24">
        <v>-9.7609999999999992</v>
      </c>
      <c r="G10" s="24">
        <v>44.924999999999997</v>
      </c>
      <c r="H10" s="24">
        <v>2.56</v>
      </c>
      <c r="I10" s="24">
        <v>17.010000000000002</v>
      </c>
      <c r="J10" s="24">
        <v>17.718</v>
      </c>
      <c r="K10" s="24" t="s">
        <v>70</v>
      </c>
      <c r="L10" s="24">
        <v>1550.8</v>
      </c>
      <c r="M10" s="24" t="s">
        <v>71</v>
      </c>
      <c r="N10" s="24" t="s">
        <v>72</v>
      </c>
      <c r="O10" s="24">
        <v>0.75499110000000003</v>
      </c>
      <c r="P10" s="24">
        <v>0.74002369999999995</v>
      </c>
      <c r="Q10" s="24">
        <v>0.4309752</v>
      </c>
      <c r="S10" s="24">
        <v>0.76196830000000004</v>
      </c>
      <c r="T10" s="24">
        <v>0.73649430000000005</v>
      </c>
      <c r="U10" s="24">
        <v>0.42850440000000001</v>
      </c>
      <c r="W10" s="15" t="s">
        <v>184</v>
      </c>
      <c r="X10" s="16" t="s">
        <v>20</v>
      </c>
      <c r="Y10" s="17" t="s">
        <v>21</v>
      </c>
      <c r="AA10" s="28">
        <f t="shared" si="1"/>
        <v>0.99084318862083898</v>
      </c>
      <c r="AB10" s="29">
        <f t="shared" si="0"/>
        <v>1.0047921620031546</v>
      </c>
      <c r="AC10" s="30">
        <f t="shared" si="0"/>
        <v>1.0057661018183244</v>
      </c>
      <c r="AE10" s="31">
        <f t="shared" si="2"/>
        <v>1.0059352715795371</v>
      </c>
      <c r="AF10" s="31">
        <f t="shared" si="3"/>
        <v>0.99092722925764687</v>
      </c>
      <c r="AG10" s="31">
        <f t="shared" si="4"/>
        <v>1.0049378092932522</v>
      </c>
      <c r="AI10" s="68">
        <f t="shared" si="5"/>
        <v>0.99038486066119624</v>
      </c>
      <c r="AJ10" s="68">
        <f t="shared" si="6"/>
        <v>1.0030741222584652</v>
      </c>
      <c r="AL10" s="33">
        <f t="shared" si="7"/>
        <v>3.7569185081275437E-3</v>
      </c>
      <c r="AM10" s="33">
        <f t="shared" si="8"/>
        <v>7.666593916106852E-3</v>
      </c>
      <c r="AN10" s="33">
        <f t="shared" si="9"/>
        <v>2.107754859987872E-3</v>
      </c>
      <c r="AO10" s="112">
        <v>0</v>
      </c>
      <c r="AP10" s="49">
        <v>0.18299621340752117</v>
      </c>
      <c r="AQ10" s="50">
        <v>9.0583232593247826E-2</v>
      </c>
      <c r="AR10" s="8">
        <f t="shared" si="10"/>
        <v>201205</v>
      </c>
      <c r="AS10" t="str">
        <f t="shared" si="11"/>
        <v>DI</v>
      </c>
      <c r="AT10" s="43">
        <v>-10.052400659984499</v>
      </c>
      <c r="AU10" s="43">
        <v>22.0121715199808</v>
      </c>
      <c r="AV10" s="43">
        <v>43.099442249421699</v>
      </c>
      <c r="AX10" s="43">
        <v>14.4551675980744</v>
      </c>
      <c r="AY10" s="43">
        <v>-34.766678408197102</v>
      </c>
      <c r="AZ10" s="43">
        <v>49.221846006271498</v>
      </c>
      <c r="BA10" s="43">
        <v>-10.155755405061299</v>
      </c>
      <c r="BB10" s="43">
        <v>22.029969992809399</v>
      </c>
      <c r="BC10" s="43">
        <v>43.134647401975798</v>
      </c>
      <c r="BE10">
        <v>265</v>
      </c>
      <c r="BF10">
        <v>109</v>
      </c>
      <c r="BG10">
        <f t="shared" si="15"/>
        <v>156</v>
      </c>
      <c r="BH10" t="s">
        <v>39</v>
      </c>
      <c r="BI10" s="69">
        <f>BG10*concentration_constants!$F$6</f>
        <v>0.15628130635143259</v>
      </c>
      <c r="BJ10" s="43">
        <f>I10*concentration_constants!$B$2+concentration_constants!$D$2</f>
        <v>7.9745256167661447</v>
      </c>
      <c r="BK10" s="43">
        <f>BJ10*concentration_constants!$B$3+concentration_constants!$D$3</f>
        <v>0.3729808476444097</v>
      </c>
      <c r="BL10" s="43">
        <f t="shared" si="16"/>
        <v>51.026740196512598</v>
      </c>
      <c r="BM10" s="43">
        <f t="shared" si="17"/>
        <v>2.386599244350319</v>
      </c>
    </row>
    <row r="11" spans="1:65">
      <c r="A11">
        <v>201207</v>
      </c>
      <c r="B11" t="str">
        <f>scale_normalization!A3</f>
        <v>ATM</v>
      </c>
      <c r="C11" s="24">
        <v>1</v>
      </c>
      <c r="D11" s="24" t="s">
        <v>48</v>
      </c>
      <c r="E11" s="24">
        <v>0</v>
      </c>
      <c r="F11">
        <v>5.4989999999999997</v>
      </c>
      <c r="G11">
        <v>44.616</v>
      </c>
      <c r="H11">
        <v>2.407</v>
      </c>
      <c r="I11">
        <v>4.6529999999999996</v>
      </c>
      <c r="J11">
        <v>4.8600000000000003</v>
      </c>
      <c r="K11" t="s">
        <v>44</v>
      </c>
      <c r="L11" s="24">
        <v>1550.3</v>
      </c>
      <c r="M11" s="24" t="s">
        <v>75</v>
      </c>
      <c r="N11" s="24" t="s">
        <v>76</v>
      </c>
      <c r="O11">
        <v>0.76570720000000003</v>
      </c>
      <c r="P11">
        <v>0.73973610000000001</v>
      </c>
      <c r="Q11">
        <v>0.43345840000000002</v>
      </c>
      <c r="S11">
        <v>0.76167949999999995</v>
      </c>
      <c r="T11">
        <v>0.73626460000000005</v>
      </c>
      <c r="U11">
        <v>0.42918780000000001</v>
      </c>
      <c r="W11" s="117" t="s">
        <v>181</v>
      </c>
      <c r="X11">
        <f>scale_normalization!Y3</f>
        <v>1.058002378564959</v>
      </c>
      <c r="Y11" s="118">
        <f>scale_normalization!Z3</f>
        <v>0.9378376950888252</v>
      </c>
      <c r="AA11" s="28">
        <f t="shared" si="1"/>
        <v>1.0052879196564961</v>
      </c>
      <c r="AB11" s="29">
        <f t="shared" si="0"/>
        <v>1.0047150168567116</v>
      </c>
      <c r="AC11" s="30">
        <f t="shared" si="0"/>
        <v>1.0099504226354989</v>
      </c>
      <c r="AE11" s="31">
        <f t="shared" si="2"/>
        <v>1.0108187331121987</v>
      </c>
      <c r="AF11" s="31">
        <f t="shared" si="3"/>
        <v>1.0057192814133826</v>
      </c>
      <c r="AG11" s="31">
        <f t="shared" si="4"/>
        <v>1.0054625917600983</v>
      </c>
      <c r="AI11" s="68">
        <f t="shared" si="5"/>
        <v>1.0060330611367791</v>
      </c>
      <c r="AJ11" s="68">
        <f t="shared" si="6"/>
        <v>1.0035653623389771</v>
      </c>
      <c r="AL11" s="33">
        <f t="shared" si="7"/>
        <v>3.7751570245948877E-3</v>
      </c>
      <c r="AM11" s="33">
        <f t="shared" si="8"/>
        <v>7.7877270264050356E-3</v>
      </c>
      <c r="AN11" s="33">
        <f t="shared" si="9"/>
        <v>2.1087871004216979E-3</v>
      </c>
      <c r="AO11" s="112">
        <v>0</v>
      </c>
      <c r="AP11" s="49">
        <v>0.18299621340752117</v>
      </c>
      <c r="AQ11" s="50">
        <v>9.0583232593247826E-2</v>
      </c>
      <c r="AR11" s="8">
        <f t="shared" si="10"/>
        <v>201207</v>
      </c>
      <c r="AS11" t="str">
        <f t="shared" si="11"/>
        <v>ATM_EQ_SW_1</v>
      </c>
      <c r="AT11" s="43">
        <v>6.3111217793201302</v>
      </c>
      <c r="AU11" s="43">
        <v>22.1643449518136</v>
      </c>
      <c r="AV11" s="43">
        <v>43.400457919649099</v>
      </c>
      <c r="AX11" s="43">
        <v>17.146301255620699</v>
      </c>
      <c r="AY11" s="43">
        <v>-4.5237796819513898</v>
      </c>
      <c r="AZ11" s="43">
        <v>21.670080937572099</v>
      </c>
      <c r="BA11" s="43">
        <v>6.3112607868346897</v>
      </c>
      <c r="BB11" s="43">
        <v>22.164584994576799</v>
      </c>
      <c r="BC11" s="43">
        <v>43.400932783662597</v>
      </c>
      <c r="BE11">
        <v>265</v>
      </c>
      <c r="BF11">
        <v>109</v>
      </c>
      <c r="BG11">
        <f t="shared" si="15"/>
        <v>156</v>
      </c>
      <c r="BH11" t="s">
        <v>170</v>
      </c>
      <c r="BI11" s="69">
        <f>BG11*concentration_constants!$B$6</f>
        <v>0.15204678362573099</v>
      </c>
      <c r="BJ11" s="43">
        <f>I11*concentration_constants!$B$2+concentration_constants!$D$2</f>
        <v>2.2611250121817261</v>
      </c>
      <c r="BK11" s="43">
        <f>BJ11*concentration_constants!$B$3+concentration_constants!$D$3</f>
        <v>0.32716686468017736</v>
      </c>
      <c r="BL11" s="43">
        <f t="shared" si="16"/>
        <v>14.871245272425968</v>
      </c>
      <c r="BM11" s="43">
        <f t="shared" si="17"/>
        <v>2.151751302319628</v>
      </c>
    </row>
    <row r="12" spans="1:65" ht="17" thickBot="1">
      <c r="A12">
        <v>201207</v>
      </c>
      <c r="B12" t="str">
        <f>scale_normalization!A4</f>
        <v>S2</v>
      </c>
      <c r="C12" s="24">
        <v>2</v>
      </c>
      <c r="D12" s="24" t="s">
        <v>51</v>
      </c>
      <c r="E12" s="24">
        <v>0</v>
      </c>
      <c r="F12">
        <v>-3.9079999999999999</v>
      </c>
      <c r="G12">
        <v>32.677999999999997</v>
      </c>
      <c r="H12">
        <v>-3.52</v>
      </c>
      <c r="I12">
        <v>7.6840000000000002</v>
      </c>
      <c r="J12">
        <v>8.0129999999999999</v>
      </c>
      <c r="K12" t="s">
        <v>41</v>
      </c>
      <c r="L12" s="24">
        <v>1549.8</v>
      </c>
      <c r="M12" s="24" t="s">
        <v>77</v>
      </c>
      <c r="N12" s="24" t="s">
        <v>78</v>
      </c>
      <c r="O12">
        <v>0.75864030000000005</v>
      </c>
      <c r="P12">
        <v>0.73124239999999996</v>
      </c>
      <c r="Q12">
        <v>0.42946529999999999</v>
      </c>
      <c r="S12">
        <v>0.7616368</v>
      </c>
      <c r="T12">
        <v>0.73626270000000005</v>
      </c>
      <c r="U12">
        <v>0.42925489999999999</v>
      </c>
      <c r="W12" s="34" t="s">
        <v>182</v>
      </c>
      <c r="X12" s="35">
        <f>scale_normalization!Y4</f>
        <v>-1.8840219242949102E-5</v>
      </c>
      <c r="Y12" s="36">
        <f>scale_normalization!Z4</f>
        <v>-1.5500612170959347E-3</v>
      </c>
      <c r="AA12" s="28">
        <f t="shared" si="1"/>
        <v>0.99606571006022826</v>
      </c>
      <c r="AB12" s="29">
        <f t="shared" si="0"/>
        <v>0.99318137398512774</v>
      </c>
      <c r="AC12" s="30">
        <f t="shared" si="0"/>
        <v>1.0004901516558111</v>
      </c>
      <c r="AE12" s="31">
        <f t="shared" si="2"/>
        <v>1.0011869726521643</v>
      </c>
      <c r="AF12" s="31">
        <f t="shared" si="3"/>
        <v>0.99641187878361481</v>
      </c>
      <c r="AG12" s="31">
        <f t="shared" si="4"/>
        <v>0.99378130442821833</v>
      </c>
      <c r="AI12" s="68">
        <f t="shared" si="5"/>
        <v>0.99618538617244334</v>
      </c>
      <c r="AJ12" s="68">
        <f t="shared" si="6"/>
        <v>0.99262691753881871</v>
      </c>
      <c r="AL12" s="33">
        <f t="shared" si="7"/>
        <v>3.7391847904357902E-3</v>
      </c>
      <c r="AM12" s="33">
        <f t="shared" si="8"/>
        <v>7.7114959288103382E-3</v>
      </c>
      <c r="AN12" s="33">
        <f t="shared" si="9"/>
        <v>2.0858021986316566E-3</v>
      </c>
      <c r="AO12" s="112">
        <v>0</v>
      </c>
      <c r="AP12" s="49">
        <v>0.18299621340752117</v>
      </c>
      <c r="AQ12" s="50">
        <v>9.0583232593247826E-2</v>
      </c>
      <c r="AR12" s="8">
        <f t="shared" si="10"/>
        <v>201207</v>
      </c>
      <c r="AS12" t="str">
        <f t="shared" si="11"/>
        <v>S2_ref_1</v>
      </c>
      <c r="AT12" s="43">
        <v>-3.7497609373313701</v>
      </c>
      <c r="AU12" s="43">
        <v>16.512319852568901</v>
      </c>
      <c r="AV12" s="43">
        <v>32.248353248248002</v>
      </c>
      <c r="AX12" s="43">
        <v>7.0048775581035203</v>
      </c>
      <c r="AY12" s="43">
        <v>-14.525017340220099</v>
      </c>
      <c r="AZ12" s="43">
        <v>21.529894898323601</v>
      </c>
      <c r="BA12" s="43">
        <v>-3.7600698910583099</v>
      </c>
      <c r="BB12" s="43">
        <v>16.435174307159699</v>
      </c>
      <c r="BC12" s="43">
        <v>32.096537352544999</v>
      </c>
      <c r="BE12">
        <v>265</v>
      </c>
      <c r="BF12">
        <v>109</v>
      </c>
      <c r="BG12">
        <f t="shared" si="15"/>
        <v>156</v>
      </c>
      <c r="BH12" t="s">
        <v>39</v>
      </c>
      <c r="BI12" s="69">
        <f>BG12*concentration_constants!$F$6</f>
        <v>0.15628130635143259</v>
      </c>
      <c r="BJ12" s="43">
        <f>I12*concentration_constants!$B$2+concentration_constants!$D$2</f>
        <v>3.6625426080784145</v>
      </c>
      <c r="BK12" s="43">
        <f>BJ12*concentration_constants!$B$3+concentration_constants!$D$3</f>
        <v>0.33840439663490651</v>
      </c>
      <c r="BL12" s="43">
        <f t="shared" si="16"/>
        <v>23.435577124255598</v>
      </c>
      <c r="BM12" s="43">
        <f t="shared" si="17"/>
        <v>2.1653542866728439</v>
      </c>
    </row>
    <row r="13" spans="1:65">
      <c r="A13">
        <v>201207</v>
      </c>
      <c r="B13" t="str">
        <f>scale_normalization!A5</f>
        <v>B6</v>
      </c>
      <c r="C13" s="24">
        <v>3</v>
      </c>
      <c r="D13" s="24" t="s">
        <v>55</v>
      </c>
      <c r="E13" s="24">
        <v>0</v>
      </c>
      <c r="F13">
        <v>0.13800000000000001</v>
      </c>
      <c r="G13">
        <v>44.011000000000003</v>
      </c>
      <c r="H13">
        <v>2.1080000000000001</v>
      </c>
      <c r="I13">
        <v>20.544</v>
      </c>
      <c r="J13">
        <v>21.38</v>
      </c>
      <c r="K13" t="s">
        <v>90</v>
      </c>
      <c r="L13" s="24">
        <v>1548.9</v>
      </c>
      <c r="M13" s="24" t="s">
        <v>79</v>
      </c>
      <c r="N13" s="24" t="s">
        <v>80</v>
      </c>
      <c r="O13">
        <v>0.76178389999999996</v>
      </c>
      <c r="P13">
        <v>0.73896700000000004</v>
      </c>
      <c r="Q13">
        <v>0.42796810000000002</v>
      </c>
      <c r="S13">
        <v>0.76163539999999996</v>
      </c>
      <c r="T13">
        <v>0.73597829999999997</v>
      </c>
      <c r="U13">
        <v>0.4290465</v>
      </c>
      <c r="AA13" s="28">
        <f t="shared" si="1"/>
        <v>1.0001949751810382</v>
      </c>
      <c r="AB13" s="29">
        <f t="shared" si="0"/>
        <v>1.0040608534246187</v>
      </c>
      <c r="AC13" s="30">
        <f t="shared" si="0"/>
        <v>0.9974865195264383</v>
      </c>
      <c r="AE13" s="31">
        <f t="shared" si="2"/>
        <v>0.99745574081403032</v>
      </c>
      <c r="AF13" s="31">
        <f t="shared" si="3"/>
        <v>1.0001796848444418</v>
      </c>
      <c r="AG13" s="31">
        <f t="shared" si="4"/>
        <v>1.0040343543858852</v>
      </c>
      <c r="AI13" s="68">
        <f t="shared" si="5"/>
        <v>1.0001712643600078</v>
      </c>
      <c r="AJ13" s="68">
        <f t="shared" si="6"/>
        <v>1.002228375883468</v>
      </c>
      <c r="AL13" s="33">
        <f t="shared" si="7"/>
        <v>3.7252495658275614E-3</v>
      </c>
      <c r="AM13" s="33">
        <f t="shared" si="8"/>
        <v>7.7423507113064316E-3</v>
      </c>
      <c r="AN13" s="33">
        <f t="shared" si="9"/>
        <v>2.1059776971714254E-3</v>
      </c>
      <c r="AO13" s="112">
        <v>0</v>
      </c>
      <c r="AP13" s="49">
        <v>0.18299621340752117</v>
      </c>
      <c r="AQ13" s="50">
        <v>9.0583232593247826E-2</v>
      </c>
      <c r="AR13" s="8">
        <f t="shared" si="10"/>
        <v>201207</v>
      </c>
      <c r="AS13" t="str">
        <f t="shared" si="11"/>
        <v>B6_ref_1</v>
      </c>
      <c r="AT13" s="43">
        <v>0.17417973294908601</v>
      </c>
      <c r="AU13" s="43">
        <v>21.5049037602423</v>
      </c>
      <c r="AV13" s="43">
        <v>42.096314842191497</v>
      </c>
      <c r="AX13" s="43">
        <v>7.7040283221973996E-2</v>
      </c>
      <c r="AY13" s="43">
        <v>0.27162742435748999</v>
      </c>
      <c r="AZ13" s="43">
        <v>-0.19458714113551601</v>
      </c>
      <c r="BA13" s="43">
        <v>0.17433385378973201</v>
      </c>
      <c r="BB13" s="43">
        <v>21.502591417517898</v>
      </c>
      <c r="BC13" s="43">
        <v>42.091743229337503</v>
      </c>
      <c r="BE13">
        <v>265</v>
      </c>
      <c r="BF13">
        <v>109</v>
      </c>
      <c r="BG13">
        <f t="shared" si="15"/>
        <v>156</v>
      </c>
      <c r="BH13" t="s">
        <v>39</v>
      </c>
      <c r="BI13" s="69">
        <f>BG13*concentration_constants!$F$6</f>
        <v>0.15628130635143259</v>
      </c>
      <c r="BJ13" s="43">
        <f>I13*concentration_constants!$B$2+concentration_constants!$D$2</f>
        <v>9.6085110288080102</v>
      </c>
      <c r="BK13" s="43">
        <f>BJ13*concentration_constants!$B$3+concentration_constants!$D$3</f>
        <v>0.38608326860383324</v>
      </c>
      <c r="BL13" s="43">
        <f t="shared" si="16"/>
        <v>61.482151980488176</v>
      </c>
      <c r="BM13" s="43">
        <f t="shared" si="17"/>
        <v>2.4704379405150405</v>
      </c>
    </row>
    <row r="14" spans="1:65">
      <c r="A14">
        <v>201207</v>
      </c>
      <c r="B14" t="str">
        <f>scale_normalization!A3</f>
        <v>ATM</v>
      </c>
      <c r="C14" s="24">
        <v>13</v>
      </c>
      <c r="D14" s="24" t="s">
        <v>49</v>
      </c>
      <c r="E14" s="24">
        <v>0</v>
      </c>
      <c r="F14" s="24">
        <v>4.6219999999999999</v>
      </c>
      <c r="G14" s="24">
        <v>44.531999999999996</v>
      </c>
      <c r="H14" s="24">
        <v>2.3650000000000002</v>
      </c>
      <c r="I14" s="24">
        <v>4.851</v>
      </c>
      <c r="J14" s="24">
        <v>5.0419999999999998</v>
      </c>
      <c r="K14" s="24" t="s">
        <v>44</v>
      </c>
      <c r="L14" s="24">
        <v>1554.3</v>
      </c>
      <c r="M14" s="24" t="s">
        <v>81</v>
      </c>
      <c r="N14" s="24" t="s">
        <v>82</v>
      </c>
      <c r="O14" s="24">
        <v>0.76493789999999995</v>
      </c>
      <c r="P14" s="24">
        <v>0.73974450000000003</v>
      </c>
      <c r="Q14" s="24">
        <v>0.43109039999999998</v>
      </c>
      <c r="S14" s="24">
        <v>0.76154540000000004</v>
      </c>
      <c r="T14" s="24">
        <v>0.73634109999999997</v>
      </c>
      <c r="U14" s="24">
        <v>0.42774570000000001</v>
      </c>
      <c r="AA14" s="28">
        <f t="shared" si="1"/>
        <v>1.0044547573920082</v>
      </c>
      <c r="AB14" s="29">
        <f t="shared" si="0"/>
        <v>1.0046220426918993</v>
      </c>
      <c r="AC14" s="30">
        <f t="shared" si="0"/>
        <v>1.0078193655716468</v>
      </c>
      <c r="AE14" s="31">
        <f t="shared" si="2"/>
        <v>1.0086764735022862</v>
      </c>
      <c r="AF14" s="31">
        <f t="shared" si="3"/>
        <v>1.0048805539160894</v>
      </c>
      <c r="AG14" s="31">
        <f t="shared" si="4"/>
        <v>1.0053599727245706</v>
      </c>
      <c r="AI14" s="68">
        <f t="shared" si="5"/>
        <v>1.0051454300667848</v>
      </c>
      <c r="AJ14" s="68">
        <f t="shared" si="6"/>
        <v>1.0034693036318658</v>
      </c>
      <c r="AL14" s="33">
        <f t="shared" si="7"/>
        <v>3.767156216784404E-3</v>
      </c>
      <c r="AM14" s="33">
        <f t="shared" si="8"/>
        <v>7.7808558521461494E-3</v>
      </c>
      <c r="AN14" s="33">
        <f t="shared" si="9"/>
        <v>2.1085852527194544E-3</v>
      </c>
      <c r="AO14" s="112">
        <v>0</v>
      </c>
      <c r="AP14" s="49">
        <v>0.18299621340752117</v>
      </c>
      <c r="AQ14" s="50">
        <v>9.0583232593247826E-2</v>
      </c>
      <c r="AR14" s="8">
        <f t="shared" si="10"/>
        <v>201207</v>
      </c>
      <c r="AS14" t="str">
        <f t="shared" si="11"/>
        <v>ATM_EQ_SW_2</v>
      </c>
      <c r="AT14" s="43">
        <v>5.3789536881834099</v>
      </c>
      <c r="AU14" s="43">
        <v>22.120506938132898</v>
      </c>
      <c r="AV14" s="43">
        <v>43.313737229409199</v>
      </c>
      <c r="AX14" s="43">
        <v>14.3881840437134</v>
      </c>
      <c r="AY14" s="43">
        <v>-3.63006727819648</v>
      </c>
      <c r="AZ14" s="43">
        <v>18.018251321909901</v>
      </c>
      <c r="BA14" s="43">
        <v>5.3790583827584797</v>
      </c>
      <c r="BB14" s="43">
        <v>22.120652428866102</v>
      </c>
      <c r="BC14" s="43">
        <v>43.314025034508099</v>
      </c>
      <c r="BE14">
        <v>265</v>
      </c>
      <c r="BF14">
        <v>109</v>
      </c>
      <c r="BG14">
        <f t="shared" si="15"/>
        <v>156</v>
      </c>
      <c r="BH14" t="s">
        <v>170</v>
      </c>
      <c r="BI14" s="69">
        <f>BG14*concentration_constants!$B$6</f>
        <v>0.15204678362573099</v>
      </c>
      <c r="BJ14" s="43">
        <f>I14*concentration_constants!$B$2+concentration_constants!$D$2</f>
        <v>2.3526725819565679</v>
      </c>
      <c r="BK14" s="43">
        <f>BJ14*concentration_constants!$B$3+concentration_constants!$D$3</f>
        <v>0.32790095617705511</v>
      </c>
      <c r="BL14" s="43">
        <f t="shared" si="16"/>
        <v>15.473346596714352</v>
      </c>
      <c r="BM14" s="43">
        <f t="shared" si="17"/>
        <v>2.1565793656260164</v>
      </c>
    </row>
    <row r="15" spans="1:65">
      <c r="A15">
        <v>201207</v>
      </c>
      <c r="B15" t="str">
        <f>scale_normalization!A3</f>
        <v>ATM</v>
      </c>
      <c r="C15" s="24">
        <v>23</v>
      </c>
      <c r="D15" s="24" t="s">
        <v>83</v>
      </c>
      <c r="E15" s="24">
        <v>0</v>
      </c>
      <c r="F15" s="24">
        <v>5.383</v>
      </c>
      <c r="G15" s="24">
        <v>45.667000000000002</v>
      </c>
      <c r="H15" s="24">
        <v>2.9279999999999999</v>
      </c>
      <c r="I15" s="24">
        <v>4.6020000000000003</v>
      </c>
      <c r="J15" s="24">
        <v>4.7830000000000004</v>
      </c>
      <c r="K15" s="24" t="s">
        <v>42</v>
      </c>
      <c r="L15" s="24">
        <v>1551.9</v>
      </c>
      <c r="M15" s="24" t="s">
        <v>84</v>
      </c>
      <c r="N15" s="24" t="s">
        <v>85</v>
      </c>
      <c r="O15" s="24">
        <v>0.76559560000000004</v>
      </c>
      <c r="P15" s="24">
        <v>0.74048069999999999</v>
      </c>
      <c r="Q15" s="24">
        <v>0.43215559999999997</v>
      </c>
      <c r="S15" s="24">
        <v>0.76163060000000005</v>
      </c>
      <c r="T15" s="24">
        <v>0.73627100000000001</v>
      </c>
      <c r="U15" s="24">
        <v>0.42802899999999999</v>
      </c>
      <c r="AA15" s="28">
        <f t="shared" si="1"/>
        <v>1.0052059357909202</v>
      </c>
      <c r="AB15" s="29">
        <f t="shared" si="0"/>
        <v>1.0057175958308828</v>
      </c>
      <c r="AC15" s="30">
        <f t="shared" si="0"/>
        <v>1.009640935544087</v>
      </c>
      <c r="AE15" s="31">
        <f t="shared" si="2"/>
        <v>1.0105121315250749</v>
      </c>
      <c r="AF15" s="31">
        <f t="shared" si="3"/>
        <v>1.0056387310168626</v>
      </c>
      <c r="AG15" s="31">
        <f t="shared" si="4"/>
        <v>1.0064676550191509</v>
      </c>
      <c r="AI15" s="68">
        <f t="shared" si="5"/>
        <v>1.0059478122346599</v>
      </c>
      <c r="AJ15" s="68">
        <f t="shared" si="6"/>
        <v>1.0045061407432356</v>
      </c>
      <c r="AL15" s="33">
        <f t="shared" si="7"/>
        <v>3.7740119437831986E-3</v>
      </c>
      <c r="AM15" s="33">
        <f t="shared" si="8"/>
        <v>7.7870671125268029E-3</v>
      </c>
      <c r="AN15" s="33">
        <f t="shared" si="9"/>
        <v>2.110763953587128E-3</v>
      </c>
      <c r="AO15" s="112">
        <v>0</v>
      </c>
      <c r="AP15" s="49">
        <v>0.18299621340752117</v>
      </c>
      <c r="AQ15" s="50">
        <v>9.0583232593247826E-2</v>
      </c>
      <c r="AR15" s="8">
        <f t="shared" si="10"/>
        <v>201207</v>
      </c>
      <c r="AS15" t="str">
        <f t="shared" si="11"/>
        <v>ATM_EQ_SW_3</v>
      </c>
      <c r="AT15" s="43">
        <v>6.1956151663247097</v>
      </c>
      <c r="AU15" s="43">
        <v>22.663099593819901</v>
      </c>
      <c r="AV15" s="43">
        <v>44.387343755447603</v>
      </c>
      <c r="AX15" s="43">
        <v>16.674409148413002</v>
      </c>
      <c r="AY15" s="43">
        <v>-4.2829182187388204</v>
      </c>
      <c r="AZ15" s="43">
        <v>20.957327367151802</v>
      </c>
      <c r="BA15" s="43">
        <v>6.1957454648370804</v>
      </c>
      <c r="BB15" s="43">
        <v>22.6633222528456</v>
      </c>
      <c r="BC15" s="43">
        <v>44.387784431714202</v>
      </c>
      <c r="BE15">
        <v>265</v>
      </c>
      <c r="BF15">
        <v>109</v>
      </c>
      <c r="BG15">
        <f t="shared" si="15"/>
        <v>156</v>
      </c>
      <c r="BH15" t="s">
        <v>170</v>
      </c>
      <c r="BI15" s="69">
        <f>BG15*concentration_constants!$B$6</f>
        <v>0.15204678362573099</v>
      </c>
      <c r="BJ15" s="43">
        <f>I15*concentration_constants!$B$2+concentration_constants!$D$2</f>
        <v>2.2375445775427525</v>
      </c>
      <c r="BK15" s="43">
        <f>BJ15*concentration_constants!$B$3+concentration_constants!$D$3</f>
        <v>0.3269777805067392</v>
      </c>
      <c r="BL15" s="43">
        <f t="shared" si="16"/>
        <v>14.716158567685026</v>
      </c>
      <c r="BM15" s="43">
        <f t="shared" si="17"/>
        <v>2.1505077102558618</v>
      </c>
    </row>
    <row r="16" spans="1:65">
      <c r="A16">
        <v>201207</v>
      </c>
      <c r="B16" t="str">
        <f>scale_normalization!A4</f>
        <v>S2</v>
      </c>
      <c r="C16" s="24">
        <v>24</v>
      </c>
      <c r="D16" s="24" t="s">
        <v>61</v>
      </c>
      <c r="E16" s="24">
        <v>0</v>
      </c>
      <c r="F16" s="24">
        <v>-4.0019999999999998</v>
      </c>
      <c r="G16" s="24">
        <v>33.719000000000001</v>
      </c>
      <c r="H16" s="24">
        <v>-3.0019999999999998</v>
      </c>
      <c r="I16" s="24">
        <v>8.2829999999999995</v>
      </c>
      <c r="J16" s="24">
        <v>8.6029999999999998</v>
      </c>
      <c r="K16" s="24" t="s">
        <v>56</v>
      </c>
      <c r="L16" s="24">
        <v>1551</v>
      </c>
      <c r="M16" s="24" t="s">
        <v>86</v>
      </c>
      <c r="N16" s="24" t="s">
        <v>87</v>
      </c>
      <c r="O16" s="24">
        <v>0.75863199999999997</v>
      </c>
      <c r="P16" s="24">
        <v>0.73199060000000005</v>
      </c>
      <c r="Q16" s="24">
        <v>0.42838850000000001</v>
      </c>
      <c r="S16" s="24">
        <v>0.76167569999999996</v>
      </c>
      <c r="T16" s="24">
        <v>0.73628070000000001</v>
      </c>
      <c r="U16" s="24">
        <v>0.42812329999999998</v>
      </c>
      <c r="AA16" s="28">
        <f t="shared" si="1"/>
        <v>0.99600394236024603</v>
      </c>
      <c r="AB16" s="29">
        <f t="shared" si="0"/>
        <v>0.99417328201051591</v>
      </c>
      <c r="AC16" s="30">
        <f t="shared" si="0"/>
        <v>1.0006194477151793</v>
      </c>
      <c r="AE16" s="31">
        <f t="shared" si="2"/>
        <v>1.0012823781807745</v>
      </c>
      <c r="AF16" s="31">
        <f t="shared" si="3"/>
        <v>0.99633327484903467</v>
      </c>
      <c r="AG16" s="31">
        <f t="shared" si="4"/>
        <v>0.99474403428411884</v>
      </c>
      <c r="AI16" s="68">
        <f t="shared" si="5"/>
        <v>0.99610224211658405</v>
      </c>
      <c r="AJ16" s="68">
        <f t="shared" si="6"/>
        <v>0.99352872594288855</v>
      </c>
      <c r="AL16" s="33">
        <f t="shared" si="7"/>
        <v>3.7395411063999877E-3</v>
      </c>
      <c r="AM16" s="33">
        <f t="shared" si="8"/>
        <v>7.7108523085995181E-3</v>
      </c>
      <c r="AN16" s="33">
        <f t="shared" si="9"/>
        <v>2.0876971643219054E-3</v>
      </c>
      <c r="AO16" s="112">
        <v>0</v>
      </c>
      <c r="AP16" s="49">
        <v>0.18299621340752117</v>
      </c>
      <c r="AQ16" s="50">
        <v>9.0583232593247826E-2</v>
      </c>
      <c r="AR16" s="8">
        <f t="shared" si="10"/>
        <v>201207</v>
      </c>
      <c r="AS16" t="str">
        <f t="shared" si="11"/>
        <v>S2_ref_2</v>
      </c>
      <c r="AT16" s="43">
        <v>-3.8605993886061598</v>
      </c>
      <c r="AU16" s="43">
        <v>16.981672886239501</v>
      </c>
      <c r="AV16" s="43">
        <v>33.172233138363701</v>
      </c>
      <c r="AX16" s="43">
        <v>7.0981043699742603</v>
      </c>
      <c r="AY16" s="43">
        <v>-14.842974232046201</v>
      </c>
      <c r="AZ16" s="43">
        <v>21.9410786020205</v>
      </c>
      <c r="BA16" s="43">
        <v>-3.872434931036</v>
      </c>
      <c r="BB16" s="43">
        <v>16.9158269213642</v>
      </c>
      <c r="BC16" s="43">
        <v>33.042597062631799</v>
      </c>
      <c r="BE16">
        <v>265</v>
      </c>
      <c r="BF16">
        <v>109</v>
      </c>
      <c r="BG16">
        <f t="shared" si="15"/>
        <v>156</v>
      </c>
      <c r="BH16" t="s">
        <v>39</v>
      </c>
      <c r="BI16" s="69">
        <f>BG16*concentration_constants!$F$6</f>
        <v>0.15628130635143259</v>
      </c>
      <c r="BJ16" s="43">
        <f>I16*concentration_constants!$B$2+concentration_constants!$D$2</f>
        <v>3.9394971247204844</v>
      </c>
      <c r="BK16" s="43">
        <f>BJ16*concentration_constants!$B$3+concentration_constants!$D$3</f>
        <v>0.34062520878960229</v>
      </c>
      <c r="BL16" s="43">
        <f t="shared" si="16"/>
        <v>25.207730960871714</v>
      </c>
      <c r="BM16" s="43">
        <f t="shared" si="17"/>
        <v>2.179564637267827</v>
      </c>
    </row>
    <row r="17" spans="1:65">
      <c r="A17">
        <v>201207</v>
      </c>
      <c r="C17" s="24">
        <v>25</v>
      </c>
      <c r="D17" s="24" t="s">
        <v>39</v>
      </c>
      <c r="E17" s="24">
        <v>0</v>
      </c>
      <c r="F17" s="24">
        <v>-7.13</v>
      </c>
      <c r="G17" s="24">
        <v>44.149000000000001</v>
      </c>
      <c r="H17" s="24">
        <v>2.1760000000000002</v>
      </c>
      <c r="I17" s="24">
        <v>13.6</v>
      </c>
      <c r="J17" s="24">
        <v>14.154</v>
      </c>
      <c r="K17" s="24" t="s">
        <v>56</v>
      </c>
      <c r="L17" s="24">
        <v>1551.2</v>
      </c>
      <c r="M17" s="24" t="s">
        <v>88</v>
      </c>
      <c r="N17" s="24" t="s">
        <v>89</v>
      </c>
      <c r="O17" s="24">
        <v>0.75660369999999999</v>
      </c>
      <c r="P17" s="24">
        <v>0.73928139999999998</v>
      </c>
      <c r="Q17" s="24">
        <v>0.43062440000000002</v>
      </c>
      <c r="S17" s="24">
        <v>0.76169560000000003</v>
      </c>
      <c r="T17" s="24">
        <v>0.73627120000000001</v>
      </c>
      <c r="U17" s="24">
        <v>0.42825439999999998</v>
      </c>
      <c r="AA17" s="28">
        <f t="shared" si="1"/>
        <v>0.99331504606302035</v>
      </c>
      <c r="AB17" s="29">
        <f t="shared" si="0"/>
        <v>1.0040884391512257</v>
      </c>
      <c r="AC17" s="30">
        <f t="shared" si="0"/>
        <v>1.0055340937536195</v>
      </c>
      <c r="AE17" s="31">
        <f t="shared" si="2"/>
        <v>1.0058961962525363</v>
      </c>
      <c r="AF17" s="31">
        <f t="shared" si="3"/>
        <v>0.99349493237592013</v>
      </c>
      <c r="AG17" s="31">
        <f t="shared" si="4"/>
        <v>1.0044001925480899</v>
      </c>
      <c r="AI17" s="68">
        <f t="shared" si="5"/>
        <v>0.99310021363223033</v>
      </c>
      <c r="AJ17" s="68">
        <f t="shared" si="6"/>
        <v>1.0025708516884744</v>
      </c>
      <c r="AL17" s="33">
        <f t="shared" si="7"/>
        <v>3.7567725714819484E-3</v>
      </c>
      <c r="AM17" s="33">
        <f t="shared" si="8"/>
        <v>7.6876135312026585E-3</v>
      </c>
      <c r="AN17" s="33">
        <f t="shared" si="9"/>
        <v>2.1066973399439907E-3</v>
      </c>
      <c r="AO17" s="112">
        <v>0</v>
      </c>
      <c r="AP17" s="49">
        <v>0.18299621340752117</v>
      </c>
      <c r="AQ17" s="50">
        <v>9.0583232593247826E-2</v>
      </c>
      <c r="AR17" s="8">
        <f t="shared" si="10"/>
        <v>201207</v>
      </c>
      <c r="AS17" t="str">
        <f t="shared" si="11"/>
        <v>DI</v>
      </c>
      <c r="AT17" s="43">
        <v>-7.2288455237854397</v>
      </c>
      <c r="AU17" s="43">
        <v>21.7340915222623</v>
      </c>
      <c r="AV17" s="43">
        <v>42.549478237694899</v>
      </c>
      <c r="AX17" s="43">
        <v>13.721853832626</v>
      </c>
      <c r="AY17" s="43">
        <v>-28.286283980962999</v>
      </c>
      <c r="AZ17" s="43">
        <v>42.008137813589002</v>
      </c>
      <c r="BA17" s="43">
        <v>-7.2822150741684801</v>
      </c>
      <c r="BB17" s="43">
        <v>21.741665288284601</v>
      </c>
      <c r="BC17" s="43">
        <v>42.564455156773597</v>
      </c>
      <c r="BE17">
        <v>265</v>
      </c>
      <c r="BF17">
        <v>109</v>
      </c>
      <c r="BG17">
        <f t="shared" si="15"/>
        <v>156</v>
      </c>
      <c r="BH17" t="s">
        <v>39</v>
      </c>
      <c r="BI17" s="69">
        <f>BG17*concentration_constants!$F$6</f>
        <v>0.15628130635143259</v>
      </c>
      <c r="BJ17" s="43">
        <f>I17*concentration_constants!$B$2+concentration_constants!$D$2</f>
        <v>6.3978730261994317</v>
      </c>
      <c r="BK17" s="43">
        <f>BJ17*concentration_constants!$B$3+concentration_constants!$D$3</f>
        <v>0.36033816075373781</v>
      </c>
      <c r="BL17" s="43">
        <f t="shared" si="16"/>
        <v>40.938184966360723</v>
      </c>
      <c r="BM17" s="43">
        <f t="shared" si="17"/>
        <v>2.3057022568229555</v>
      </c>
    </row>
    <row r="18" spans="1:65"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S18" s="24"/>
      <c r="T18" s="24"/>
      <c r="U18" s="24"/>
      <c r="AA18" s="28"/>
      <c r="AB18" s="29"/>
      <c r="AC18" s="30"/>
      <c r="AE18" s="31"/>
      <c r="AF18" s="31"/>
      <c r="AG18" s="31"/>
      <c r="AI18" s="68"/>
      <c r="AJ18" s="68"/>
      <c r="AL18" s="33"/>
      <c r="AM18" s="33"/>
      <c r="AN18" s="33"/>
      <c r="AO18" s="33"/>
      <c r="AP18" s="49"/>
      <c r="AQ18" s="47"/>
      <c r="AR18" s="8"/>
    </row>
    <row r="19" spans="1:65"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S19" s="24"/>
      <c r="T19" s="24"/>
      <c r="U19" s="24"/>
      <c r="AA19" s="28"/>
      <c r="AB19" s="29"/>
      <c r="AC19" s="30"/>
      <c r="AE19" s="31"/>
      <c r="AF19" s="31"/>
      <c r="AG19" s="31"/>
      <c r="AI19" s="68"/>
      <c r="AJ19" s="68"/>
      <c r="AL19" s="33"/>
      <c r="AM19" s="33"/>
      <c r="AN19" s="33"/>
      <c r="AO19" s="33"/>
      <c r="AP19" s="49"/>
      <c r="AQ19" s="47"/>
      <c r="AR19" s="8"/>
    </row>
    <row r="20" spans="1:65"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S20" s="24"/>
      <c r="T20" s="24"/>
      <c r="U20" s="24"/>
      <c r="AA20" s="28"/>
      <c r="AB20" s="29"/>
      <c r="AC20" s="30"/>
      <c r="AE20" s="31"/>
      <c r="AF20" s="31"/>
      <c r="AG20" s="31"/>
      <c r="AI20" s="68"/>
      <c r="AJ20" s="68"/>
      <c r="AL20" s="33"/>
      <c r="AM20" s="33"/>
      <c r="AN20" s="33"/>
      <c r="AO20" s="33"/>
      <c r="AP20" s="49"/>
      <c r="AQ20" s="47"/>
      <c r="AR20" s="8"/>
    </row>
    <row r="21" spans="1:65"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S21" s="24"/>
      <c r="T21" s="24"/>
      <c r="U21" s="24"/>
      <c r="AA21" s="28"/>
      <c r="AB21" s="29"/>
      <c r="AC21" s="30"/>
      <c r="AE21" s="31"/>
      <c r="AF21" s="31"/>
      <c r="AG21" s="31"/>
      <c r="AI21" s="68"/>
      <c r="AJ21" s="68"/>
      <c r="AL21" s="33"/>
      <c r="AM21" s="33"/>
      <c r="AN21" s="33"/>
      <c r="AO21" s="33"/>
      <c r="AP21" s="49"/>
      <c r="AQ21" s="47"/>
      <c r="AR21" s="8"/>
    </row>
    <row r="22" spans="1:65"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S22" s="24"/>
      <c r="T22" s="24"/>
      <c r="U22" s="24"/>
      <c r="AA22" s="28"/>
      <c r="AB22" s="29"/>
      <c r="AC22" s="30"/>
      <c r="AE22" s="31"/>
      <c r="AF22" s="31"/>
      <c r="AG22" s="31"/>
      <c r="AI22" s="68"/>
      <c r="AJ22" s="68"/>
      <c r="AL22" s="33"/>
      <c r="AM22" s="33"/>
      <c r="AN22" s="33"/>
      <c r="AO22" s="33"/>
      <c r="AP22" s="49"/>
      <c r="AQ22" s="47"/>
      <c r="AR22" s="8"/>
    </row>
    <row r="23" spans="1:65"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S23" s="24"/>
      <c r="T23" s="24"/>
      <c r="U23" s="24"/>
      <c r="AA23" s="28"/>
      <c r="AB23" s="29"/>
      <c r="AC23" s="30"/>
      <c r="AE23" s="31"/>
      <c r="AF23" s="31"/>
      <c r="AG23" s="31"/>
      <c r="AI23" s="68"/>
      <c r="AJ23" s="68"/>
      <c r="AL23" s="33"/>
      <c r="AM23" s="33"/>
      <c r="AN23" s="33"/>
      <c r="AO23" s="33"/>
      <c r="AP23" s="49"/>
      <c r="AQ23" s="47"/>
      <c r="AR23" s="8"/>
    </row>
    <row r="24" spans="1:65"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S24" s="24"/>
      <c r="T24" s="24"/>
      <c r="U24" s="24"/>
      <c r="AA24" s="28"/>
      <c r="AB24" s="29"/>
      <c r="AC24" s="30"/>
      <c r="AE24" s="31"/>
      <c r="AF24" s="31"/>
      <c r="AG24" s="31"/>
      <c r="AI24" s="68"/>
      <c r="AJ24" s="68"/>
      <c r="AL24" s="33"/>
      <c r="AM24" s="33"/>
      <c r="AN24" s="33"/>
      <c r="AO24" s="33"/>
      <c r="AP24" s="49"/>
      <c r="AQ24" s="47"/>
      <c r="AR24" s="8"/>
    </row>
    <row r="25" spans="1:65"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S25" s="24"/>
      <c r="T25" s="24"/>
      <c r="U25" s="24"/>
      <c r="AA25" s="28"/>
      <c r="AB25" s="29"/>
      <c r="AC25" s="30"/>
      <c r="AE25" s="31"/>
      <c r="AF25" s="31"/>
      <c r="AG25" s="31"/>
      <c r="AI25" s="68"/>
      <c r="AJ25" s="68"/>
      <c r="AL25" s="33"/>
      <c r="AM25" s="33"/>
      <c r="AN25" s="33"/>
      <c r="AO25" s="33"/>
      <c r="AP25" s="49"/>
      <c r="AQ25" s="47"/>
      <c r="AR25" s="8"/>
    </row>
    <row r="26" spans="1:65"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S26" s="24"/>
      <c r="T26" s="24"/>
      <c r="U26" s="24"/>
      <c r="AA26" s="28"/>
      <c r="AB26" s="29"/>
      <c r="AC26" s="30"/>
      <c r="AE26" s="31"/>
      <c r="AF26" s="31"/>
      <c r="AG26" s="31"/>
      <c r="AI26" s="68"/>
      <c r="AJ26" s="68"/>
      <c r="AL26" s="33"/>
      <c r="AM26" s="33"/>
      <c r="AN26" s="33"/>
      <c r="AO26" s="33"/>
      <c r="AP26" s="49"/>
      <c r="AQ26" s="47"/>
      <c r="AR26" s="8"/>
    </row>
    <row r="27" spans="1:65"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S27" s="24"/>
      <c r="T27" s="24"/>
      <c r="U27" s="24"/>
      <c r="AA27" s="28"/>
      <c r="AB27" s="29"/>
      <c r="AC27" s="30"/>
      <c r="AE27" s="31"/>
      <c r="AF27" s="31"/>
      <c r="AG27" s="31"/>
      <c r="AI27" s="68"/>
      <c r="AJ27" s="68"/>
      <c r="AL27" s="33"/>
      <c r="AM27" s="33"/>
      <c r="AN27" s="33"/>
      <c r="AO27" s="33"/>
      <c r="AP27" s="49"/>
      <c r="AQ27" s="47"/>
      <c r="AR27" s="8"/>
    </row>
    <row r="28" spans="1:6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S28" s="24"/>
      <c r="T28" s="24"/>
      <c r="U28" s="24"/>
      <c r="AA28" s="28"/>
      <c r="AB28" s="29"/>
      <c r="AC28" s="30"/>
      <c r="AE28" s="31"/>
      <c r="AF28" s="31"/>
      <c r="AG28" s="31"/>
      <c r="AI28" s="68"/>
      <c r="AJ28" s="68"/>
      <c r="AL28" s="33"/>
      <c r="AM28" s="33"/>
      <c r="AN28" s="33"/>
      <c r="AO28" s="33"/>
      <c r="AP28" s="49"/>
      <c r="AQ28" s="47"/>
      <c r="AR28" s="8"/>
    </row>
    <row r="29" spans="1:6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S29" s="24"/>
      <c r="T29" s="24"/>
      <c r="U29" s="24"/>
      <c r="AA29" s="28"/>
      <c r="AB29" s="29"/>
      <c r="AC29" s="30"/>
      <c r="AE29" s="31"/>
      <c r="AF29" s="31"/>
      <c r="AG29" s="31"/>
      <c r="AI29" s="68"/>
      <c r="AJ29" s="68"/>
      <c r="AL29" s="33"/>
      <c r="AM29" s="33"/>
      <c r="AN29" s="33"/>
      <c r="AO29" s="33"/>
      <c r="AP29" s="49"/>
      <c r="AQ29" s="47"/>
      <c r="AR29" s="8"/>
    </row>
    <row r="30" spans="1:6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S30" s="24"/>
      <c r="T30" s="24"/>
      <c r="U30" s="24"/>
      <c r="AA30" s="28"/>
      <c r="AB30" s="29"/>
      <c r="AC30" s="30"/>
      <c r="AE30" s="31"/>
      <c r="AF30" s="31"/>
      <c r="AG30" s="31"/>
      <c r="AI30" s="68"/>
      <c r="AJ30" s="68"/>
      <c r="AL30" s="33"/>
      <c r="AM30" s="33"/>
      <c r="AN30" s="33"/>
      <c r="AO30" s="33"/>
      <c r="AP30" s="53"/>
      <c r="AQ30" s="32"/>
      <c r="AR30" s="8"/>
    </row>
    <row r="31" spans="1:6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S31" s="24"/>
      <c r="T31" s="24"/>
      <c r="U31" s="24"/>
      <c r="AA31" s="28"/>
      <c r="AB31" s="29"/>
      <c r="AC31" s="30"/>
      <c r="AE31" s="31"/>
      <c r="AF31" s="31"/>
      <c r="AG31" s="31"/>
      <c r="AI31" s="68"/>
      <c r="AJ31" s="68"/>
      <c r="AL31" s="33"/>
      <c r="AM31" s="33"/>
      <c r="AN31" s="33"/>
      <c r="AO31" s="33"/>
      <c r="AR31" s="8"/>
    </row>
    <row r="32" spans="1:6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S32" s="24"/>
      <c r="T32" s="24"/>
      <c r="U32" s="24"/>
      <c r="AA32" s="28"/>
      <c r="AB32" s="29"/>
      <c r="AC32" s="30"/>
      <c r="AE32" s="31"/>
      <c r="AF32" s="31"/>
      <c r="AG32" s="31"/>
      <c r="AI32" s="68"/>
      <c r="AJ32" s="68"/>
      <c r="AL32" s="33"/>
      <c r="AM32" s="33"/>
      <c r="AN32" s="33"/>
      <c r="AO32" s="33"/>
      <c r="AR32" s="8"/>
    </row>
    <row r="33" spans="3:44">
      <c r="C33" s="24"/>
      <c r="D33" s="24"/>
      <c r="E33" s="24"/>
      <c r="L33" s="24"/>
      <c r="M33" s="24"/>
      <c r="N33" s="24"/>
      <c r="AA33" s="28"/>
      <c r="AB33" s="29"/>
      <c r="AC33" s="30"/>
      <c r="AE33" s="31"/>
      <c r="AF33" s="31"/>
      <c r="AG33" s="31"/>
      <c r="AI33" s="68"/>
      <c r="AJ33" s="68"/>
      <c r="AL33" s="33"/>
      <c r="AM33" s="33"/>
      <c r="AN33" s="33"/>
      <c r="AO33" s="33"/>
      <c r="AR33" s="8"/>
    </row>
    <row r="34" spans="3:44">
      <c r="C34" s="24"/>
      <c r="D34" s="24"/>
      <c r="E34" s="24"/>
      <c r="L34" s="24"/>
      <c r="M34" s="24"/>
      <c r="N34" s="24"/>
      <c r="AA34" s="28"/>
      <c r="AB34" s="29"/>
      <c r="AC34" s="30"/>
      <c r="AE34" s="31"/>
      <c r="AF34" s="31"/>
      <c r="AG34" s="31"/>
      <c r="AI34" s="68"/>
      <c r="AJ34" s="68"/>
      <c r="AL34" s="33"/>
      <c r="AM34" s="33"/>
      <c r="AN34" s="33"/>
      <c r="AO34" s="33"/>
      <c r="AR34" s="8"/>
    </row>
    <row r="35" spans="3:44">
      <c r="C35" s="24"/>
      <c r="D35" s="24"/>
      <c r="E35" s="24"/>
      <c r="L35" s="24"/>
      <c r="M35" s="24"/>
      <c r="N35" s="24"/>
      <c r="AA35" s="28"/>
      <c r="AB35" s="29"/>
      <c r="AC35" s="30"/>
      <c r="AE35" s="31"/>
      <c r="AF35" s="31"/>
      <c r="AG35" s="31"/>
      <c r="AI35" s="68"/>
      <c r="AJ35" s="68"/>
      <c r="AL35" s="33"/>
      <c r="AM35" s="33"/>
      <c r="AN35" s="33"/>
      <c r="AO35" s="33"/>
      <c r="AR35" s="8"/>
    </row>
    <row r="36" spans="3:44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S36" s="24"/>
      <c r="T36" s="24"/>
      <c r="U36" s="24"/>
      <c r="AA36" s="28"/>
      <c r="AB36" s="29"/>
      <c r="AC36" s="30"/>
      <c r="AE36" s="31"/>
      <c r="AF36" s="31"/>
      <c r="AG36" s="31"/>
      <c r="AI36" s="68"/>
      <c r="AJ36" s="68"/>
      <c r="AL36" s="33"/>
      <c r="AM36" s="33"/>
      <c r="AN36" s="33"/>
      <c r="AO36" s="33"/>
      <c r="AR36" s="8"/>
    </row>
    <row r="37" spans="3:44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S37" s="24"/>
      <c r="T37" s="24"/>
      <c r="U37" s="24"/>
      <c r="AA37" s="28"/>
      <c r="AB37" s="29"/>
      <c r="AC37" s="30"/>
      <c r="AE37" s="31"/>
      <c r="AF37" s="31"/>
      <c r="AG37" s="31"/>
      <c r="AI37" s="68"/>
      <c r="AJ37" s="68"/>
      <c r="AL37" s="33"/>
      <c r="AM37" s="33"/>
      <c r="AN37" s="33"/>
      <c r="AO37" s="33"/>
      <c r="AR37" s="8"/>
    </row>
    <row r="38" spans="3:44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S38" s="24"/>
      <c r="T38" s="24"/>
      <c r="U38" s="24"/>
      <c r="AA38" s="28"/>
      <c r="AB38" s="29"/>
      <c r="AC38" s="30"/>
      <c r="AE38" s="31"/>
      <c r="AF38" s="31"/>
      <c r="AG38" s="31"/>
      <c r="AI38" s="68"/>
      <c r="AJ38" s="68"/>
      <c r="AL38" s="33"/>
      <c r="AM38" s="33"/>
      <c r="AN38" s="33"/>
      <c r="AO38" s="33"/>
      <c r="AR38" s="8"/>
    </row>
    <row r="39" spans="3:44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S39" s="24"/>
      <c r="T39" s="24"/>
      <c r="U39" s="24"/>
      <c r="AA39" s="28"/>
      <c r="AB39" s="29"/>
      <c r="AC39" s="30"/>
      <c r="AE39" s="31"/>
      <c r="AF39" s="31"/>
      <c r="AG39" s="31"/>
      <c r="AI39" s="68"/>
      <c r="AJ39" s="68"/>
      <c r="AL39" s="33"/>
      <c r="AM39" s="33"/>
      <c r="AN39" s="33"/>
      <c r="AO39" s="33"/>
      <c r="AR39" s="8"/>
    </row>
    <row r="40" spans="3:44">
      <c r="AA40" s="28"/>
      <c r="AI40" s="68"/>
      <c r="AJ40" s="68"/>
    </row>
    <row r="41" spans="3:44">
      <c r="AI41" s="68"/>
      <c r="AJ41" s="68"/>
    </row>
    <row r="42" spans="3:44">
      <c r="AI42" s="68"/>
      <c r="AJ42" s="68"/>
    </row>
    <row r="43" spans="3:44">
      <c r="AI43" s="68"/>
      <c r="AJ43" s="68"/>
    </row>
    <row r="44" spans="3:44">
      <c r="AI44" s="68"/>
      <c r="AJ44" s="68"/>
    </row>
    <row r="45" spans="3:44">
      <c r="AI45" s="68"/>
      <c r="AJ45" s="68"/>
    </row>
    <row r="46" spans="3:44">
      <c r="AI46" s="68"/>
      <c r="AJ46" s="68"/>
    </row>
    <row r="47" spans="3:44">
      <c r="AI47" s="68"/>
      <c r="AJ47" s="68"/>
    </row>
    <row r="48" spans="3:44">
      <c r="AI48" s="68"/>
      <c r="AJ48" s="68"/>
    </row>
    <row r="49" spans="35:36">
      <c r="AI49" s="68"/>
      <c r="AJ49" s="68"/>
    </row>
    <row r="50" spans="35:36">
      <c r="AI50" s="68"/>
      <c r="AJ50" s="68"/>
    </row>
    <row r="51" spans="35:36">
      <c r="AI51" s="68"/>
      <c r="AJ51" s="68"/>
    </row>
    <row r="52" spans="35:36">
      <c r="AI52" s="68"/>
      <c r="AJ52" s="68"/>
    </row>
    <row r="53" spans="35:36">
      <c r="AI53" s="68"/>
      <c r="AJ53" s="68"/>
    </row>
    <row r="54" spans="35:36">
      <c r="AI54" s="68"/>
      <c r="AJ54" s="68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672C0-DA0C-0746-8A59-3EFE5C746DAE}">
  <dimension ref="A1:AA47"/>
  <sheetViews>
    <sheetView workbookViewId="0">
      <selection activeCell="Y4" sqref="Y4"/>
    </sheetView>
  </sheetViews>
  <sheetFormatPr baseColWidth="10" defaultRowHeight="16"/>
  <cols>
    <col min="1" max="3" width="20.83203125" customWidth="1"/>
    <col min="4" max="4" width="22.1640625" customWidth="1"/>
    <col min="5" max="5" width="22.83203125" customWidth="1"/>
    <col min="6" max="6" width="16.6640625" customWidth="1"/>
    <col min="7" max="7" width="16.83203125" customWidth="1"/>
    <col min="8" max="8" width="25.83203125" customWidth="1"/>
    <col min="9" max="9" width="24.5" customWidth="1"/>
    <col min="10" max="10" width="18" customWidth="1"/>
    <col min="11" max="11" width="19.1640625" customWidth="1"/>
    <col min="12" max="12" width="24.83203125" customWidth="1"/>
    <col min="13" max="13" width="20" customWidth="1"/>
    <col min="14" max="14" width="24.33203125" customWidth="1"/>
    <col min="15" max="15" width="22.1640625" customWidth="1"/>
    <col min="16" max="16" width="21.6640625" customWidth="1"/>
    <col min="17" max="17" width="26.1640625" customWidth="1"/>
    <col min="18" max="18" width="24.1640625" customWidth="1"/>
    <col min="19" max="20" width="18.6640625" customWidth="1"/>
    <col min="25" max="25" width="12.83203125" bestFit="1" customWidth="1"/>
  </cols>
  <sheetData>
    <row r="1" spans="1:27">
      <c r="A1" s="119" t="s">
        <v>177</v>
      </c>
      <c r="B1" s="119"/>
      <c r="C1" s="119"/>
      <c r="D1" s="119"/>
      <c r="E1" s="119"/>
      <c r="F1" s="119"/>
      <c r="G1" s="120" t="s">
        <v>115</v>
      </c>
      <c r="H1" s="120"/>
      <c r="I1" s="120"/>
      <c r="J1" s="120"/>
      <c r="K1" s="120"/>
      <c r="L1" s="120"/>
      <c r="M1" s="120"/>
      <c r="N1" s="120"/>
      <c r="O1" s="105" t="s">
        <v>114</v>
      </c>
      <c r="P1" s="56"/>
      <c r="Q1" s="55" t="s">
        <v>121</v>
      </c>
      <c r="R1" s="55"/>
      <c r="S1" s="56"/>
      <c r="T1" s="56"/>
      <c r="W1" s="37"/>
      <c r="X1" s="56"/>
      <c r="Y1" s="55"/>
    </row>
    <row r="2" spans="1:27" ht="17">
      <c r="A2" s="106" t="s">
        <v>92</v>
      </c>
      <c r="B2" s="106" t="s">
        <v>31</v>
      </c>
      <c r="C2" s="106" t="s">
        <v>32</v>
      </c>
      <c r="D2" s="106" t="s">
        <v>33</v>
      </c>
      <c r="E2" s="106" t="s">
        <v>34</v>
      </c>
      <c r="F2" s="106" t="s">
        <v>35</v>
      </c>
      <c r="G2" s="107" t="s">
        <v>98</v>
      </c>
      <c r="H2" s="107" t="s">
        <v>99</v>
      </c>
      <c r="I2" s="107" t="s">
        <v>100</v>
      </c>
      <c r="J2" s="107" t="s">
        <v>101</v>
      </c>
      <c r="K2" s="107" t="s">
        <v>102</v>
      </c>
      <c r="L2" s="107" t="s">
        <v>103</v>
      </c>
      <c r="M2" s="107" t="s">
        <v>104</v>
      </c>
      <c r="N2" s="107" t="s">
        <v>105</v>
      </c>
      <c r="P2" s="56" t="s">
        <v>2</v>
      </c>
      <c r="Q2" s="56" t="s">
        <v>108</v>
      </c>
      <c r="R2" s="56" t="s">
        <v>109</v>
      </c>
      <c r="S2" s="56" t="s">
        <v>26</v>
      </c>
      <c r="T2" s="37" t="s">
        <v>27</v>
      </c>
      <c r="U2" s="56" t="s">
        <v>110</v>
      </c>
      <c r="V2" s="56" t="s">
        <v>111</v>
      </c>
      <c r="W2" s="56" t="s">
        <v>112</v>
      </c>
      <c r="X2" s="56" t="s">
        <v>113</v>
      </c>
      <c r="Y2" t="s">
        <v>106</v>
      </c>
      <c r="Z2" t="s">
        <v>107</v>
      </c>
    </row>
    <row r="3" spans="1:27" ht="17" thickBot="1">
      <c r="A3" s="61" t="s">
        <v>36</v>
      </c>
      <c r="B3" s="62">
        <v>15.7</v>
      </c>
      <c r="C3" s="62">
        <v>-3.3</v>
      </c>
      <c r="D3" s="62">
        <f>AVERAGE(B3:C3)</f>
        <v>6.1999999999999993</v>
      </c>
      <c r="E3" s="62">
        <v>44.3</v>
      </c>
      <c r="F3" s="62">
        <f>B3-C3</f>
        <v>19</v>
      </c>
      <c r="G3" s="58">
        <f>(B3/1000+1)*0.0036765</f>
        <v>3.73422105E-3</v>
      </c>
      <c r="H3" s="58">
        <f>(C3/1000+1)*0.0036765</f>
        <v>3.6643675500000004E-3</v>
      </c>
      <c r="I3" s="58">
        <f>(E3/1000+1)*0.0020052</f>
        <v>2.0940303600000001E-3</v>
      </c>
      <c r="J3" s="58">
        <f>(I3/0.0020052)^0.516*0.0003799</f>
        <v>3.8849294549053509E-4</v>
      </c>
      <c r="K3" s="59">
        <f>G3+H3+J3</f>
        <v>7.7870815454905359E-3</v>
      </c>
      <c r="L3" s="59">
        <f>(G3+H3)*J3+I3+G3*H3</f>
        <v>2.1105882179178336E-3</v>
      </c>
      <c r="M3" s="60">
        <f>K3/size_correction!X$3</f>
        <v>1.0059496767117579</v>
      </c>
      <c r="N3" s="60">
        <f>L3/size_correction!Y$3</f>
        <v>1.0044225086731247</v>
      </c>
      <c r="P3" s="56" t="str">
        <f>size_correction!D3</f>
        <v>ATM_EQ_SW</v>
      </c>
      <c r="Q3" s="61">
        <f t="shared" ref="Q3:R5" si="0">M3</f>
        <v>1.0059496767117579</v>
      </c>
      <c r="R3" s="61">
        <f t="shared" si="0"/>
        <v>1.0044225086731247</v>
      </c>
      <c r="S3" s="102">
        <f>size_correction!AF3</f>
        <v>1.0056851052976181</v>
      </c>
      <c r="T3" s="102">
        <f>size_correction!AG3</f>
        <v>1.0075218399408568</v>
      </c>
      <c r="U3" s="60">
        <f t="shared" ref="U3:U17" si="1">LN(S3)</f>
        <v>5.6690060748599133E-3</v>
      </c>
      <c r="V3" s="60">
        <f t="shared" ref="V3:V17" si="2">LN(T3)</f>
        <v>7.4936919644022753E-3</v>
      </c>
      <c r="W3" s="60">
        <f t="shared" ref="W3:X9" si="3">LN(Q3)</f>
        <v>5.9320472770020231E-3</v>
      </c>
      <c r="X3" s="60">
        <f t="shared" si="3"/>
        <v>4.412758119012896E-3</v>
      </c>
      <c r="Y3" s="64">
        <f>SLOPE(W3:W54,U3:U54)</f>
        <v>1.058002378564959</v>
      </c>
      <c r="Z3" s="64">
        <f>SLOPE(X3:X54,V3:V54)</f>
        <v>0.9378376950888252</v>
      </c>
      <c r="AA3" t="s">
        <v>181</v>
      </c>
    </row>
    <row r="4" spans="1:27" ht="18" thickTop="1" thickBot="1">
      <c r="A4" s="61" t="s">
        <v>38</v>
      </c>
      <c r="B4" s="62">
        <v>5.55</v>
      </c>
      <c r="C4" s="62">
        <v>-12.87</v>
      </c>
      <c r="D4" s="62">
        <f>AVERAGE(B4:C4)</f>
        <v>-3.6599999999999997</v>
      </c>
      <c r="E4" s="62">
        <v>32.729999999999997</v>
      </c>
      <c r="F4" s="62">
        <f t="shared" ref="F4:F9" si="4">B4-C4</f>
        <v>18.419999999999998</v>
      </c>
      <c r="G4" s="58">
        <f>(B4/1000+1)*0.0036765</f>
        <v>3.6969045749999999E-3</v>
      </c>
      <c r="H4" s="58">
        <f>(C4/1000+1)*0.0036765</f>
        <v>3.6291834449999998E-3</v>
      </c>
      <c r="I4" s="58">
        <f>(E4/1000+1)*0.0020052</f>
        <v>2.0708301959999997E-3</v>
      </c>
      <c r="J4" s="58">
        <f>(I4/0.0020052)^0.516*0.0003799</f>
        <v>3.8626599693337293E-4</v>
      </c>
      <c r="K4" s="59">
        <f>G4+H4+J4</f>
        <v>7.7123540169333725E-3</v>
      </c>
      <c r="L4" s="59">
        <f>(G4+H4)*J4+I4+G4*H4</f>
        <v>2.0870767595740011E-3</v>
      </c>
      <c r="M4" s="60">
        <f>K4/size_correction!X$3</f>
        <v>0.99629623559207692</v>
      </c>
      <c r="N4" s="60">
        <f>L4/size_correction!Y$3</f>
        <v>0.99323347721175648</v>
      </c>
      <c r="P4" s="56" t="str">
        <f>size_correction!D4</f>
        <v>S2_ref_1</v>
      </c>
      <c r="Q4" s="61">
        <f t="shared" si="0"/>
        <v>0.99629623559207692</v>
      </c>
      <c r="R4" s="61">
        <f t="shared" si="0"/>
        <v>0.99323347721175648</v>
      </c>
      <c r="S4" s="102">
        <f>size_correction!AF4</f>
        <v>0.99668972770557829</v>
      </c>
      <c r="T4" s="102">
        <f>size_correction!AG4</f>
        <v>0.99497700286985102</v>
      </c>
      <c r="U4" s="60">
        <f t="shared" si="1"/>
        <v>-3.3157633670658081E-3</v>
      </c>
      <c r="V4" s="60">
        <f t="shared" si="2"/>
        <v>-5.0356547842637621E-3</v>
      </c>
      <c r="W4" s="60">
        <f t="shared" si="3"/>
        <v>-3.7106403264231301E-3</v>
      </c>
      <c r="X4" s="60">
        <f t="shared" si="3"/>
        <v>-6.7895195007928941E-3</v>
      </c>
      <c r="Y4" s="64">
        <f>INTERCEPT(W3:W54,U3:U54)</f>
        <v>-1.8840219242949102E-5</v>
      </c>
      <c r="Z4" s="64">
        <f>INTERCEPT(X3:X54,V3:V54)</f>
        <v>-1.5500612170959347E-3</v>
      </c>
      <c r="AA4" t="s">
        <v>182</v>
      </c>
    </row>
    <row r="5" spans="1:27" ht="18" thickTop="1" thickBot="1">
      <c r="A5" s="61" t="s">
        <v>37</v>
      </c>
      <c r="B5" s="62">
        <v>-0.40396535511111115</v>
      </c>
      <c r="C5" s="62">
        <v>-0.14814902897277774</v>
      </c>
      <c r="D5" s="62">
        <f>AVERAGE(B5:C5)</f>
        <v>-0.27605719204194445</v>
      </c>
      <c r="E5" s="62">
        <v>41.949257311111111</v>
      </c>
      <c r="F5" s="62">
        <f t="shared" si="4"/>
        <v>-0.25581632613833338</v>
      </c>
      <c r="G5" s="58">
        <f t="shared" ref="G5:H9" si="5">(B5/1000+1)*0.0036765</f>
        <v>3.6750148213719339E-3</v>
      </c>
      <c r="H5" s="58">
        <f t="shared" si="5"/>
        <v>3.6759553300949816E-3</v>
      </c>
      <c r="I5" s="58">
        <f t="shared" ref="I5:I9" si="6">(E5/1000+1)*0.0020052</f>
        <v>2.0893166507602399E-3</v>
      </c>
      <c r="J5" s="58">
        <f t="shared" ref="J5:J9" si="7">(I5/0.0020052)^0.516*0.0003799</f>
        <v>3.8804145413997107E-4</v>
      </c>
      <c r="K5" s="59">
        <f t="shared" ref="K5:K9" si="8">G5+H5+J5</f>
        <v>7.7390116056068863E-3</v>
      </c>
      <c r="L5" s="59">
        <f t="shared" ref="L5:L9" si="9">(G5+H5)*J5+I5+G5*H5</f>
        <v>2.1056783222279545E-3</v>
      </c>
      <c r="M5" s="60">
        <f>K5/size_correction!X$3</f>
        <v>0.99973991247556415</v>
      </c>
      <c r="N5" s="60">
        <f>L5/size_correction!Y$3</f>
        <v>1.0020859042591113</v>
      </c>
      <c r="P5" s="56" t="str">
        <f>size_correction!D5</f>
        <v>B6_ref_1</v>
      </c>
      <c r="Q5" s="61">
        <f t="shared" si="0"/>
        <v>0.99973991247556415</v>
      </c>
      <c r="R5" s="61">
        <f t="shared" si="0"/>
        <v>1.0020859042591113</v>
      </c>
      <c r="S5" s="102">
        <f>size_correction!AF5</f>
        <v>1.0003832772874761</v>
      </c>
      <c r="T5" s="102">
        <f>size_correction!AG5</f>
        <v>1.0043106480077921</v>
      </c>
      <c r="U5" s="60">
        <f t="shared" si="1"/>
        <v>3.8320385549917295E-4</v>
      </c>
      <c r="V5" s="60">
        <f t="shared" si="2"/>
        <v>4.3013837783483656E-3</v>
      </c>
      <c r="W5" s="60">
        <f t="shared" si="3"/>
        <v>-2.6012135306176113E-4</v>
      </c>
      <c r="X5" s="60">
        <f t="shared" si="3"/>
        <v>2.0837317813513596E-3</v>
      </c>
    </row>
    <row r="6" spans="1:27" ht="18" thickTop="1" thickBot="1">
      <c r="A6" s="61" t="s">
        <v>175</v>
      </c>
      <c r="B6" s="62">
        <v>-22.21</v>
      </c>
      <c r="C6" s="62">
        <v>-49.28</v>
      </c>
      <c r="D6" s="62">
        <f t="shared" ref="D6:D9" si="10">AVERAGE(B6:C6)</f>
        <v>-35.745000000000005</v>
      </c>
      <c r="E6" s="62">
        <v>26.94</v>
      </c>
      <c r="F6" s="62">
        <f t="shared" si="4"/>
        <v>27.07</v>
      </c>
      <c r="G6" s="58">
        <f t="shared" si="5"/>
        <v>3.5948449350000004E-3</v>
      </c>
      <c r="H6" s="58">
        <f t="shared" si="5"/>
        <v>3.49532208E-3</v>
      </c>
      <c r="I6" s="58">
        <f t="shared" si="6"/>
        <v>2.0592200879999997E-3</v>
      </c>
      <c r="J6" s="58">
        <f t="shared" si="7"/>
        <v>3.8514702697154833E-4</v>
      </c>
      <c r="K6" s="59">
        <f t="shared" si="8"/>
        <v>7.4753140419715489E-3</v>
      </c>
      <c r="L6" s="59">
        <f t="shared" si="9"/>
        <v>2.0745159856220404E-3</v>
      </c>
      <c r="M6" s="60">
        <f>K6/size_correction!X$3</f>
        <v>0.96567497077192166</v>
      </c>
      <c r="N6" s="60">
        <f>L6/size_correction!Y$3</f>
        <v>0.98725584312065418</v>
      </c>
      <c r="P6" s="56" t="str">
        <f>size_correction!D6</f>
        <v>ATM_EQ_SW_1</v>
      </c>
      <c r="Q6" s="61">
        <f t="shared" ref="Q6:R8" si="11">M3</f>
        <v>1.0059496767117579</v>
      </c>
      <c r="R6" s="61">
        <f t="shared" si="11"/>
        <v>1.0044225086731247</v>
      </c>
      <c r="S6" s="102">
        <f>size_correction!AF6</f>
        <v>1.0064059824102283</v>
      </c>
      <c r="T6" s="102">
        <f>size_correction!AG6</f>
        <v>1.0077071570383731</v>
      </c>
      <c r="U6" s="60">
        <f t="shared" si="1"/>
        <v>6.3855513126554056E-3</v>
      </c>
      <c r="V6" s="60">
        <f t="shared" si="2"/>
        <v>7.6776086292741075E-3</v>
      </c>
      <c r="W6" s="60">
        <f t="shared" si="3"/>
        <v>5.9320472770020231E-3</v>
      </c>
      <c r="X6" s="60">
        <f t="shared" si="3"/>
        <v>4.412758119012896E-3</v>
      </c>
    </row>
    <row r="7" spans="1:27" ht="18" thickTop="1" thickBot="1">
      <c r="A7" s="61">
        <v>53504</v>
      </c>
      <c r="B7" s="62">
        <v>1.71</v>
      </c>
      <c r="C7" s="62">
        <v>94.44</v>
      </c>
      <c r="D7" s="62">
        <f t="shared" si="10"/>
        <v>48.074999999999996</v>
      </c>
      <c r="E7" s="62">
        <v>36.01</v>
      </c>
      <c r="F7" s="62">
        <f t="shared" si="4"/>
        <v>-92.73</v>
      </c>
      <c r="G7" s="58">
        <f>(B7/1000+1)*0.0036765</f>
        <v>3.6827868150000006E-3</v>
      </c>
      <c r="H7" s="58">
        <f t="shared" si="5"/>
        <v>4.0237086600000008E-3</v>
      </c>
      <c r="I7" s="58">
        <f t="shared" si="6"/>
        <v>2.0774072520000002E-3</v>
      </c>
      <c r="J7" s="58">
        <f t="shared" si="7"/>
        <v>3.8689853960154226E-4</v>
      </c>
      <c r="K7" s="59">
        <f t="shared" si="8"/>
        <v>8.0933940146015442E-3</v>
      </c>
      <c r="L7" s="59">
        <f t="shared" si="9"/>
        <v>2.0952073450451725E-3</v>
      </c>
      <c r="M7" s="60">
        <f>K7/size_correction!X$3</f>
        <v>1.0455196911613225</v>
      </c>
      <c r="N7" s="60">
        <f>L7/size_correction!Y$3</f>
        <v>0.99710279808951241</v>
      </c>
      <c r="P7" s="56" t="str">
        <f>size_correction!D7</f>
        <v>S2_ref_2</v>
      </c>
      <c r="Q7" s="61">
        <f t="shared" si="11"/>
        <v>0.99629623559207692</v>
      </c>
      <c r="R7" s="61">
        <f t="shared" si="11"/>
        <v>0.99323347721175648</v>
      </c>
      <c r="S7" s="102">
        <f>size_correction!AF7</f>
        <v>0.99663201609671503</v>
      </c>
      <c r="T7" s="102">
        <f>size_correction!AG7</f>
        <v>0.9951628615034982</v>
      </c>
      <c r="U7" s="60">
        <f t="shared" si="1"/>
        <v>-3.3736683280273967E-3</v>
      </c>
      <c r="V7" s="60">
        <f t="shared" si="2"/>
        <v>-4.8488753146248009E-3</v>
      </c>
      <c r="W7" s="60">
        <f t="shared" si="3"/>
        <v>-3.7106403264231301E-3</v>
      </c>
      <c r="X7" s="60">
        <f t="shared" si="3"/>
        <v>-6.7895195007928941E-3</v>
      </c>
    </row>
    <row r="8" spans="1:27" ht="18" thickTop="1" thickBot="1">
      <c r="A8" s="61" t="s">
        <v>176</v>
      </c>
      <c r="B8" s="62">
        <v>17.11</v>
      </c>
      <c r="C8" s="62">
        <v>-3.43</v>
      </c>
      <c r="D8" s="62">
        <f t="shared" si="10"/>
        <v>6.84</v>
      </c>
      <c r="E8" s="62">
        <v>35.29</v>
      </c>
      <c r="F8" s="62">
        <f t="shared" si="4"/>
        <v>20.54</v>
      </c>
      <c r="G8" s="58">
        <f t="shared" si="5"/>
        <v>3.7394049149999998E-3</v>
      </c>
      <c r="H8" s="58">
        <f t="shared" si="5"/>
        <v>3.6638896049999998E-3</v>
      </c>
      <c r="I8" s="58">
        <f t="shared" si="6"/>
        <v>2.0759635080000003E-3</v>
      </c>
      <c r="J8" s="58">
        <f t="shared" si="7"/>
        <v>3.8675977189798279E-4</v>
      </c>
      <c r="K8" s="59">
        <f t="shared" si="8"/>
        <v>7.7900542918979817E-3</v>
      </c>
      <c r="L8" s="59">
        <f t="shared" si="9"/>
        <v>2.0925275712968031E-3</v>
      </c>
      <c r="M8" s="60">
        <f>K8/size_correction!X$3</f>
        <v>1.0063337016214813</v>
      </c>
      <c r="N8" s="60">
        <f>L8/size_correction!Y$3</f>
        <v>0.99582750191939118</v>
      </c>
      <c r="P8" s="56" t="str">
        <f>size_correction!D8</f>
        <v>B6_ref_2</v>
      </c>
      <c r="Q8" s="61">
        <f t="shared" si="11"/>
        <v>0.99973991247556415</v>
      </c>
      <c r="R8" s="61">
        <f t="shared" si="11"/>
        <v>1.0020859042591113</v>
      </c>
      <c r="S8" s="102">
        <f>size_correction!AF8</f>
        <v>0.99917068284195976</v>
      </c>
      <c r="T8" s="102">
        <f>size_correction!AG8</f>
        <v>1.0023860907979212</v>
      </c>
      <c r="U8" s="60">
        <f t="shared" si="1"/>
        <v>-8.2966123175853173E-4</v>
      </c>
      <c r="V8" s="60">
        <f t="shared" si="2"/>
        <v>2.3832486035312902E-3</v>
      </c>
      <c r="W8" s="60">
        <f t="shared" si="3"/>
        <v>-2.6012135306176113E-4</v>
      </c>
      <c r="X8" s="60">
        <f t="shared" si="3"/>
        <v>2.0837317813513596E-3</v>
      </c>
    </row>
    <row r="9" spans="1:27" ht="18" thickTop="1" thickBot="1">
      <c r="A9" s="108">
        <v>90454</v>
      </c>
      <c r="B9" s="109">
        <v>25.73</v>
      </c>
      <c r="C9" s="109">
        <v>25.44</v>
      </c>
      <c r="D9" s="109">
        <f t="shared" si="10"/>
        <v>25.585000000000001</v>
      </c>
      <c r="E9" s="109">
        <v>35.880000000000003</v>
      </c>
      <c r="F9" s="109">
        <f t="shared" si="4"/>
        <v>0.28999999999999915</v>
      </c>
      <c r="G9" s="110">
        <f t="shared" si="5"/>
        <v>3.7710963450000002E-3</v>
      </c>
      <c r="H9" s="110">
        <f t="shared" si="5"/>
        <v>3.7700301599999995E-3</v>
      </c>
      <c r="I9" s="110">
        <f t="shared" si="6"/>
        <v>2.0771465759999996E-3</v>
      </c>
      <c r="J9" s="110">
        <f t="shared" si="7"/>
        <v>3.8687348777560239E-4</v>
      </c>
      <c r="K9" s="111">
        <f t="shared" si="8"/>
        <v>7.9279999927756029E-3</v>
      </c>
      <c r="L9" s="111">
        <f t="shared" si="9"/>
        <v>2.0942811848696616E-3</v>
      </c>
      <c r="M9" s="60">
        <f>K9/size_correction!X$3</f>
        <v>1.0241537838167138</v>
      </c>
      <c r="N9" s="60">
        <f>L9/size_correction!Y$3</f>
        <v>0.9966620412810443</v>
      </c>
      <c r="P9" s="56" t="str">
        <f>size_correction!D9</f>
        <v>ATM_EQ_SW_2</v>
      </c>
      <c r="Q9" s="61">
        <f>M3</f>
        <v>1.0059496767117579</v>
      </c>
      <c r="R9" s="61">
        <f>N3</f>
        <v>1.0044225086731247</v>
      </c>
      <c r="S9" s="102">
        <f>size_correction!AF9</f>
        <v>1.0050941512728657</v>
      </c>
      <c r="T9" s="102">
        <f>size_correction!AG9</f>
        <v>1.0057116133646442</v>
      </c>
      <c r="U9" s="60">
        <f t="shared" si="1"/>
        <v>5.0812199816469847E-3</v>
      </c>
      <c r="V9" s="60">
        <f t="shared" si="2"/>
        <v>5.6953639452707308E-3</v>
      </c>
      <c r="W9" s="60">
        <f t="shared" si="3"/>
        <v>5.9320472770020231E-3</v>
      </c>
      <c r="X9" s="60">
        <f t="shared" si="3"/>
        <v>4.412758119012896E-3</v>
      </c>
    </row>
    <row r="10" spans="1:27" ht="18" thickTop="1" thickBot="1">
      <c r="A10" s="56"/>
      <c r="B10" s="56"/>
      <c r="C10" s="56"/>
      <c r="D10" s="37"/>
      <c r="E10" s="56"/>
      <c r="F10" s="55"/>
      <c r="G10" s="55"/>
      <c r="H10" s="37"/>
      <c r="I10" s="56"/>
      <c r="J10" s="55"/>
      <c r="M10" s="56"/>
      <c r="N10" s="56"/>
      <c r="O10" s="56"/>
      <c r="P10" s="56" t="str">
        <f>size_correction!D10</f>
        <v>DI</v>
      </c>
      <c r="Q10" s="61"/>
      <c r="R10" s="61"/>
      <c r="S10" s="102">
        <f>size_correction!AF10</f>
        <v>0.99092722925764687</v>
      </c>
      <c r="T10" s="102">
        <f>size_correction!AG10</f>
        <v>1.0049378092932522</v>
      </c>
      <c r="U10" s="60">
        <f t="shared" si="1"/>
        <v>-9.1141789753790732E-3</v>
      </c>
      <c r="V10" s="60">
        <f t="shared" si="2"/>
        <v>4.9256582960658154E-3</v>
      </c>
      <c r="W10" s="60"/>
      <c r="X10" s="60"/>
    </row>
    <row r="11" spans="1:27" ht="18" thickTop="1" thickBot="1">
      <c r="L11" s="56"/>
      <c r="M11" s="56"/>
      <c r="P11" s="56" t="str">
        <f>size_correction!D11</f>
        <v>ATM_EQ_SW_1</v>
      </c>
      <c r="Q11" s="61">
        <f t="shared" ref="Q11:R13" si="12">M3</f>
        <v>1.0059496767117579</v>
      </c>
      <c r="R11" s="61">
        <f t="shared" si="12"/>
        <v>1.0044225086731247</v>
      </c>
      <c r="S11" s="102">
        <f>size_correction!AF11</f>
        <v>1.0057192814133826</v>
      </c>
      <c r="T11" s="102">
        <f>size_correction!AG11</f>
        <v>1.0054625917600983</v>
      </c>
      <c r="U11" s="60">
        <f t="shared" si="1"/>
        <v>5.7029884167436144E-3</v>
      </c>
      <c r="V11" s="60">
        <f t="shared" si="2"/>
        <v>5.4477259185061388E-3</v>
      </c>
      <c r="W11" s="60">
        <f t="shared" ref="W11:X16" si="13">LN(Q11)</f>
        <v>5.9320472770020231E-3</v>
      </c>
      <c r="X11" s="60">
        <f t="shared" si="13"/>
        <v>4.412758119012896E-3</v>
      </c>
    </row>
    <row r="12" spans="1:27" ht="18" thickTop="1" thickBot="1">
      <c r="M12" s="56"/>
      <c r="O12" s="56"/>
      <c r="P12" s="56" t="str">
        <f>size_correction!D12</f>
        <v>S2_ref_1</v>
      </c>
      <c r="Q12" s="61">
        <f t="shared" si="12"/>
        <v>0.99629623559207692</v>
      </c>
      <c r="R12" s="61">
        <f t="shared" si="12"/>
        <v>0.99323347721175648</v>
      </c>
      <c r="S12" s="102">
        <f>size_correction!AF12</f>
        <v>0.99641187878361481</v>
      </c>
      <c r="T12" s="102">
        <f>size_correction!AG12</f>
        <v>0.99378130442821833</v>
      </c>
      <c r="U12" s="60">
        <f t="shared" si="1"/>
        <v>-3.5945739634335372E-3</v>
      </c>
      <c r="V12" s="60">
        <f t="shared" si="2"/>
        <v>-6.2381121983366193E-3</v>
      </c>
      <c r="W12" s="60">
        <f t="shared" si="13"/>
        <v>-3.7106403264231301E-3</v>
      </c>
      <c r="X12" s="60">
        <f t="shared" si="13"/>
        <v>-6.7895195007928941E-3</v>
      </c>
    </row>
    <row r="13" spans="1:27" ht="18" thickTop="1" thickBot="1">
      <c r="P13" s="56" t="str">
        <f>size_correction!D13</f>
        <v>B6_ref_1</v>
      </c>
      <c r="Q13" s="61">
        <f t="shared" si="12"/>
        <v>0.99973991247556415</v>
      </c>
      <c r="R13" s="61">
        <f t="shared" si="12"/>
        <v>1.0020859042591113</v>
      </c>
      <c r="S13" s="102">
        <f>size_correction!AF13</f>
        <v>1.0001796848444418</v>
      </c>
      <c r="T13" s="102">
        <f>size_correction!AG13</f>
        <v>1.0040343543858852</v>
      </c>
      <c r="U13" s="60">
        <f t="shared" si="1"/>
        <v>1.7966870305363727E-4</v>
      </c>
      <c r="V13" s="60">
        <f t="shared" si="2"/>
        <v>4.0262381999534996E-3</v>
      </c>
      <c r="W13" s="60">
        <f t="shared" si="13"/>
        <v>-2.6012135306176113E-4</v>
      </c>
      <c r="X13" s="60">
        <f t="shared" si="13"/>
        <v>2.0837317813513596E-3</v>
      </c>
    </row>
    <row r="14" spans="1:27" ht="18" thickTop="1" thickBot="1">
      <c r="P14" s="56" t="str">
        <f>size_correction!D14</f>
        <v>ATM_EQ_SW_2</v>
      </c>
      <c r="Q14" s="61">
        <f>M3</f>
        <v>1.0059496767117579</v>
      </c>
      <c r="R14" s="61">
        <f>N3</f>
        <v>1.0044225086731247</v>
      </c>
      <c r="S14" s="102">
        <f>size_correction!AF14</f>
        <v>1.0048805539160894</v>
      </c>
      <c r="T14" s="102">
        <f>size_correction!AG14</f>
        <v>1.0053599727245706</v>
      </c>
      <c r="U14" s="60">
        <f t="shared" si="1"/>
        <v>4.8686826228146419E-3</v>
      </c>
      <c r="V14" s="60">
        <f t="shared" si="2"/>
        <v>5.3456591947391319E-3</v>
      </c>
      <c r="W14" s="60">
        <f t="shared" si="13"/>
        <v>5.9320472770020231E-3</v>
      </c>
      <c r="X14" s="60">
        <f t="shared" si="13"/>
        <v>4.412758119012896E-3</v>
      </c>
    </row>
    <row r="15" spans="1:27" ht="18" thickTop="1" thickBot="1">
      <c r="P15" s="56" t="str">
        <f>size_correction!D15</f>
        <v>ATM_EQ_SW_3</v>
      </c>
      <c r="Q15" s="61">
        <f>M3</f>
        <v>1.0059496767117579</v>
      </c>
      <c r="R15" s="61">
        <f>N3</f>
        <v>1.0044225086731247</v>
      </c>
      <c r="S15" s="102">
        <f>size_correction!AF15</f>
        <v>1.0056387310168626</v>
      </c>
      <c r="T15" s="102">
        <f>size_correction!AG15</f>
        <v>1.0064676550191509</v>
      </c>
      <c r="U15" s="60">
        <f t="shared" si="1"/>
        <v>5.6228928832132777E-3</v>
      </c>
      <c r="V15" s="60">
        <f t="shared" si="2"/>
        <v>6.446829485110093E-3</v>
      </c>
      <c r="W15" s="60">
        <f t="shared" si="13"/>
        <v>5.9320472770020231E-3</v>
      </c>
      <c r="X15" s="60">
        <f t="shared" si="13"/>
        <v>4.412758119012896E-3</v>
      </c>
    </row>
    <row r="16" spans="1:27" ht="18" thickTop="1" thickBot="1">
      <c r="P16" s="56" t="str">
        <f>size_correction!D16</f>
        <v>S2_ref_2</v>
      </c>
      <c r="Q16" s="61">
        <f>M4</f>
        <v>0.99629623559207692</v>
      </c>
      <c r="R16" s="61">
        <f>N4</f>
        <v>0.99323347721175648</v>
      </c>
      <c r="S16" s="102">
        <f>size_correction!AF16</f>
        <v>0.99633327484903467</v>
      </c>
      <c r="T16" s="102">
        <f>size_correction!AG16</f>
        <v>0.99474403428411884</v>
      </c>
      <c r="U16" s="60">
        <f t="shared" si="1"/>
        <v>-3.6734640658408848E-3</v>
      </c>
      <c r="V16" s="60">
        <f t="shared" si="2"/>
        <v>-5.2698268942697113E-3</v>
      </c>
      <c r="W16" s="60">
        <f t="shared" si="13"/>
        <v>-3.7106403264231301E-3</v>
      </c>
      <c r="X16" s="60">
        <f t="shared" si="13"/>
        <v>-6.7895195007928941E-3</v>
      </c>
    </row>
    <row r="17" spans="4:24" ht="18" thickTop="1" thickBot="1">
      <c r="P17" s="56" t="str">
        <f>size_correction!D17</f>
        <v>DI</v>
      </c>
      <c r="Q17" s="61"/>
      <c r="R17" s="61"/>
      <c r="S17" s="102">
        <f>size_correction!AF17</f>
        <v>0.99349493237592013</v>
      </c>
      <c r="T17" s="102">
        <f>size_correction!AG17</f>
        <v>1.0044001925480899</v>
      </c>
      <c r="U17" s="60">
        <f t="shared" si="1"/>
        <v>-6.5263177824188435E-3</v>
      </c>
      <c r="V17" s="60">
        <f t="shared" si="2"/>
        <v>4.3905400058642007E-3</v>
      </c>
      <c r="W17" s="60"/>
      <c r="X17" s="60"/>
    </row>
    <row r="18" spans="4:24" ht="17" thickTop="1"/>
    <row r="28" spans="4:24">
      <c r="D28" s="56"/>
      <c r="E28" s="57"/>
    </row>
    <row r="29" spans="4:24">
      <c r="D29" s="56"/>
      <c r="E29" s="57"/>
    </row>
    <row r="30" spans="4:24">
      <c r="D30" s="56"/>
      <c r="E30" s="57"/>
    </row>
    <row r="31" spans="4:24">
      <c r="D31" s="56"/>
      <c r="E31" s="57"/>
    </row>
    <row r="32" spans="4:24">
      <c r="D32" s="56"/>
      <c r="E32" s="57"/>
    </row>
    <row r="33" spans="4:5">
      <c r="D33" s="56"/>
      <c r="E33" s="57"/>
    </row>
    <row r="34" spans="4:5">
      <c r="D34" s="56"/>
      <c r="E34" s="57"/>
    </row>
    <row r="35" spans="4:5">
      <c r="D35" s="56"/>
      <c r="E35" s="57"/>
    </row>
    <row r="36" spans="4:5">
      <c r="D36" s="56"/>
      <c r="E36" s="57"/>
    </row>
    <row r="37" spans="4:5">
      <c r="D37" s="56"/>
      <c r="E37" s="57"/>
    </row>
    <row r="38" spans="4:5">
      <c r="D38" s="56"/>
      <c r="E38" s="57"/>
    </row>
    <row r="39" spans="4:5">
      <c r="D39" s="56"/>
      <c r="E39" s="57"/>
    </row>
    <row r="40" spans="4:5">
      <c r="D40" s="56"/>
      <c r="E40" s="57"/>
    </row>
    <row r="41" spans="4:5">
      <c r="D41" s="56"/>
      <c r="E41" s="57"/>
    </row>
    <row r="42" spans="4:5">
      <c r="D42" s="56"/>
      <c r="E42" s="57"/>
    </row>
    <row r="43" spans="4:5">
      <c r="D43" s="56"/>
      <c r="E43" s="57"/>
    </row>
    <row r="44" spans="4:5">
      <c r="D44" s="56"/>
      <c r="E44" s="57"/>
    </row>
    <row r="45" spans="4:5">
      <c r="D45" s="56"/>
      <c r="E45" s="57"/>
    </row>
    <row r="46" spans="4:5">
      <c r="D46" s="56"/>
      <c r="E46" s="57"/>
    </row>
    <row r="47" spans="4:5">
      <c r="D47" s="56"/>
      <c r="E47" s="57"/>
    </row>
  </sheetData>
  <mergeCells count="2">
    <mergeCell ref="A1:F1"/>
    <mergeCell ref="G1:N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9B09D-1008-4441-AE31-949281019A29}">
  <dimension ref="A1:Y14"/>
  <sheetViews>
    <sheetView topLeftCell="G1" workbookViewId="0">
      <selection activeCell="O6" sqref="O6"/>
    </sheetView>
  </sheetViews>
  <sheetFormatPr baseColWidth="10" defaultRowHeight="16"/>
  <cols>
    <col min="1" max="1" width="14.33203125" customWidth="1"/>
    <col min="2" max="2" width="14.1640625" customWidth="1"/>
    <col min="7" max="7" width="13.83203125" customWidth="1"/>
    <col min="8" max="8" width="13.6640625" customWidth="1"/>
    <col min="10" max="10" width="13.83203125" customWidth="1"/>
  </cols>
  <sheetData>
    <row r="1" spans="1:25">
      <c r="A1" s="1" t="s">
        <v>173</v>
      </c>
      <c r="M1" t="s">
        <v>122</v>
      </c>
      <c r="N1">
        <v>3.7990000000000002E-4</v>
      </c>
      <c r="O1" s="24" t="s">
        <v>123</v>
      </c>
      <c r="P1" s="24"/>
      <c r="Q1" s="24"/>
      <c r="R1" s="69"/>
      <c r="S1" s="69"/>
    </row>
    <row r="2" spans="1:25">
      <c r="A2" s="1" t="s">
        <v>174</v>
      </c>
      <c r="M2" t="s">
        <v>124</v>
      </c>
      <c r="N2">
        <v>2.0052E-3</v>
      </c>
      <c r="R2" s="69"/>
      <c r="S2" s="69"/>
    </row>
    <row r="3" spans="1:25">
      <c r="A3" s="121" t="s">
        <v>171</v>
      </c>
      <c r="B3" s="121"/>
      <c r="C3" s="121"/>
      <c r="D3" s="121"/>
      <c r="E3" s="121"/>
      <c r="F3" s="121"/>
      <c r="G3" s="122" t="s">
        <v>172</v>
      </c>
      <c r="H3" s="122"/>
      <c r="I3" s="122"/>
      <c r="J3" s="122"/>
      <c r="K3" s="122"/>
      <c r="L3" s="122"/>
      <c r="M3" t="s">
        <v>125</v>
      </c>
      <c r="N3">
        <v>0.51600000000000001</v>
      </c>
      <c r="R3" s="69"/>
      <c r="S3" s="69"/>
    </row>
    <row r="4" spans="1:25" s="1" customFormat="1" ht="25" customHeight="1">
      <c r="A4" s="1" t="s">
        <v>126</v>
      </c>
      <c r="B4" s="1" t="s">
        <v>127</v>
      </c>
      <c r="C4" s="1" t="s">
        <v>129</v>
      </c>
      <c r="D4" s="1" t="s">
        <v>130</v>
      </c>
      <c r="E4" s="1" t="s">
        <v>136</v>
      </c>
      <c r="F4" s="104" t="s">
        <v>137</v>
      </c>
      <c r="G4" s="1" t="s">
        <v>131</v>
      </c>
      <c r="H4" s="1" t="s">
        <v>132</v>
      </c>
      <c r="I4" s="1" t="s">
        <v>134</v>
      </c>
      <c r="J4" s="1" t="s">
        <v>135</v>
      </c>
      <c r="K4" s="1" t="s">
        <v>139</v>
      </c>
      <c r="L4" s="104" t="s">
        <v>140</v>
      </c>
      <c r="M4" s="104" t="s">
        <v>138</v>
      </c>
      <c r="N4" s="104" t="s">
        <v>141</v>
      </c>
      <c r="O4" s="1" t="s">
        <v>128</v>
      </c>
      <c r="P4" s="1" t="s">
        <v>133</v>
      </c>
      <c r="Q4" s="104" t="s">
        <v>94</v>
      </c>
      <c r="R4" s="104" t="s">
        <v>95</v>
      </c>
      <c r="V4" s="104"/>
      <c r="Y4" s="104"/>
    </row>
    <row r="5" spans="1:25">
      <c r="A5" s="61">
        <v>3.73422105E-3</v>
      </c>
      <c r="B5" s="61">
        <v>3.6643675499999999E-3</v>
      </c>
      <c r="C5" s="61">
        <v>3.7689117349450109E-3</v>
      </c>
      <c r="D5" s="61">
        <v>7.7934998191650307E-3</v>
      </c>
      <c r="E5" s="103">
        <v>2.1164798861162191E-3</v>
      </c>
      <c r="F5" s="61">
        <v>0</v>
      </c>
      <c r="G5" s="61">
        <v>3.6750148213719339E-3</v>
      </c>
      <c r="H5" s="61">
        <v>3.6759553300949816E-3</v>
      </c>
      <c r="I5" s="61">
        <v>3.7228017752489761E-3</v>
      </c>
      <c r="J5" s="61">
        <v>7.7441640342372194E-3</v>
      </c>
      <c r="K5" s="103">
        <v>2.109788966545483E-3</v>
      </c>
      <c r="L5" s="61">
        <v>0</v>
      </c>
      <c r="M5" s="60" cm="1">
        <f t="array" ref="M5">Rsolve18(E5,10,D5,E5,F5,$N$3,$N$2,$N$1)</f>
        <v>2.0998927031414612E-3</v>
      </c>
      <c r="N5" s="60" cm="1">
        <f t="array" ref="N5">Rsolve18(K5,10,J5,K5,L5,$N$3,$N$2,$N$1)</f>
        <v>2.0934050628434882E-3</v>
      </c>
      <c r="O5" s="60">
        <f>$N$1*(M5/$N$2)^$N$3</f>
        <v>3.8905377024749663E-4</v>
      </c>
      <c r="P5" s="60">
        <f>$N$1*(N5/$N$2)^$N$3</f>
        <v>3.8843308121852137E-4</v>
      </c>
      <c r="Q5" s="76">
        <f>(A5+R5*B5+A5*B5-(C5-O5)*(1+(1-R5)*B5))/(A5*(1+C5-O5))</f>
        <v>0.20872209614007559</v>
      </c>
      <c r="R5" s="76">
        <f>((A5-C5+O5)*(1+B5)/(A5*(1+C5-O5)) - (G5-I5+P5)*(1+H5)/(G5*(1+I5-P5)))/(H5/G5-B5/A5)</f>
        <v>0.1159684103244177</v>
      </c>
    </row>
    <row r="6" spans="1:25">
      <c r="A6" s="61">
        <v>3.73422105E-3</v>
      </c>
      <c r="B6" s="61">
        <v>3.6643675499999999E-3</v>
      </c>
      <c r="C6" s="61">
        <v>3.7689117349450109E-3</v>
      </c>
      <c r="D6" s="61">
        <v>7.7934998191650307E-3</v>
      </c>
      <c r="E6" s="103">
        <v>2.1164798861162191E-3</v>
      </c>
      <c r="F6" s="61">
        <v>0</v>
      </c>
      <c r="G6" s="61">
        <v>3.6750148213719339E-3</v>
      </c>
      <c r="H6" s="61">
        <v>3.6759553300949816E-3</v>
      </c>
      <c r="I6" s="61">
        <v>3.7199285353648262E-3</v>
      </c>
      <c r="J6" s="61">
        <v>7.7342329865834319E-3</v>
      </c>
      <c r="K6" s="103">
        <v>2.105997079923158E-3</v>
      </c>
      <c r="L6" s="61">
        <v>0</v>
      </c>
      <c r="M6" s="60" cm="1">
        <f t="array" ref="M6">Rsolve18(E6,10,D6,E6,F6,$N$3,$N$2,$N$1)</f>
        <v>2.0998927031414612E-3</v>
      </c>
      <c r="N6" s="60" cm="1">
        <f t="array" ref="N6">Rsolve18(K6,10,J6,K6,L6,$N$3,$N$2,$N$1)</f>
        <v>2.0896547141455901E-3</v>
      </c>
      <c r="O6" s="60">
        <f>$N$1*(M6/$N$2)^$N$3</f>
        <v>3.8905377024749663E-4</v>
      </c>
      <c r="P6" s="60">
        <f>$N$1*(N6/$N$2)^$N$3</f>
        <v>3.8807385113215798E-4</v>
      </c>
      <c r="Q6" s="76">
        <f>(A6+R6*B6+A6*B6-(C6-O6)*(1+(1-R6)*B6))/(A6*(1+C6-O6))</f>
        <v>0.17329677501906443</v>
      </c>
      <c r="R6" s="76">
        <f>((A6-C6+O6)*(1+B6)/(A6*(1+C6-O6)) - (G6-I6+P6)*(1+H6)/(G6*(1+I6-P6)))/(H6/G6-B6/A6)</f>
        <v>7.9867779580351114E-2</v>
      </c>
    </row>
    <row r="7" spans="1:25">
      <c r="A7" s="61">
        <v>3.73422105E-3</v>
      </c>
      <c r="B7" s="61">
        <v>3.6643675499999999E-3</v>
      </c>
      <c r="C7" s="61">
        <v>3.770760540076305E-3</v>
      </c>
      <c r="D7" s="61">
        <v>7.7827523186501267E-3</v>
      </c>
      <c r="E7" s="61">
        <v>2.1125489546459449E-3</v>
      </c>
      <c r="F7" s="61">
        <v>0</v>
      </c>
      <c r="G7" s="61">
        <v>3.6750148213719339E-3</v>
      </c>
      <c r="H7" s="61">
        <v>3.6759553300949816E-3</v>
      </c>
      <c r="I7" s="61">
        <v>3.7228017752489761E-3</v>
      </c>
      <c r="J7" s="61">
        <v>7.7441640342372194E-3</v>
      </c>
      <c r="K7" s="61">
        <v>2.109788966545483E-3</v>
      </c>
      <c r="L7" s="61">
        <v>0</v>
      </c>
      <c r="M7" s="60" cm="1">
        <f t="array" ref="M7">Rsolve18(E7,10,D7,E7,F7,$N$3,$N$2,$N$1)</f>
        <v>2.096006943235472E-3</v>
      </c>
      <c r="N7" s="60" cm="1">
        <f t="array" ref="N7">Rsolve18(K7,10,J7,K7,L7,$N$3,$N$2,$N$1)</f>
        <v>2.0934050628434882E-3</v>
      </c>
      <c r="O7" s="60">
        <f t="shared" ref="O7:O11" si="0">$N$1*(M7/$N$2)^$N$3</f>
        <v>3.8868212138784054E-4</v>
      </c>
      <c r="P7" s="60">
        <f t="shared" ref="P7:P11" si="1">$N$1*(N7/$N$2)^$N$3</f>
        <v>3.8843308121852137E-4</v>
      </c>
      <c r="Q7" s="76">
        <f t="shared" ref="Q7:Q11" si="2">(A7+R7*B7+A7*B7-(C7-O7)*(1+(1-R7)*B7))/(A7*(1+C7-O7))</f>
        <v>0.17733587859609368</v>
      </c>
      <c r="R7" s="76">
        <f t="shared" ref="R7:R11" si="3">((A7-C7+O7)*(1+B7)/(A7*(1+C7-O7)) - (G7-I7+P7)*(1+H7)/(G7*(1+I7-P7)))/(H7/G7-B7/A7)</f>
        <v>8.4590223076979915E-2</v>
      </c>
    </row>
    <row r="8" spans="1:25">
      <c r="A8" s="61">
        <v>3.73422105E-3</v>
      </c>
      <c r="B8" s="61">
        <v>3.6643675499999999E-3</v>
      </c>
      <c r="C8" s="61">
        <v>3.770760540076305E-3</v>
      </c>
      <c r="D8" s="61">
        <v>7.7827523186501267E-3</v>
      </c>
      <c r="E8" s="61">
        <v>2.1125489546459449E-3</v>
      </c>
      <c r="F8" s="61">
        <v>0</v>
      </c>
      <c r="G8" s="61">
        <v>3.6750148213719339E-3</v>
      </c>
      <c r="H8" s="61">
        <v>3.6759553300949816E-3</v>
      </c>
      <c r="I8" s="61">
        <v>3.7199285353648262E-3</v>
      </c>
      <c r="J8" s="61">
        <v>7.7342329865834319E-3</v>
      </c>
      <c r="K8" s="61">
        <v>2.105997079923158E-3</v>
      </c>
      <c r="L8" s="61">
        <v>0</v>
      </c>
      <c r="M8" s="60" cm="1">
        <f t="array" ref="M8">Rsolve18(E8,10,D8,E8,F8,$N$3,$N$2,$N$1)</f>
        <v>2.096006943235472E-3</v>
      </c>
      <c r="N8" s="60" cm="1">
        <f t="array" ref="N8">Rsolve18(K8,10,J8,K8,L8,$N$3,$N$2,$N$1)</f>
        <v>2.0896547141455901E-3</v>
      </c>
      <c r="O8" s="60">
        <f t="shared" si="0"/>
        <v>3.8868212138784054E-4</v>
      </c>
      <c r="P8" s="60">
        <f t="shared" si="1"/>
        <v>3.8807385113215798E-4</v>
      </c>
      <c r="Q8" s="76">
        <f t="shared" si="2"/>
        <v>0.14191055747508233</v>
      </c>
      <c r="R8" s="76">
        <f t="shared" si="3"/>
        <v>4.8489592332913341E-2</v>
      </c>
    </row>
    <row r="9" spans="1:25">
      <c r="A9" s="61">
        <v>3.73422105E-3</v>
      </c>
      <c r="B9" s="61">
        <v>3.6643675499999999E-3</v>
      </c>
      <c r="C9" s="61">
        <v>3.774157409185728E-3</v>
      </c>
      <c r="D9" s="61">
        <v>7.7878737502717673E-3</v>
      </c>
      <c r="E9" s="61">
        <v>2.11205838421125E-3</v>
      </c>
      <c r="F9" s="61">
        <v>0</v>
      </c>
      <c r="G9" s="61">
        <v>3.6750148213719339E-3</v>
      </c>
      <c r="H9" s="61">
        <v>3.6759553300949816E-3</v>
      </c>
      <c r="I9" s="61">
        <v>3.7242631653031061E-3</v>
      </c>
      <c r="J9" s="61">
        <v>7.742496580265385E-3</v>
      </c>
      <c r="K9" s="61">
        <v>2.1092446228371492E-3</v>
      </c>
      <c r="L9" s="61">
        <v>0</v>
      </c>
      <c r="M9" s="60" cm="1">
        <f t="array" ref="M9">Rsolve18(E9,10,D9,E9,F9,$N$3,$N$2,$N$1)</f>
        <v>2.0954956035312334E-3</v>
      </c>
      <c r="N9" s="60" cm="1">
        <f t="array" ref="N9">Rsolve18(K9,10,J9,K9,L9,$N$3,$N$2,$N$1)</f>
        <v>2.0928676680247141E-3</v>
      </c>
      <c r="O9" s="60">
        <f t="shared" si="0"/>
        <v>3.886331900931322E-4</v>
      </c>
      <c r="P9" s="60">
        <f t="shared" si="1"/>
        <v>3.883816255649651E-4</v>
      </c>
      <c r="Q9" s="76">
        <f t="shared" si="2"/>
        <v>0.14994727862657609</v>
      </c>
      <c r="R9" s="76">
        <f t="shared" si="3"/>
        <v>5.7620461575761298E-2</v>
      </c>
    </row>
    <row r="10" spans="1:25">
      <c r="A10" s="61">
        <v>3.73422105E-3</v>
      </c>
      <c r="B10" s="61">
        <v>3.6643675499999999E-3</v>
      </c>
      <c r="C10" s="61">
        <v>3.7661587198913019E-3</v>
      </c>
      <c r="D10" s="61">
        <v>7.7810024465572326E-3</v>
      </c>
      <c r="E10" s="61">
        <v>2.1118562233900968E-3</v>
      </c>
      <c r="F10" s="61">
        <v>0</v>
      </c>
      <c r="G10" s="61">
        <v>3.6750148213719339E-3</v>
      </c>
      <c r="H10" s="61">
        <v>3.6759553300949816E-3</v>
      </c>
      <c r="I10" s="61">
        <v>3.7242631653031061E-3</v>
      </c>
      <c r="J10" s="61">
        <v>7.742496580265385E-3</v>
      </c>
      <c r="K10" s="61">
        <v>2.1092446228371492E-3</v>
      </c>
      <c r="L10" s="61">
        <v>0</v>
      </c>
      <c r="M10" s="60" cm="1">
        <f t="array" ref="M10">Rsolve18(E10,10,D10,E10,F10,$N$3,$N$2,$N$1)</f>
        <v>2.0953215776226782E-3</v>
      </c>
      <c r="N10" s="60" cm="1">
        <f t="array" ref="N10">Rsolve18(K10,10,J10,K10,L10,$N$3,$N$2,$N$1)</f>
        <v>2.0928676680247141E-3</v>
      </c>
      <c r="O10" s="60">
        <f t="shared" si="0"/>
        <v>3.8861653582803027E-4</v>
      </c>
      <c r="P10" s="60">
        <f t="shared" si="1"/>
        <v>3.883816255649651E-4</v>
      </c>
      <c r="Q10" s="76">
        <f t="shared" si="2"/>
        <v>0.26277357755180591</v>
      </c>
      <c r="R10" s="76">
        <f t="shared" si="3"/>
        <v>0.17041789341507743</v>
      </c>
    </row>
    <row r="11" spans="1:25">
      <c r="A11" s="61">
        <v>3.73422105E-3</v>
      </c>
      <c r="B11" s="61">
        <v>3.6643675499999999E-3</v>
      </c>
      <c r="C11" s="61">
        <v>3.7730126315774341E-3</v>
      </c>
      <c r="D11" s="61">
        <v>7.7872138239604956E-3</v>
      </c>
      <c r="E11" s="61">
        <v>2.114038303996214E-3</v>
      </c>
      <c r="F11" s="61">
        <v>0</v>
      </c>
      <c r="G11" s="61">
        <v>3.6750148213719339E-3</v>
      </c>
      <c r="H11" s="61">
        <v>3.6759553300949816E-3</v>
      </c>
      <c r="I11" s="61">
        <v>3.7242631653031061E-3</v>
      </c>
      <c r="J11" s="61">
        <v>7.742496580265385E-3</v>
      </c>
      <c r="K11" s="61">
        <v>2.1092446228371492E-3</v>
      </c>
      <c r="L11" s="61">
        <v>0</v>
      </c>
      <c r="M11" s="60" cm="1">
        <f t="array" ref="M11">Rsolve18(E11,10,D11,E11,F11,$N$3,$N$2,$N$1)</f>
        <v>2.0974775933835267E-3</v>
      </c>
      <c r="N11" s="60" cm="1">
        <f t="array" ref="N11">Rsolve18(K11,10,J11,K11,L11,$N$3,$N$2,$N$1)</f>
        <v>2.0928676680247141E-3</v>
      </c>
      <c r="O11" s="60">
        <f t="shared" si="0"/>
        <v>3.888228191523488E-4</v>
      </c>
      <c r="P11" s="60">
        <f t="shared" si="1"/>
        <v>3.883816255649651E-4</v>
      </c>
      <c r="Q11" s="76">
        <f t="shared" si="2"/>
        <v>0.16880903099141051</v>
      </c>
      <c r="R11" s="76">
        <f t="shared" si="3"/>
        <v>7.6477388081454753E-2</v>
      </c>
    </row>
    <row r="13" spans="1:25">
      <c r="Q13" s="76">
        <f>AVERAGE(Q5:Q11)</f>
        <v>0.18325645634287266</v>
      </c>
      <c r="R13" s="76">
        <f>AVERAGE(R5:R11)</f>
        <v>9.0490249769565087E-2</v>
      </c>
    </row>
    <row r="14" spans="1:25">
      <c r="Q14" s="76">
        <f>STDEV(Q5:Q11)</f>
        <v>4.1096294725866948E-2</v>
      </c>
      <c r="R14" s="76">
        <f>STDEV(R5:R11)</f>
        <v>4.1283674266355812E-2</v>
      </c>
    </row>
  </sheetData>
  <mergeCells count="2">
    <mergeCell ref="A3:F3"/>
    <mergeCell ref="G3:L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A51B0-D147-5349-B907-3D4412BB9071}">
  <dimension ref="A1:R20"/>
  <sheetViews>
    <sheetView workbookViewId="0">
      <selection activeCell="F19" sqref="F19"/>
    </sheetView>
  </sheetViews>
  <sheetFormatPr baseColWidth="10" defaultRowHeight="16"/>
  <cols>
    <col min="1" max="1" width="16.1640625" customWidth="1"/>
    <col min="5" max="5" width="13.83203125" customWidth="1"/>
    <col min="6" max="6" width="13.5" customWidth="1"/>
    <col min="8" max="8" width="13.33203125" customWidth="1"/>
    <col min="12" max="12" width="16.1640625" customWidth="1"/>
    <col min="13" max="13" width="16" customWidth="1"/>
  </cols>
  <sheetData>
    <row r="1" spans="1:18">
      <c r="A1" s="1" t="s">
        <v>142</v>
      </c>
      <c r="B1" s="70"/>
      <c r="C1" s="70"/>
      <c r="D1" s="70"/>
      <c r="L1" s="71"/>
      <c r="M1" s="71"/>
      <c r="N1" s="71"/>
    </row>
    <row r="2" spans="1:18">
      <c r="A2" t="s">
        <v>143</v>
      </c>
      <c r="B2" s="72">
        <f>B12</f>
        <v>0.4623614635092998</v>
      </c>
      <c r="C2" s="70" t="s">
        <v>144</v>
      </c>
      <c r="D2" s="72">
        <f>C12</f>
        <v>0.10975712247295455</v>
      </c>
      <c r="F2" t="s">
        <v>160</v>
      </c>
      <c r="G2" s="43">
        <f>1/B2</f>
        <v>2.1628100067208269</v>
      </c>
      <c r="H2" t="s">
        <v>159</v>
      </c>
      <c r="L2" s="71"/>
      <c r="M2" s="71"/>
      <c r="N2" s="71"/>
      <c r="O2" s="8"/>
    </row>
    <row r="3" spans="1:18">
      <c r="A3" t="s">
        <v>145</v>
      </c>
      <c r="B3" s="72">
        <f>B13</f>
        <v>8.0186890671505306E-3</v>
      </c>
      <c r="C3" s="70"/>
      <c r="D3" s="72">
        <f>C13</f>
        <v>0.30903560626553517</v>
      </c>
      <c r="L3" s="71"/>
      <c r="M3" s="71"/>
      <c r="N3" s="71"/>
      <c r="O3" s="8"/>
    </row>
    <row r="4" spans="1:18">
      <c r="A4" t="s">
        <v>146</v>
      </c>
      <c r="B4" s="72">
        <v>1.026</v>
      </c>
      <c r="C4" s="70"/>
      <c r="E4" s="70" t="s">
        <v>147</v>
      </c>
      <c r="F4">
        <v>0.99819999999999998</v>
      </c>
      <c r="H4" s="70" t="s">
        <v>148</v>
      </c>
      <c r="I4">
        <v>1.002</v>
      </c>
      <c r="L4" s="73"/>
      <c r="M4" s="74"/>
      <c r="N4" s="73"/>
      <c r="O4" s="73"/>
      <c r="P4" s="75"/>
      <c r="Q4" s="75"/>
    </row>
    <row r="5" spans="1:18">
      <c r="A5" t="s">
        <v>149</v>
      </c>
      <c r="B5" s="76">
        <f>1/B4</f>
        <v>0.97465886939571145</v>
      </c>
      <c r="C5" s="70"/>
      <c r="E5" s="70" t="s">
        <v>150</v>
      </c>
      <c r="F5" s="76">
        <f>1/F4</f>
        <v>1.0018032458425166</v>
      </c>
      <c r="H5" s="70" t="s">
        <v>151</v>
      </c>
      <c r="I5" s="76">
        <f>1/I4</f>
        <v>0.99800399201596801</v>
      </c>
      <c r="L5" s="73"/>
      <c r="M5" s="77"/>
      <c r="N5" s="73"/>
      <c r="O5" s="73"/>
      <c r="P5" s="73"/>
      <c r="Q5" s="78"/>
      <c r="R5" s="73"/>
    </row>
    <row r="6" spans="1:18">
      <c r="A6" t="s">
        <v>152</v>
      </c>
      <c r="B6" s="79">
        <f>B5/1000</f>
        <v>9.7465886939571145E-4</v>
      </c>
      <c r="C6" s="70"/>
      <c r="E6" s="70" t="s">
        <v>153</v>
      </c>
      <c r="F6" s="79">
        <f>F5/1000</f>
        <v>1.0018032458425166E-3</v>
      </c>
      <c r="H6" s="70" t="s">
        <v>154</v>
      </c>
      <c r="I6" s="79">
        <f>I5/1000</f>
        <v>9.9800399201596798E-4</v>
      </c>
      <c r="L6" s="73"/>
      <c r="M6" s="80"/>
      <c r="N6" s="80"/>
      <c r="O6" s="73"/>
      <c r="P6" s="73"/>
      <c r="Q6" s="78"/>
    </row>
    <row r="7" spans="1:18">
      <c r="L7" s="73"/>
      <c r="M7" s="81"/>
      <c r="N7" s="73"/>
    </row>
    <row r="8" spans="1:18" ht="18">
      <c r="L8" s="73"/>
      <c r="M8" s="82"/>
      <c r="N8" s="73"/>
    </row>
    <row r="9" spans="1:18">
      <c r="M9" s="83"/>
      <c r="N9" s="73"/>
    </row>
    <row r="10" spans="1:18">
      <c r="A10" s="84" t="s">
        <v>155</v>
      </c>
      <c r="B10" s="84"/>
      <c r="C10" s="84"/>
      <c r="D10" s="85"/>
      <c r="E10" s="86"/>
      <c r="G10" s="87"/>
      <c r="H10" s="87"/>
      <c r="I10" s="88"/>
      <c r="M10" s="83"/>
      <c r="N10" s="73"/>
    </row>
    <row r="11" spans="1:18">
      <c r="B11" s="1" t="s">
        <v>156</v>
      </c>
      <c r="C11" s="1" t="s">
        <v>157</v>
      </c>
      <c r="F11" s="70"/>
      <c r="G11" s="24"/>
      <c r="H11" s="24"/>
      <c r="I11" s="24"/>
    </row>
    <row r="12" spans="1:18">
      <c r="B12">
        <v>0.4623614635092998</v>
      </c>
      <c r="C12">
        <v>0.10975712247295455</v>
      </c>
      <c r="G12" s="24"/>
      <c r="I12" s="24"/>
    </row>
    <row r="13" spans="1:18">
      <c r="A13" s="1" t="s">
        <v>158</v>
      </c>
      <c r="B13">
        <v>8.0186890671505306E-3</v>
      </c>
      <c r="C13">
        <v>0.30903560626553517</v>
      </c>
      <c r="I13" s="24"/>
    </row>
    <row r="14" spans="1:18">
      <c r="B14">
        <v>0.99342642117731605</v>
      </c>
      <c r="C14" s="43">
        <v>0.96347094633189312</v>
      </c>
      <c r="D14" s="43"/>
      <c r="E14" s="89"/>
      <c r="F14" s="90"/>
      <c r="G14" s="43"/>
      <c r="H14" s="43"/>
      <c r="I14" s="43"/>
    </row>
    <row r="15" spans="1:18">
      <c r="B15">
        <v>3324.7309959200538</v>
      </c>
      <c r="C15" s="43">
        <v>22</v>
      </c>
      <c r="D15" s="43"/>
      <c r="E15" s="43"/>
      <c r="G15" s="43"/>
      <c r="I15" s="43"/>
    </row>
    <row r="16" spans="1:18">
      <c r="B16">
        <v>3086.2688691129169</v>
      </c>
      <c r="C16">
        <v>20.422077817364819</v>
      </c>
      <c r="D16" s="43"/>
      <c r="E16" s="43"/>
      <c r="F16" s="91"/>
      <c r="G16" s="43"/>
      <c r="I16" s="43"/>
    </row>
    <row r="17" spans="4:10">
      <c r="D17" s="43"/>
      <c r="E17" s="43"/>
      <c r="F17" s="91"/>
    </row>
    <row r="18" spans="4:10">
      <c r="G18" s="43"/>
      <c r="I18" s="92"/>
    </row>
    <row r="20" spans="4:10">
      <c r="J20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size_correction</vt:lpstr>
      <vt:lpstr>scale_normalization</vt:lpstr>
      <vt:lpstr>scrambling</vt:lpstr>
      <vt:lpstr>concentration_constants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LaMonica Kelly</dc:creator>
  <cp:lastModifiedBy>Colette LaMonica Kelly</cp:lastModifiedBy>
  <dcterms:created xsi:type="dcterms:W3CDTF">2019-02-01T17:53:12Z</dcterms:created>
  <dcterms:modified xsi:type="dcterms:W3CDTF">2022-09-11T21:09:18Z</dcterms:modified>
</cp:coreProperties>
</file>