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src/"/>
    </mc:Choice>
  </mc:AlternateContent>
  <xr:revisionPtr revIDLastSave="0" documentId="13_ncr:1_{4C761BFA-60E4-7944-93EF-751E388425F8}" xr6:coauthVersionLast="47" xr6:coauthVersionMax="47" xr10:uidLastSave="{00000000-0000-0000-0000-000000000000}"/>
  <bookViews>
    <workbookView xWindow="0" yWindow="500" windowWidth="28800" windowHeight="15940" activeTab="2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4" l="1" a="1"/>
  <c r="M5" i="4"/>
  <c r="O5" i="4"/>
  <c r="D4" i="3"/>
  <c r="D5" i="3"/>
  <c r="D6" i="3"/>
  <c r="D7" i="3"/>
  <c r="D8" i="3"/>
  <c r="D9" i="3"/>
  <c r="H4" i="3"/>
  <c r="H5" i="3"/>
  <c r="H6" i="3"/>
  <c r="H7" i="3"/>
  <c r="H8" i="3"/>
  <c r="H9" i="3"/>
  <c r="G4" i="3"/>
  <c r="G5" i="3"/>
  <c r="G6" i="3"/>
  <c r="G7" i="3"/>
  <c r="G8" i="3"/>
  <c r="G9" i="3"/>
  <c r="B9" i="2"/>
  <c r="B11" i="2"/>
  <c r="F4" i="3"/>
  <c r="F5" i="3"/>
  <c r="F6" i="3"/>
  <c r="F7" i="3"/>
  <c r="F8" i="3"/>
  <c r="F9" i="3"/>
  <c r="B16" i="2"/>
  <c r="B15" i="2"/>
  <c r="B14" i="2"/>
  <c r="B12" i="2"/>
  <c r="B13" i="2"/>
  <c r="B7" i="2"/>
  <c r="B8" i="2"/>
  <c r="B6" i="2"/>
  <c r="B5" i="2"/>
  <c r="B4" i="2"/>
  <c r="B3" i="2"/>
  <c r="I9" i="3"/>
  <c r="J9" i="3"/>
  <c r="L9" i="3"/>
  <c r="K9" i="3"/>
  <c r="K4" i="3"/>
  <c r="M4" i="3"/>
  <c r="L4" i="3"/>
  <c r="N4" i="3"/>
  <c r="K5" i="3"/>
  <c r="M5" i="3"/>
  <c r="L5" i="3"/>
  <c r="N5" i="3"/>
  <c r="K6" i="3"/>
  <c r="M6" i="3"/>
  <c r="L6" i="3"/>
  <c r="N6" i="3"/>
  <c r="K7" i="3"/>
  <c r="M7" i="3"/>
  <c r="L7" i="3"/>
  <c r="N7" i="3"/>
  <c r="K8" i="3"/>
  <c r="M8" i="3"/>
  <c r="L8" i="3"/>
  <c r="N8" i="3"/>
  <c r="N3" i="3"/>
  <c r="M3" i="3"/>
  <c r="I8" i="3"/>
  <c r="J8" i="3"/>
  <c r="I7" i="3"/>
  <c r="J7" i="3"/>
  <c r="I6" i="3"/>
  <c r="J6" i="3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F6" i="2"/>
  <c r="BG6" i="2"/>
  <c r="BH6" i="2"/>
  <c r="BF7" i="2"/>
  <c r="BG7" i="2"/>
  <c r="BH7" i="2"/>
  <c r="BF8" i="2"/>
  <c r="BG8" i="2"/>
  <c r="BH8" i="2"/>
  <c r="BF9" i="2"/>
  <c r="BG9" i="2"/>
  <c r="BH9" i="2"/>
  <c r="BF10" i="2"/>
  <c r="BG10" i="2"/>
  <c r="BH10" i="2"/>
  <c r="BF11" i="2"/>
  <c r="BG11" i="2"/>
  <c r="BH11" i="2"/>
  <c r="BF12" i="2"/>
  <c r="BG12" i="2"/>
  <c r="BH12" i="2"/>
  <c r="BF13" i="2"/>
  <c r="BG13" i="2"/>
  <c r="BH13" i="2"/>
  <c r="BF14" i="2"/>
  <c r="BG14" i="2"/>
  <c r="BH14" i="2"/>
  <c r="BF15" i="2"/>
  <c r="BG15" i="2"/>
  <c r="BH15" i="2"/>
  <c r="BF16" i="2"/>
  <c r="BG16" i="2"/>
  <c r="BH16" i="2"/>
  <c r="BF17" i="2"/>
  <c r="BG17" i="2"/>
  <c r="BH17" i="2"/>
  <c r="BB6" i="2"/>
  <c r="BB7" i="2"/>
  <c r="BB8" i="2"/>
  <c r="BB9" i="2"/>
  <c r="BB10" i="2"/>
  <c r="BB11" i="2"/>
  <c r="BB12" i="2"/>
  <c r="BB13" i="2"/>
  <c r="BB14" i="2"/>
  <c r="BB15" i="2"/>
  <c r="BB16" i="2"/>
  <c r="BB17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3" i="2"/>
  <c r="BF4" i="2"/>
  <c r="BF5" i="2"/>
  <c r="BF3" i="2"/>
  <c r="BD4" i="2"/>
  <c r="BD5" i="2"/>
  <c r="BB5" i="2"/>
  <c r="BH5" i="2"/>
  <c r="BG5" i="2"/>
  <c r="BB4" i="2"/>
  <c r="BH4" i="2"/>
  <c r="BG4" i="2"/>
  <c r="BB3" i="2"/>
  <c r="BH3" i="2"/>
  <c r="BG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AL3" i="2"/>
  <c r="D13" i="3"/>
  <c r="G3" i="3"/>
  <c r="H3" i="3"/>
  <c r="I3" i="3"/>
  <c r="J3" i="3"/>
  <c r="K3" i="3"/>
  <c r="B13" i="3"/>
  <c r="L3" i="3"/>
  <c r="C13" i="3"/>
  <c r="F13" i="3"/>
  <c r="E13" i="3"/>
  <c r="G13" i="3"/>
  <c r="H13" i="3"/>
  <c r="I13" i="3"/>
  <c r="I4" i="3"/>
  <c r="J4" i="3"/>
  <c r="B14" i="3"/>
  <c r="C14" i="3"/>
  <c r="D14" i="3"/>
  <c r="F14" i="3"/>
  <c r="E14" i="3"/>
  <c r="G14" i="3"/>
  <c r="H14" i="3"/>
  <c r="I14" i="3"/>
  <c r="I5" i="3"/>
  <c r="J5" i="3"/>
  <c r="B15" i="3"/>
  <c r="C15" i="3"/>
  <c r="D15" i="3"/>
  <c r="F15" i="3"/>
  <c r="E15" i="3"/>
  <c r="G15" i="3"/>
  <c r="H15" i="3"/>
  <c r="I15" i="3"/>
  <c r="B16" i="3"/>
  <c r="C16" i="3"/>
  <c r="D16" i="3"/>
  <c r="F16" i="3"/>
  <c r="E16" i="3"/>
  <c r="G16" i="3"/>
  <c r="H16" i="3"/>
  <c r="I16" i="3"/>
  <c r="B17" i="3"/>
  <c r="C17" i="3"/>
  <c r="D17" i="3"/>
  <c r="F17" i="3"/>
  <c r="E17" i="3"/>
  <c r="G17" i="3"/>
  <c r="H17" i="3"/>
  <c r="I17" i="3"/>
  <c r="B18" i="3"/>
  <c r="C18" i="3"/>
  <c r="D18" i="3"/>
  <c r="F18" i="3"/>
  <c r="E18" i="3"/>
  <c r="G18" i="3"/>
  <c r="H18" i="3"/>
  <c r="I18" i="3"/>
  <c r="B19" i="3"/>
  <c r="C19" i="3"/>
  <c r="D19" i="3"/>
  <c r="F19" i="3"/>
  <c r="E19" i="3"/>
  <c r="G19" i="3"/>
  <c r="H19" i="3"/>
  <c r="I19" i="3"/>
  <c r="D20" i="3"/>
  <c r="F20" i="3"/>
  <c r="E20" i="3"/>
  <c r="G20" i="3"/>
  <c r="B21" i="3"/>
  <c r="C21" i="3"/>
  <c r="D21" i="3"/>
  <c r="F21" i="3"/>
  <c r="E21" i="3"/>
  <c r="G21" i="3"/>
  <c r="H21" i="3"/>
  <c r="I21" i="3"/>
  <c r="B22" i="3"/>
  <c r="C22" i="3"/>
  <c r="D22" i="3"/>
  <c r="F22" i="3"/>
  <c r="E22" i="3"/>
  <c r="G22" i="3"/>
  <c r="H22" i="3"/>
  <c r="I22" i="3"/>
  <c r="B23" i="3"/>
  <c r="C23" i="3"/>
  <c r="D23" i="3"/>
  <c r="F23" i="3"/>
  <c r="E23" i="3"/>
  <c r="G23" i="3"/>
  <c r="H23" i="3"/>
  <c r="I23" i="3"/>
  <c r="B24" i="3"/>
  <c r="C24" i="3"/>
  <c r="D24" i="3"/>
  <c r="F24" i="3"/>
  <c r="E24" i="3"/>
  <c r="G24" i="3"/>
  <c r="H24" i="3"/>
  <c r="I24" i="3"/>
  <c r="B25" i="3"/>
  <c r="C25" i="3"/>
  <c r="D25" i="3"/>
  <c r="F25" i="3"/>
  <c r="E25" i="3"/>
  <c r="G25" i="3"/>
  <c r="H25" i="3"/>
  <c r="I25" i="3"/>
  <c r="B26" i="3"/>
  <c r="C26" i="3"/>
  <c r="D26" i="3"/>
  <c r="F26" i="3"/>
  <c r="E26" i="3"/>
  <c r="G26" i="3"/>
  <c r="H26" i="3"/>
  <c r="I26" i="3"/>
  <c r="D27" i="3"/>
  <c r="F27" i="3"/>
  <c r="E27" i="3"/>
  <c r="G27" i="3"/>
  <c r="A23" i="3"/>
  <c r="A18" i="3"/>
  <c r="A15" i="3"/>
  <c r="A26" i="3"/>
  <c r="A22" i="3"/>
  <c r="A17" i="3"/>
  <c r="A14" i="3"/>
  <c r="A25" i="3"/>
  <c r="A24" i="3"/>
  <c r="A21" i="3"/>
  <c r="A19" i="3"/>
  <c r="A16" i="3"/>
  <c r="A13" i="3"/>
  <c r="A20" i="3"/>
  <c r="A27" i="3"/>
  <c r="F3" i="3"/>
  <c r="D3" i="3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3" i="2"/>
  <c r="J13" i="3"/>
  <c r="X11" i="2"/>
  <c r="AI17" i="2"/>
  <c r="AM17" i="2"/>
  <c r="AI16" i="2"/>
  <c r="AM16" i="2"/>
  <c r="AI15" i="2"/>
  <c r="AM15" i="2"/>
  <c r="AI14" i="2"/>
  <c r="AM14" i="2"/>
  <c r="AI13" i="2"/>
  <c r="AM13" i="2"/>
  <c r="AI12" i="2"/>
  <c r="AM12" i="2"/>
  <c r="AI11" i="2"/>
  <c r="AM11" i="2"/>
  <c r="AI10" i="2"/>
  <c r="AM10" i="2"/>
  <c r="AI9" i="2"/>
  <c r="AM9" i="2"/>
  <c r="AI8" i="2"/>
  <c r="AM8" i="2"/>
  <c r="AI7" i="2"/>
  <c r="AM7" i="2"/>
  <c r="AI6" i="2"/>
  <c r="AM6" i="2"/>
  <c r="AI5" i="2"/>
  <c r="AM5" i="2"/>
  <c r="AI4" i="2"/>
  <c r="AM4" i="2"/>
  <c r="AI3" i="2"/>
  <c r="AM3" i="2"/>
  <c r="K13" i="3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<sst xmlns="http://schemas.openxmlformats.org/spreadsheetml/2006/main" count="223" uniqueCount="181">
  <si>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</si>
  <si>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</si>
  <si>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</si>
  <si>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</si>
  <si>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</si>
  <si>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</si>
  <si>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</si>
  <si>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</si>
  <si>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</si>
  <si>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</si>
  <si>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</si>
  <si>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</si>
  <si>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</si>
  <si>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</si>
  <si>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</si>
  <si>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</si>
  <si>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</si>
  <si>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</si>
  <si>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</si>
  <si>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</si>
  <si>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</si>
  <si>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</si>
  <si>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</si>
  <si>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</si>
  <si>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</si>
  <si>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</si>
  <si>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</si>
  <si>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</si>
  <si>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</si>
  <si>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</si>
  <si>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</si>
  <si>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</si>
  <si>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</si>
  <si>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</si>
  <si>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</si>
  <si>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</si>
  <si>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</si>
  <si>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</si>
  <si>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</si>
  <si>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</si>
  <si>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</si>
  <si>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</si>
  <si>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</si>
  <si>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</si>
  <si>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</si>
  <si>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</si>
  <si>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</si>
  <si>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</si>
  <si>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</si>
  <si>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</si>
  <si>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</si>
  <si>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</si>
  <si>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</si>
  <si>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</si>
  <si>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</si>
  <si>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</si>
  <si>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</si>
  <si>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</si>
  <si>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</si>
  <si>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</si>
  <si>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</si>
  <si>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</si>
  <si>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</si>
  <si>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</si>
  <si>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</si>
  <si>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</si>
  <si>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</si>
  <si>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</si>
  <si>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</si>
  <si>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</si>
  <si>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</si>
  <si>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</si>
  <si>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</si>
  <si>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</si>
  <si>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</si>
  <si>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</si>
  <si>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</si>
  <si>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</si>
  <si>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</si>
  <si>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</si>
  <si>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</si>
  <si>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</si>
  <si>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</si>
  <si>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</si>
  <si>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</si>
  <si>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</si>
  <si>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</si>
  <si>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</si>
  <si>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</si>
  <si>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</si>
  <si>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</si>
  <si>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</si>
  <si>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</si>
  <si>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</si>
  <si>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PYTHON/MATLAB INPUTS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</si>
  <si>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</si>
  <si>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</si>
  <si>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</si>
  <si>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</si>
  <si>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</si>
  <si>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</si>
  <si>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</si>
  <si>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</si>
  <si>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</si>
  <si>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</si>
  <si>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</si>
  <si>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</si>
  <si>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</si>
  <si>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</si>
  <si>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</si>
  <si>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</si>
  <si>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</si>
  <si>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</si>
  <si>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</si>
  <si>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</si>
  <si>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</si>
  <si>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</si>
  <si>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</si>
  <si>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</si>
  <si>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</si>
  <si>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</si>
  <si>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</si>
  <si>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</si>
  <si>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CALIBRATED DELTA VALS FOR EACH REFERENCE MATERIAL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</si>
  <si>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</si>
  <si>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</si>
  <si>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</si>
  <si>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</si>
  <si>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</si>
  <si>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</si>
  <si>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</si>
  <si>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</si>
  <si>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</si>
  <si>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</si>
  <si>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</si>
  <si>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</si>
  <si>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</si>
  <si>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</si>
  <si>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</si>
  <si>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</si>
  <si>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</si>
  <si>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</si>
  <si>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</si>
  <si>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</si>
  <si>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</si>
  <si>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</si>
  <si>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</si>
  <si>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</si>
  <si>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</si>
  <si>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</si>
  <si>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</si>
  <si>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</si>
  <si>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</si>
  <si>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</si>
  <si>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</si>
  <si>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</si>
  <si>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</si>
  <si>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</si>
  <si>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</si>
  <si>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</si>
  <si>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</si>
  <si>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</si>
  <si>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</si>
  <si>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</si>
  <si>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</si>
  <si>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</si>
  <si>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</si>
  <si>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</si>
  <si>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</si>
  <si>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</si>
  <si>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</si>
  <si>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</si>
  <si>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</si>
  <si>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</si>
  <si>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</si>
  <si>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</si>
  <si>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</si>
  <si>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</si>
  <si>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</si>
  <si>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</si>
  <si>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"ref_tag" should match scale_normalization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</si>
</sst>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color rgb="FF3F3F76"/>
      <name val="Calibri"/>
    </font>
    <font>
      <b/>
      <sz val="12"/>
      <color rgb="FFFA7D00"/>
      <name val="Calibri"/>
    </font>
  </fonts>
  <fills count="1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2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2" fontId="10" fillId="0" borderId="0" xfId="0" applyNumberFormat="1" applyFont="1" applyAlignmen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71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22" fillId="0" borderId="0" xfId="0" applyFont="1"/>
    <xf numFmtId="0" fontId="23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4" fillId="16" borderId="18" xfId="0" applyFont="1" applyFill="1" applyBorder="1"/>
    <xf numFmtId="2" fontId="24" fillId="16" borderId="18" xfId="0" applyNumberFormat="1" applyFont="1" applyFill="1" applyBorder="1"/>
    <xf numFmtId="169" fontId="25" fillId="17" borderId="18" xfId="0" applyNumberFormat="1" applyFont="1" applyFill="1" applyBorder="1"/>
    <xf numFmtId="171" fontId="25" fillId="17" borderId="18" xfId="0" applyNumberFormat="1" applyFont="1" applyFill="1" applyBorder="1"/>
    <xf numFmtId="0" fontId="25" fillId="17" borderId="18" xfId="0" applyFont="1" applyFill="1" applyBorder="1"/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scale_normalization!$F$13:$F$27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scale_normalization!$H$13:$H$27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scale_normalization!$G$13:$G$27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scale_normalization!$I$13:$I$27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14</xdr:row>
      <xdr:rowOff>101600</xdr:rowOff>
    </xdr:from>
    <xdr:to>
      <xdr:col>13</xdr:col>
      <xdr:colOff>228600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565150</xdr:colOff>
      <xdr:row>14</xdr:row>
      <xdr:rowOff>101600</xdr:rowOff>
    </xdr:from>
    <xdr:to>
      <xdr:col>15</xdr:col>
      <xdr:colOff>647700</xdr:colOff>
      <xdr:row>26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H54"/>
  <sheetViews>
    <sheetView workbookViewId="0">
      <selection activeCell="F23" sqref="F23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9.6640625" style="61" customWidth="1"/>
    <col min="42" max="42" width="10.1640625" customWidth="1"/>
    <col min="43" max="43" width="15.6640625" style="44" customWidth="1"/>
    <col min="44" max="44" width="14.33203125" customWidth="1"/>
    <col min="46" max="46" width="13.5" customWidth="1"/>
  </cols>
  <sheetData>
    <row r="1" spans="1:60" ht="17" thickBot="1">
      <c r="A1" s="1" t="s">
        <v>118</v>
      </c>
      <c r="B1" s="1" t="s">
        <v>180</v>
      </c>
      <c r="F1" s="1" t="s">
        <v>117</v>
      </c>
      <c r="G1" s="1"/>
      <c r="W1" s="71" t="s">
        <v>97</v>
      </c>
      <c r="X1" s="2"/>
      <c r="Y1" s="3"/>
      <c r="AA1" s="4"/>
      <c r="AB1" s="5"/>
      <c r="AE1" s="6" t="s">
        <v>0</v>
      </c>
      <c r="AF1" s="7"/>
      <c r="AG1" s="7"/>
      <c r="AI1" s="73" t="s">
        <v>122</v>
      </c>
      <c r="AJ1" s="74"/>
      <c r="AL1" s="51" t="s">
        <v>94</v>
      </c>
      <c r="AM1" s="51"/>
      <c r="AN1" s="51"/>
      <c r="AO1" s="58"/>
      <c r="AP1" s="51"/>
      <c r="AQ1" s="45"/>
      <c r="AS1" s="38" t="s">
        <v>91</v>
      </c>
      <c r="AT1" s="38"/>
      <c r="AU1" s="38" t="s">
        <v>45</v>
      </c>
      <c r="AV1" s="38"/>
      <c r="AW1" s="38"/>
      <c r="AX1" s="38" t="s">
        <v>46</v>
      </c>
      <c r="AZ1" s="103" t="s">
        <v>164</v>
      </c>
      <c r="BA1" s="103"/>
      <c r="BB1" s="103"/>
      <c r="BC1" s="103"/>
      <c r="BD1" s="104"/>
      <c r="BE1" s="105"/>
      <c r="BF1" s="105"/>
      <c r="BG1" s="105"/>
      <c r="BH1" s="105"/>
    </row>
    <row r="2" spans="1:60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5" t="s">
        <v>120</v>
      </c>
      <c r="AJ2" s="75" t="s">
        <v>121</v>
      </c>
      <c r="AK2" s="23"/>
      <c r="AL2" s="55" t="s">
        <v>28</v>
      </c>
      <c r="AM2" s="52" t="s">
        <v>29</v>
      </c>
      <c r="AN2" s="52" t="s">
        <v>30</v>
      </c>
      <c r="AO2" s="59" t="s">
        <v>95</v>
      </c>
      <c r="AP2" s="53" t="s">
        <v>96</v>
      </c>
      <c r="AQ2" s="46" t="s">
        <v>74</v>
      </c>
      <c r="AR2" s="1" t="s">
        <v>73</v>
      </c>
      <c r="AS2" s="39" t="s">
        <v>31</v>
      </c>
      <c r="AT2" s="39" t="s">
        <v>32</v>
      </c>
      <c r="AU2" s="39" t="s">
        <v>35</v>
      </c>
      <c r="AV2" s="39" t="s">
        <v>33</v>
      </c>
      <c r="AW2" s="39" t="s">
        <v>47</v>
      </c>
      <c r="AX2" s="40" t="s">
        <v>34</v>
      </c>
      <c r="AY2" s="44"/>
      <c r="AZ2" s="106" t="s">
        <v>165</v>
      </c>
      <c r="BA2" s="106" t="s">
        <v>166</v>
      </c>
      <c r="BB2" s="106" t="s">
        <v>167</v>
      </c>
      <c r="BC2" s="106" t="s">
        <v>168</v>
      </c>
      <c r="BD2" s="107" t="s">
        <v>169</v>
      </c>
      <c r="BE2" s="108" t="s">
        <v>170</v>
      </c>
      <c r="BF2" s="109" t="s">
        <v>171</v>
      </c>
      <c r="BG2" s="108" t="s">
        <v>172</v>
      </c>
      <c r="BH2" s="110" t="s">
        <v>171</v>
      </c>
    </row>
    <row r="3" spans="1:60" ht="17" thickBot="1">
      <c r="A3">
        <v>201204</v>
      </c>
      <c r="B3" t="str">
        <f>scale_normalization!A3</f>
        <v>ATM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6">
        <f>AF3^$X$11</f>
        <v>1.0060158448599359</v>
      </c>
      <c r="AJ3" s="77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56">
        <v>0.18325645634287266</v>
      </c>
      <c r="AP3" s="57">
        <v>9.0490249769565087E-2</v>
      </c>
      <c r="AQ3" s="47">
        <f>A3</f>
        <v>201204</v>
      </c>
      <c r="AR3" t="str">
        <f>D3</f>
        <v>ATM_EQ_SW</v>
      </c>
      <c r="AS3" s="50">
        <v>15.105455486877901</v>
      </c>
      <c r="AT3" s="50">
        <v>-2.7098456777153701</v>
      </c>
      <c r="AU3" s="50">
        <v>17.815301164593201</v>
      </c>
      <c r="AV3" s="50">
        <v>6.19780490458127</v>
      </c>
      <c r="AW3" s="50">
        <v>24.009727067820499</v>
      </c>
      <c r="AX3" s="50">
        <v>47.054171086232202</v>
      </c>
      <c r="AY3" s="44"/>
      <c r="AZ3">
        <v>265</v>
      </c>
      <c r="BA3">
        <v>109</v>
      </c>
      <c r="BB3">
        <f>AZ3-BA3</f>
        <v>156</v>
      </c>
      <c r="BC3" t="s">
        <v>173</v>
      </c>
      <c r="BD3" s="78">
        <f>BB3*concentration_constants!$B$6</f>
        <v>0.15204678362573099</v>
      </c>
      <c r="BE3" s="50">
        <f>I3*concentration_constants!$B$2+concentration_constants!$D$2</f>
        <v>2.3147589419488055</v>
      </c>
      <c r="BF3" s="50">
        <f>BE3*concentration_constants!$B$3+concentration_constants!$D$3</f>
        <v>0.32759693848642901</v>
      </c>
      <c r="BG3" s="50">
        <f>BE3/BD3</f>
        <v>15.223991502817144</v>
      </c>
      <c r="BH3" s="50">
        <f>BF3/BD3</f>
        <v>2.1545798646607448</v>
      </c>
    </row>
    <row r="4" spans="1:60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76">
        <f t="shared" ref="AI4:AI17" si="5">AF4^$X$11</f>
        <v>0.99649806061376012</v>
      </c>
      <c r="AJ4" s="77">
        <f t="shared" ref="AJ4:AJ17" si="6">AG4^$Y$11</f>
        <v>0.99528850719192319</v>
      </c>
      <c r="AK4" s="32"/>
      <c r="AL4" s="33">
        <f t="shared" ref="AL4:AL17" si="7">AE4*$W$3</f>
        <v>3.7382429851740414E-3</v>
      </c>
      <c r="AM4" s="33">
        <f t="shared" ref="AM4:AM17" si="8">AI4*$X$3</f>
        <v>7.7139163494616804E-3</v>
      </c>
      <c r="AN4" s="33">
        <f t="shared" ref="AN4:AN17" si="9">AJ4*$Y$3</f>
        <v>2.09139498425152E-3</v>
      </c>
      <c r="AO4" s="56">
        <v>0.18325645634287266</v>
      </c>
      <c r="AP4" s="57">
        <v>9.0490249769565087E-2</v>
      </c>
      <c r="AQ4" s="47">
        <f t="shared" ref="AQ4:AQ17" si="10">A4</f>
        <v>201205</v>
      </c>
      <c r="AR4" s="41" t="str">
        <f t="shared" ref="AR4:AR17" si="11">D4</f>
        <v>S2_ref_1</v>
      </c>
      <c r="AS4" s="50">
        <v>6.8736240880515798</v>
      </c>
      <c r="AT4" s="50">
        <v>-13.881471917271901</v>
      </c>
      <c r="AU4" s="50">
        <v>20.755096005323502</v>
      </c>
      <c r="AV4" s="50">
        <v>-3.5039239146101799</v>
      </c>
      <c r="AW4" s="50">
        <v>17.848649659933699</v>
      </c>
      <c r="AX4" s="50">
        <v>34.879852068524698</v>
      </c>
      <c r="AY4" s="44"/>
      <c r="AZ4">
        <v>265</v>
      </c>
      <c r="BA4">
        <v>109</v>
      </c>
      <c r="BB4">
        <f t="shared" ref="BB4:BB5" si="12">AZ4-BA4</f>
        <v>156</v>
      </c>
      <c r="BC4" t="s">
        <v>39</v>
      </c>
      <c r="BD4" s="78">
        <f>BB4*concentration_constants!$F$6</f>
        <v>0.15628130635143259</v>
      </c>
      <c r="BE4" s="50">
        <f>I4*concentration_constants!$B$2+concentration_constants!$D$2</f>
        <v>3.0120000289208293</v>
      </c>
      <c r="BF4" s="50">
        <f>BE4*concentration_constants!$B$3+concentration_constants!$D$3</f>
        <v>0.33318789796769971</v>
      </c>
      <c r="BG4" s="50">
        <f t="shared" ref="BG4:BG5" si="13">BE4/BD4</f>
        <v>19.272938646594689</v>
      </c>
      <c r="BH4" s="50">
        <f t="shared" ref="BH4:BH5" si="14">BF4/BD4</f>
        <v>2.1319753830215245</v>
      </c>
    </row>
    <row r="5" spans="1:60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1" t="s">
        <v>98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76">
        <f t="shared" si="5"/>
        <v>1.0004055127886835</v>
      </c>
      <c r="AJ5" s="77">
        <f t="shared" si="6"/>
        <v>1.0040421473777938</v>
      </c>
      <c r="AK5" s="32"/>
      <c r="AL5" s="33">
        <f t="shared" si="7"/>
        <v>3.7228017752489757E-3</v>
      </c>
      <c r="AM5" s="33">
        <f t="shared" si="8"/>
        <v>7.7441640342372194E-3</v>
      </c>
      <c r="AN5" s="33">
        <f t="shared" si="9"/>
        <v>2.1097889665454826E-3</v>
      </c>
      <c r="AO5" s="56">
        <v>0.18325645634287266</v>
      </c>
      <c r="AP5" s="57">
        <v>9.0490249769565087E-2</v>
      </c>
      <c r="AQ5" s="47">
        <f t="shared" si="10"/>
        <v>201205</v>
      </c>
      <c r="AR5" s="41" t="str">
        <f t="shared" si="11"/>
        <v>B6_ref_1</v>
      </c>
      <c r="AS5" s="50">
        <v>-0.53970856962448599</v>
      </c>
      <c r="AT5" s="50">
        <v>1.2825215740412901</v>
      </c>
      <c r="AU5" s="50">
        <v>-1.82223014366578</v>
      </c>
      <c r="AV5" s="50">
        <v>0.37140650220840399</v>
      </c>
      <c r="AW5" s="50">
        <v>22.461390435589401</v>
      </c>
      <c r="AX5" s="50">
        <v>43.988167450184299</v>
      </c>
      <c r="AY5" s="44"/>
      <c r="AZ5">
        <v>265</v>
      </c>
      <c r="BA5">
        <v>109</v>
      </c>
      <c r="BB5">
        <f t="shared" si="12"/>
        <v>156</v>
      </c>
      <c r="BC5" t="s">
        <v>39</v>
      </c>
      <c r="BD5" s="78">
        <f>BB5*concentration_constants!$F$6</f>
        <v>0.15628130635143259</v>
      </c>
      <c r="BE5" s="50">
        <f>I5*concentration_constants!$B$2+concentration_constants!$D$2</f>
        <v>9.9048847269174694</v>
      </c>
      <c r="BF5" s="50">
        <f>BE5*concentration_constants!$B$3+concentration_constants!$D$3</f>
        <v>0.38845979713665457</v>
      </c>
      <c r="BG5" s="50">
        <f t="shared" si="13"/>
        <v>63.378563682109089</v>
      </c>
      <c r="BH5" s="50">
        <f t="shared" si="14"/>
        <v>2.4856446762936448</v>
      </c>
    </row>
    <row r="6" spans="1:60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76">
        <f t="shared" si="5"/>
        <v>1.0067788012419414</v>
      </c>
      <c r="AJ6" s="77">
        <f t="shared" si="6"/>
        <v>1.0072263356356053</v>
      </c>
      <c r="AK6" s="32"/>
      <c r="AL6" s="33">
        <f t="shared" si="7"/>
        <v>3.7689117349450109E-3</v>
      </c>
      <c r="AM6" s="33">
        <f t="shared" si="8"/>
        <v>7.7934998191650307E-3</v>
      </c>
      <c r="AN6" s="33">
        <f t="shared" si="9"/>
        <v>2.1164798861162187E-3</v>
      </c>
      <c r="AO6" s="56">
        <v>0.18325645634287266</v>
      </c>
      <c r="AP6" s="57">
        <v>9.0490249769565087E-2</v>
      </c>
      <c r="AQ6" s="47">
        <f t="shared" si="10"/>
        <v>201205</v>
      </c>
      <c r="AR6" t="str">
        <f t="shared" si="11"/>
        <v>ATM_EQ_SW_1</v>
      </c>
      <c r="AS6" s="50">
        <v>14.851574153242799</v>
      </c>
      <c r="AT6" s="50">
        <v>-0.85838254078074405</v>
      </c>
      <c r="AU6" s="50">
        <v>15.7099566940236</v>
      </c>
      <c r="AV6" s="50">
        <v>6.9965958062310696</v>
      </c>
      <c r="AW6" s="50">
        <v>24.095420378555701</v>
      </c>
      <c r="AX6" s="50">
        <v>47.223987370547697</v>
      </c>
      <c r="AY6" s="44"/>
      <c r="AZ6">
        <v>265</v>
      </c>
      <c r="BA6">
        <v>109</v>
      </c>
      <c r="BB6">
        <f t="shared" ref="BB6:BB17" si="15">AZ6-BA6</f>
        <v>156</v>
      </c>
      <c r="BC6" t="s">
        <v>173</v>
      </c>
      <c r="BD6" s="78">
        <f>BB6*concentration_constants!$B$6</f>
        <v>0.15204678362573099</v>
      </c>
      <c r="BE6" s="50">
        <f>I6*concentration_constants!$B$2+concentration_constants!$D$2</f>
        <v>2.4178655483113793</v>
      </c>
      <c r="BF6" s="50">
        <f>BE6*concentration_constants!$B$3+concentration_constants!$D$3</f>
        <v>0.32842371830361955</v>
      </c>
      <c r="BG6" s="50">
        <f t="shared" ref="BG6:BG17" si="16">BE6/BD6</f>
        <v>15.90211572158638</v>
      </c>
      <c r="BH6" s="50">
        <f t="shared" ref="BH6:BH17" si="17">BF6/BD6</f>
        <v>2.1600175319199595</v>
      </c>
    </row>
    <row r="7" spans="1:60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76">
        <f t="shared" si="5"/>
        <v>0.99643701343870184</v>
      </c>
      <c r="AJ7" s="77">
        <f t="shared" si="6"/>
        <v>0.99546286598321598</v>
      </c>
      <c r="AK7" s="32"/>
      <c r="AL7" s="33">
        <f t="shared" si="7"/>
        <v>3.7376533142238627E-3</v>
      </c>
      <c r="AM7" s="33">
        <f t="shared" si="8"/>
        <v>7.7134437817564508E-3</v>
      </c>
      <c r="AN7" s="33">
        <f t="shared" si="9"/>
        <v>2.0917613635465034E-3</v>
      </c>
      <c r="AO7" s="56">
        <v>0.18325645634287266</v>
      </c>
      <c r="AP7" s="57">
        <v>9.0490249769565087E-2</v>
      </c>
      <c r="AQ7" s="47">
        <f t="shared" si="10"/>
        <v>201205</v>
      </c>
      <c r="AR7" t="str">
        <f t="shared" si="11"/>
        <v>S2_ref_2</v>
      </c>
      <c r="AS7" s="50">
        <v>6.6566362138331598</v>
      </c>
      <c r="AT7" s="50">
        <v>-13.8026489120794</v>
      </c>
      <c r="AU7" s="50">
        <v>20.459285125912601</v>
      </c>
      <c r="AV7" s="50">
        <v>-3.5730063491231601</v>
      </c>
      <c r="AW7" s="50">
        <v>17.941820061995799</v>
      </c>
      <c r="AX7" s="50">
        <v>35.063444020270097</v>
      </c>
      <c r="AY7" s="44"/>
      <c r="AZ7">
        <v>265</v>
      </c>
      <c r="BA7">
        <v>109</v>
      </c>
      <c r="BB7">
        <f t="shared" si="15"/>
        <v>156</v>
      </c>
      <c r="BC7" t="s">
        <v>39</v>
      </c>
      <c r="BD7" s="78">
        <f>BB7*concentration_constants!$F$6</f>
        <v>0.15628130635143259</v>
      </c>
      <c r="BE7" s="50">
        <f>I7*concentration_constants!$B$2+concentration_constants!$D$2</f>
        <v>17.089981869851989</v>
      </c>
      <c r="BF7" s="50">
        <f>BE7*concentration_constants!$B$3+concentration_constants!$D$3</f>
        <v>0.44607485704311811</v>
      </c>
      <c r="BG7" s="50">
        <f t="shared" si="16"/>
        <v>109.35397373388625</v>
      </c>
      <c r="BH7" s="50">
        <f t="shared" si="17"/>
        <v>2.8543071942335927</v>
      </c>
    </row>
    <row r="8" spans="1:60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76">
        <f t="shared" si="5"/>
        <v>0.99912260158268462</v>
      </c>
      <c r="AJ8" s="77">
        <f t="shared" si="6"/>
        <v>1.0022376000760198</v>
      </c>
      <c r="AK8" s="32"/>
      <c r="AL8" s="33">
        <f t="shared" si="7"/>
        <v>3.7199285353648262E-3</v>
      </c>
      <c r="AM8" s="33">
        <f t="shared" si="8"/>
        <v>7.7342329865834319E-3</v>
      </c>
      <c r="AN8" s="33">
        <f t="shared" si="9"/>
        <v>2.1059970799231576E-3</v>
      </c>
      <c r="AO8" s="56">
        <v>0.18325645634287266</v>
      </c>
      <c r="AP8" s="57">
        <v>9.0490249769565087E-2</v>
      </c>
      <c r="AQ8" s="47">
        <f t="shared" si="10"/>
        <v>201205</v>
      </c>
      <c r="AR8" t="str">
        <f t="shared" si="11"/>
        <v>B6_ref_2</v>
      </c>
      <c r="AS8" s="50">
        <v>-1.15628904358433</v>
      </c>
      <c r="AT8" s="50">
        <v>-0.70441124849329695</v>
      </c>
      <c r="AU8" s="50">
        <v>-0.45187779509103798</v>
      </c>
      <c r="AV8" s="50">
        <v>-0.93035014603881605</v>
      </c>
      <c r="AW8" s="50">
        <v>21.5157968077277</v>
      </c>
      <c r="AX8" s="50">
        <v>42.117851051899301</v>
      </c>
      <c r="AY8" s="44"/>
      <c r="AZ8">
        <v>265</v>
      </c>
      <c r="BA8">
        <v>109</v>
      </c>
      <c r="BB8">
        <f t="shared" si="15"/>
        <v>156</v>
      </c>
      <c r="BC8" t="s">
        <v>39</v>
      </c>
      <c r="BD8" s="78">
        <f>BB8*concentration_constants!$F$6</f>
        <v>0.15628130635143259</v>
      </c>
      <c r="BE8" s="50">
        <f>I8*concentration_constants!$B$2+concentration_constants!$D$2</f>
        <v>9.8350681459275666</v>
      </c>
      <c r="BF8" s="50">
        <f>BE8*concentration_constants!$B$3+concentration_constants!$D$3</f>
        <v>0.387899959681965</v>
      </c>
      <c r="BG8" s="50">
        <f t="shared" si="16"/>
        <v>62.931827072210872</v>
      </c>
      <c r="BH8" s="50">
        <f t="shared" si="17"/>
        <v>2.4820624343239581</v>
      </c>
    </row>
    <row r="9" spans="1:60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1" t="s">
        <v>119</v>
      </c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76">
        <f t="shared" si="5"/>
        <v>1.0053904191368781</v>
      </c>
      <c r="AJ9" s="77">
        <f t="shared" si="6"/>
        <v>1.0053556173139186</v>
      </c>
      <c r="AL9" s="33">
        <f t="shared" si="7"/>
        <v>3.770760540076305E-3</v>
      </c>
      <c r="AM9" s="33">
        <f t="shared" si="8"/>
        <v>7.7827523186501267E-3</v>
      </c>
      <c r="AN9" s="33">
        <f t="shared" si="9"/>
        <v>2.1125489546459449E-3</v>
      </c>
      <c r="AO9" s="56">
        <v>0.18325645634287266</v>
      </c>
      <c r="AP9" s="57">
        <v>9.0490249769565087E-2</v>
      </c>
      <c r="AQ9" s="47">
        <f t="shared" si="10"/>
        <v>201205</v>
      </c>
      <c r="AR9" s="41" t="str">
        <f t="shared" si="11"/>
        <v>ATM_EQ_SW_2</v>
      </c>
      <c r="AS9" s="50">
        <v>16.036656468840999</v>
      </c>
      <c r="AT9" s="50">
        <v>-4.8656873390863202</v>
      </c>
      <c r="AU9" s="50">
        <v>20.902343807927299</v>
      </c>
      <c r="AV9" s="50">
        <v>5.5854845648773397</v>
      </c>
      <c r="AW9" s="50">
        <v>23.117269398744899</v>
      </c>
      <c r="AX9" s="50">
        <v>45.286402388126902</v>
      </c>
      <c r="AZ9">
        <v>265</v>
      </c>
      <c r="BA9">
        <v>109</v>
      </c>
      <c r="BB9">
        <f t="shared" si="15"/>
        <v>156</v>
      </c>
      <c r="BC9" t="s">
        <v>173</v>
      </c>
      <c r="BD9" s="78">
        <f>BB9*concentration_constants!$B$6</f>
        <v>0.15204678362573099</v>
      </c>
      <c r="BE9" s="50">
        <f>I9*concentration_constants!$B$2+concentration_constants!$D$2</f>
        <v>2.4132419336762863</v>
      </c>
      <c r="BF9" s="50">
        <f>BE9*concentration_constants!$B$3+concentration_constants!$D$3</f>
        <v>0.32838664297549441</v>
      </c>
      <c r="BG9" s="50">
        <f t="shared" si="16"/>
        <v>15.871706563794037</v>
      </c>
      <c r="BH9" s="50">
        <f t="shared" si="17"/>
        <v>2.1597736903388287</v>
      </c>
    </row>
    <row r="10" spans="1:60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76">
        <f t="shared" si="5"/>
        <v>0.99040351990487752</v>
      </c>
      <c r="AJ10" s="77">
        <f t="shared" si="6"/>
        <v>1.0046301542140887</v>
      </c>
      <c r="AL10" s="33">
        <f t="shared" si="7"/>
        <v>3.7559237220544848E-3</v>
      </c>
      <c r="AM10" s="33">
        <f t="shared" si="8"/>
        <v>7.6667383577777295E-3</v>
      </c>
      <c r="AN10" s="33">
        <f t="shared" si="9"/>
        <v>2.1110245425008428E-3</v>
      </c>
      <c r="AO10" s="56">
        <v>0.18325645634287266</v>
      </c>
      <c r="AP10" s="57">
        <v>9.0490249769565087E-2</v>
      </c>
      <c r="AQ10" s="47">
        <f t="shared" si="10"/>
        <v>201205</v>
      </c>
      <c r="AR10" t="str">
        <f t="shared" si="11"/>
        <v>DI</v>
      </c>
      <c r="AS10" s="50">
        <v>14.4579715364672</v>
      </c>
      <c r="AT10" s="50">
        <v>-34.815304667159701</v>
      </c>
      <c r="AU10" s="50">
        <v>49.273276203626899</v>
      </c>
      <c r="AV10" s="50">
        <v>-10.1786665653462</v>
      </c>
      <c r="AW10" s="50">
        <v>22.853627356464699</v>
      </c>
      <c r="AX10" s="50">
        <v>44.764460247631298</v>
      </c>
      <c r="AZ10">
        <v>265</v>
      </c>
      <c r="BA10">
        <v>109</v>
      </c>
      <c r="BB10">
        <f t="shared" si="15"/>
        <v>156</v>
      </c>
      <c r="BC10" t="s">
        <v>39</v>
      </c>
      <c r="BD10" s="78">
        <f>BB10*concentration_constants!$F$6</f>
        <v>0.15628130635143259</v>
      </c>
      <c r="BE10" s="50">
        <f>I10*concentration_constants!$B$2+concentration_constants!$D$2</f>
        <v>7.9745256167661447</v>
      </c>
      <c r="BF10" s="50">
        <f>BE10*concentration_constants!$B$3+concentration_constants!$D$3</f>
        <v>0.3729808476444097</v>
      </c>
      <c r="BG10" s="50">
        <f t="shared" si="16"/>
        <v>51.026740196512598</v>
      </c>
      <c r="BH10" s="50">
        <f t="shared" si="17"/>
        <v>2.386599244350319</v>
      </c>
    </row>
    <row r="11" spans="1:60" ht="17" thickBot="1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scale_normalization!J13</f>
        <v>1.058002378564959</v>
      </c>
      <c r="Y11" s="36">
        <f>scale_normalization!K13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76">
        <f t="shared" si="5"/>
        <v>1.0060520151987653</v>
      </c>
      <c r="AJ11" s="77">
        <f t="shared" si="6"/>
        <v>1.0051221563372517</v>
      </c>
      <c r="AL11" s="33">
        <f t="shared" si="7"/>
        <v>3.7741574091857285E-3</v>
      </c>
      <c r="AM11" s="33">
        <f t="shared" si="8"/>
        <v>7.7878737502717673E-3</v>
      </c>
      <c r="AN11" s="33">
        <f t="shared" si="9"/>
        <v>2.11205838421125E-3</v>
      </c>
      <c r="AO11" s="56">
        <v>0.18325645634287266</v>
      </c>
      <c r="AP11" s="57">
        <v>9.0490249769565087E-2</v>
      </c>
      <c r="AQ11" s="47">
        <f t="shared" si="10"/>
        <v>201207</v>
      </c>
      <c r="AR11" s="41" t="str">
        <f t="shared" si="11"/>
        <v>ATM_EQ_SW_1</v>
      </c>
      <c r="AS11" s="50">
        <v>17.1518234709566</v>
      </c>
      <c r="AT11" s="50">
        <v>-4.5745335204508901</v>
      </c>
      <c r="AU11" s="50">
        <v>21.726356991407499</v>
      </c>
      <c r="AV11" s="50">
        <v>6.2886449752528799</v>
      </c>
      <c r="AW11" s="50">
        <v>22.988533215933799</v>
      </c>
      <c r="AX11" s="50">
        <v>45.031522726332703</v>
      </c>
      <c r="AZ11">
        <v>265</v>
      </c>
      <c r="BA11">
        <v>109</v>
      </c>
      <c r="BB11">
        <f t="shared" si="15"/>
        <v>156</v>
      </c>
      <c r="BC11" t="s">
        <v>173</v>
      </c>
      <c r="BD11" s="78">
        <f>BB11*concentration_constants!$B$6</f>
        <v>0.15204678362573099</v>
      </c>
      <c r="BE11" s="50">
        <f>I11*concentration_constants!$B$2+concentration_constants!$D$2</f>
        <v>2.2611250121817261</v>
      </c>
      <c r="BF11" s="50">
        <f>BE11*concentration_constants!$B$3+concentration_constants!$D$3</f>
        <v>0.32716686468017736</v>
      </c>
      <c r="BG11" s="50">
        <f t="shared" si="16"/>
        <v>14.871245272425968</v>
      </c>
      <c r="BH11" s="50">
        <f t="shared" si="17"/>
        <v>2.151751302319628</v>
      </c>
    </row>
    <row r="12" spans="1:60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76">
        <f t="shared" si="5"/>
        <v>0.99620415470032642</v>
      </c>
      <c r="AJ12" s="77">
        <f t="shared" si="6"/>
        <v>0.9941667431303961</v>
      </c>
      <c r="AL12" s="33">
        <f t="shared" si="7"/>
        <v>3.7381947000342886E-3</v>
      </c>
      <c r="AM12" s="33">
        <f t="shared" si="8"/>
        <v>7.7116412164529484E-3</v>
      </c>
      <c r="AN12" s="33">
        <f t="shared" si="9"/>
        <v>2.0890378267892978E-3</v>
      </c>
      <c r="AO12" s="56">
        <v>0.18325645634287266</v>
      </c>
      <c r="AP12" s="57">
        <v>9.0490249769565087E-2</v>
      </c>
      <c r="AQ12" s="47">
        <f t="shared" si="10"/>
        <v>201207</v>
      </c>
      <c r="AR12" s="41" t="str">
        <f t="shared" si="11"/>
        <v>S2_ref_1</v>
      </c>
      <c r="AS12" s="50">
        <v>7.0098620813652204</v>
      </c>
      <c r="AT12" s="50">
        <v>-14.5751415214816</v>
      </c>
      <c r="AU12" s="50">
        <v>21.5850036028468</v>
      </c>
      <c r="AV12" s="50">
        <v>-3.78263972005821</v>
      </c>
      <c r="AW12" s="50">
        <v>17.254451999306699</v>
      </c>
      <c r="AX12" s="50">
        <v>33.709358475152598</v>
      </c>
      <c r="AZ12">
        <v>265</v>
      </c>
      <c r="BA12">
        <v>109</v>
      </c>
      <c r="BB12">
        <f t="shared" si="15"/>
        <v>156</v>
      </c>
      <c r="BC12" t="s">
        <v>39</v>
      </c>
      <c r="BD12" s="78">
        <f>BB12*concentration_constants!$F$6</f>
        <v>0.15628130635143259</v>
      </c>
      <c r="BE12" s="50">
        <f>I12*concentration_constants!$B$2+concentration_constants!$D$2</f>
        <v>3.6625426080784145</v>
      </c>
      <c r="BF12" s="50">
        <f>BE12*concentration_constants!$B$3+concentration_constants!$D$3</f>
        <v>0.33840439663490651</v>
      </c>
      <c r="BG12" s="50">
        <f t="shared" si="16"/>
        <v>23.435577124255598</v>
      </c>
      <c r="BH12" s="50">
        <f t="shared" si="17"/>
        <v>2.1653542866728439</v>
      </c>
    </row>
    <row r="13" spans="1:60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76">
        <f t="shared" si="5"/>
        <v>1.0001901079834172</v>
      </c>
      <c r="AJ13" s="77">
        <f t="shared" si="6"/>
        <v>1.003783095863878</v>
      </c>
      <c r="AL13" s="33">
        <f t="shared" si="7"/>
        <v>3.7242631653031056E-3</v>
      </c>
      <c r="AM13" s="33">
        <f t="shared" si="8"/>
        <v>7.742496580265385E-3</v>
      </c>
      <c r="AN13" s="33">
        <f t="shared" si="9"/>
        <v>2.1092446228371492E-3</v>
      </c>
      <c r="AO13" s="56">
        <v>0.18325645634287266</v>
      </c>
      <c r="AP13" s="57">
        <v>9.0490249769565087E-2</v>
      </c>
      <c r="AQ13" s="47">
        <f t="shared" si="10"/>
        <v>201207</v>
      </c>
      <c r="AR13" s="41" t="str">
        <f t="shared" si="11"/>
        <v>B6_ref_1</v>
      </c>
      <c r="AS13" s="50">
        <v>8.2241945278393999E-2</v>
      </c>
      <c r="AT13" s="50">
        <v>0.22102332359041901</v>
      </c>
      <c r="AU13" s="50">
        <v>-0.138781378312025</v>
      </c>
      <c r="AV13" s="50">
        <v>0.151632634434406</v>
      </c>
      <c r="AW13" s="50">
        <v>22.3259423648012</v>
      </c>
      <c r="AX13" s="50">
        <v>43.720161276728597</v>
      </c>
      <c r="AZ13">
        <v>265</v>
      </c>
      <c r="BA13">
        <v>109</v>
      </c>
      <c r="BB13">
        <f t="shared" si="15"/>
        <v>156</v>
      </c>
      <c r="BC13" t="s">
        <v>39</v>
      </c>
      <c r="BD13" s="78">
        <f>BB13*concentration_constants!$F$6</f>
        <v>0.15628130635143259</v>
      </c>
      <c r="BE13" s="50">
        <f>I13*concentration_constants!$B$2+concentration_constants!$D$2</f>
        <v>9.6085110288080102</v>
      </c>
      <c r="BF13" s="50">
        <f>BE13*concentration_constants!$B$3+concentration_constants!$D$3</f>
        <v>0.38608326860383324</v>
      </c>
      <c r="BG13" s="50">
        <f t="shared" si="16"/>
        <v>61.482151980488176</v>
      </c>
      <c r="BH13" s="50">
        <f t="shared" si="17"/>
        <v>2.4704379405150405</v>
      </c>
    </row>
    <row r="14" spans="1:60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76">
        <f t="shared" si="5"/>
        <v>1.0051643674054496</v>
      </c>
      <c r="AJ14" s="77">
        <f t="shared" si="6"/>
        <v>1.0050259486178046</v>
      </c>
      <c r="AL14" s="33">
        <f t="shared" si="7"/>
        <v>3.7661587198913019E-3</v>
      </c>
      <c r="AM14" s="33">
        <f t="shared" si="8"/>
        <v>7.7810024465572326E-3</v>
      </c>
      <c r="AN14" s="33">
        <f t="shared" si="9"/>
        <v>2.1118562233900973E-3</v>
      </c>
      <c r="AO14" s="56">
        <v>0.18325645634287266</v>
      </c>
      <c r="AP14" s="57">
        <v>9.0490249769565087E-2</v>
      </c>
      <c r="AQ14" s="47">
        <f t="shared" si="10"/>
        <v>201207</v>
      </c>
      <c r="AR14" s="41" t="str">
        <f t="shared" si="11"/>
        <v>ATM_EQ_SW_2</v>
      </c>
      <c r="AS14" s="50">
        <v>14.393773542834699</v>
      </c>
      <c r="AT14" s="50">
        <v>-3.6809189289388402</v>
      </c>
      <c r="AU14" s="50">
        <v>18.074692471773599</v>
      </c>
      <c r="AV14" s="50">
        <v>5.3564273069479604</v>
      </c>
      <c r="AW14" s="50">
        <v>22.94455532836</v>
      </c>
      <c r="AX14" s="50">
        <v>44.944459545090702</v>
      </c>
      <c r="AZ14">
        <v>265</v>
      </c>
      <c r="BA14">
        <v>109</v>
      </c>
      <c r="BB14">
        <f t="shared" si="15"/>
        <v>156</v>
      </c>
      <c r="BC14" t="s">
        <v>173</v>
      </c>
      <c r="BD14" s="78">
        <f>BB14*concentration_constants!$B$6</f>
        <v>0.15204678362573099</v>
      </c>
      <c r="BE14" s="50">
        <f>I14*concentration_constants!$B$2+concentration_constants!$D$2</f>
        <v>2.3526725819565679</v>
      </c>
      <c r="BF14" s="50">
        <f>BE14*concentration_constants!$B$3+concentration_constants!$D$3</f>
        <v>0.32790095617705511</v>
      </c>
      <c r="BG14" s="50">
        <f t="shared" si="16"/>
        <v>15.473346596714352</v>
      </c>
      <c r="BH14" s="50">
        <f t="shared" si="17"/>
        <v>2.1565793656260164</v>
      </c>
    </row>
    <row r="15" spans="1:60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76">
        <f t="shared" si="5"/>
        <v>1.005966764690523</v>
      </c>
      <c r="AJ15" s="77">
        <f t="shared" si="6"/>
        <v>1.006064394136412</v>
      </c>
      <c r="AL15" s="33">
        <f t="shared" si="7"/>
        <v>3.7730126315774341E-3</v>
      </c>
      <c r="AM15" s="33">
        <f t="shared" si="8"/>
        <v>7.7872138239604956E-3</v>
      </c>
      <c r="AN15" s="33">
        <f t="shared" si="9"/>
        <v>2.1140383039962136E-3</v>
      </c>
      <c r="AO15" s="56">
        <v>0.18325645634287266</v>
      </c>
      <c r="AP15" s="57">
        <v>9.0490249769565087E-2</v>
      </c>
      <c r="AQ15" s="47">
        <f t="shared" si="10"/>
        <v>201207</v>
      </c>
      <c r="AR15" t="str">
        <f t="shared" si="11"/>
        <v>ATM_EQ_SW_3</v>
      </c>
      <c r="AS15" s="50">
        <v>16.679833428360201</v>
      </c>
      <c r="AT15" s="50">
        <v>-4.3336183513273898</v>
      </c>
      <c r="AU15" s="50">
        <v>21.0134517796876</v>
      </c>
      <c r="AV15" s="50">
        <v>6.1731075385164003</v>
      </c>
      <c r="AW15" s="50">
        <v>23.487665779901398</v>
      </c>
      <c r="AX15" s="50">
        <v>46.019903286484897</v>
      </c>
      <c r="AZ15">
        <v>265</v>
      </c>
      <c r="BA15">
        <v>109</v>
      </c>
      <c r="BB15">
        <f t="shared" si="15"/>
        <v>156</v>
      </c>
      <c r="BC15" t="s">
        <v>173</v>
      </c>
      <c r="BD15" s="78">
        <f>BB15*concentration_constants!$B$6</f>
        <v>0.15204678362573099</v>
      </c>
      <c r="BE15" s="50">
        <f>I15*concentration_constants!$B$2+concentration_constants!$D$2</f>
        <v>2.2375445775427525</v>
      </c>
      <c r="BF15" s="50">
        <f>BE15*concentration_constants!$B$3+concentration_constants!$D$3</f>
        <v>0.3269777805067392</v>
      </c>
      <c r="BG15" s="50">
        <f t="shared" si="16"/>
        <v>14.716158567685026</v>
      </c>
      <c r="BH15" s="50">
        <f t="shared" si="17"/>
        <v>2.1505077102558618</v>
      </c>
    </row>
    <row r="16" spans="1:60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76">
        <f t="shared" si="5"/>
        <v>0.99612100907800016</v>
      </c>
      <c r="AJ16" s="77">
        <f t="shared" si="6"/>
        <v>0.99506995047664126</v>
      </c>
      <c r="AL16" s="33">
        <f t="shared" si="7"/>
        <v>3.7385509216503769E-3</v>
      </c>
      <c r="AM16" s="33">
        <f t="shared" si="8"/>
        <v>7.7109975841160696E-3</v>
      </c>
      <c r="AN16" s="33">
        <f t="shared" si="9"/>
        <v>2.0909357320700551E-3</v>
      </c>
      <c r="AO16" s="56">
        <v>0.18325645634287266</v>
      </c>
      <c r="AP16" s="57">
        <v>9.0490249769565087E-2</v>
      </c>
      <c r="AQ16" s="47">
        <f t="shared" si="10"/>
        <v>201207</v>
      </c>
      <c r="AR16" t="str">
        <f t="shared" si="11"/>
        <v>S2_ref_2</v>
      </c>
      <c r="AS16" s="50">
        <v>7.1029978910310803</v>
      </c>
      <c r="AT16" s="50">
        <v>-14.893050092214599</v>
      </c>
      <c r="AU16" s="50">
        <v>21.996047983245699</v>
      </c>
      <c r="AV16" s="50">
        <v>-3.8950261005917799</v>
      </c>
      <c r="AW16" s="50">
        <v>17.735485742880101</v>
      </c>
      <c r="AX16" s="50">
        <v>34.656884164523802</v>
      </c>
      <c r="AZ16">
        <v>265</v>
      </c>
      <c r="BA16">
        <v>109</v>
      </c>
      <c r="BB16">
        <f t="shared" si="15"/>
        <v>156</v>
      </c>
      <c r="BC16" t="s">
        <v>39</v>
      </c>
      <c r="BD16" s="78">
        <f>BB16*concentration_constants!$F$6</f>
        <v>0.15628130635143259</v>
      </c>
      <c r="BE16" s="50">
        <f>I16*concentration_constants!$B$2+concentration_constants!$D$2</f>
        <v>3.9394971247204844</v>
      </c>
      <c r="BF16" s="50">
        <f>BE16*concentration_constants!$B$3+concentration_constants!$D$3</f>
        <v>0.34062520878960229</v>
      </c>
      <c r="BG16" s="50">
        <f t="shared" si="16"/>
        <v>25.207730960871714</v>
      </c>
      <c r="BH16" s="50">
        <f t="shared" si="17"/>
        <v>2.179564637267827</v>
      </c>
    </row>
    <row r="17" spans="1:60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76">
        <f t="shared" si="5"/>
        <v>0.99311892403423885</v>
      </c>
      <c r="AJ17" s="77">
        <f t="shared" si="6"/>
        <v>1.0041261029389918</v>
      </c>
      <c r="AL17" s="33">
        <f t="shared" si="7"/>
        <v>3.7557778240511282E-3</v>
      </c>
      <c r="AM17" s="33">
        <f t="shared" si="8"/>
        <v>7.6877583688914237E-3</v>
      </c>
      <c r="AN17" s="33">
        <f t="shared" si="9"/>
        <v>2.1099653819650526E-3</v>
      </c>
      <c r="AO17" s="56">
        <v>0.18325645634287266</v>
      </c>
      <c r="AP17" s="57">
        <v>9.0490249769565087E-2</v>
      </c>
      <c r="AQ17" s="47">
        <f t="shared" si="10"/>
        <v>201207</v>
      </c>
      <c r="AR17" s="41" t="str">
        <f t="shared" si="11"/>
        <v>DI</v>
      </c>
      <c r="AS17" s="50">
        <v>13.725240315331099</v>
      </c>
      <c r="AT17" s="50">
        <v>-28.3353648321477</v>
      </c>
      <c r="AU17" s="50">
        <v>42.060605147478803</v>
      </c>
      <c r="AV17" s="50">
        <v>-7.3050622584082596</v>
      </c>
      <c r="AW17" s="50">
        <v>22.565126816266901</v>
      </c>
      <c r="AX17" s="50">
        <v>44.193449376003002</v>
      </c>
      <c r="AZ17">
        <v>265</v>
      </c>
      <c r="BA17">
        <v>109</v>
      </c>
      <c r="BB17">
        <f t="shared" si="15"/>
        <v>156</v>
      </c>
      <c r="BC17" t="s">
        <v>39</v>
      </c>
      <c r="BD17" s="78">
        <f>BB17*concentration_constants!$F$6</f>
        <v>0.15628130635143259</v>
      </c>
      <c r="BE17" s="50">
        <f>I17*concentration_constants!$B$2+concentration_constants!$D$2</f>
        <v>6.3978730261994317</v>
      </c>
      <c r="BF17" s="50">
        <f>BE17*concentration_constants!$B$3+concentration_constants!$D$3</f>
        <v>0.36033816075373781</v>
      </c>
      <c r="BG17" s="50">
        <f t="shared" si="16"/>
        <v>40.938184966360723</v>
      </c>
      <c r="BH17" s="50">
        <f t="shared" si="17"/>
        <v>2.3057022568229555</v>
      </c>
    </row>
    <row r="18" spans="1:60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4"/>
      <c r="AJ18" s="74"/>
      <c r="AL18" s="33"/>
      <c r="AM18" s="33"/>
      <c r="AN18" s="33"/>
      <c r="AO18" s="56"/>
      <c r="AP18" s="54"/>
      <c r="AQ18" s="49"/>
      <c r="AR18" s="48"/>
      <c r="AS18" s="48"/>
      <c r="AT18" s="48"/>
      <c r="AU18" s="48"/>
      <c r="AV18" s="48"/>
      <c r="AW18" s="48"/>
      <c r="AX18" s="48"/>
    </row>
    <row r="19" spans="1:60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4"/>
      <c r="AJ19" s="74"/>
      <c r="AL19" s="33"/>
      <c r="AM19" s="33"/>
      <c r="AN19" s="33"/>
      <c r="AO19" s="56"/>
      <c r="AP19" s="54"/>
      <c r="AQ19" s="49"/>
      <c r="AR19" s="48"/>
      <c r="AS19" s="48"/>
      <c r="AT19" s="48"/>
      <c r="AU19" s="48"/>
      <c r="AV19" s="48"/>
      <c r="AW19" s="48"/>
      <c r="AX19" s="48"/>
    </row>
    <row r="20" spans="1:60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4"/>
      <c r="AJ20" s="74"/>
      <c r="AL20" s="33"/>
      <c r="AM20" s="33"/>
      <c r="AN20" s="33"/>
      <c r="AO20" s="56"/>
      <c r="AP20" s="54"/>
      <c r="AQ20" s="49"/>
      <c r="AR20" s="48"/>
      <c r="AS20" s="48"/>
      <c r="AT20" s="48"/>
      <c r="AU20" s="48"/>
      <c r="AV20" s="48"/>
      <c r="AW20" s="48"/>
      <c r="AX20" s="48"/>
    </row>
    <row r="21" spans="1:60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4"/>
      <c r="AJ21" s="74"/>
      <c r="AL21" s="33"/>
      <c r="AM21" s="33"/>
      <c r="AN21" s="33"/>
      <c r="AO21" s="56"/>
      <c r="AP21" s="54"/>
      <c r="AQ21" s="49"/>
      <c r="AR21" s="48"/>
      <c r="AS21" s="48"/>
      <c r="AT21" s="48"/>
      <c r="AU21" s="48"/>
      <c r="AV21" s="48"/>
      <c r="AW21" s="48"/>
      <c r="AX21" s="48"/>
    </row>
    <row r="22" spans="1:60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4"/>
      <c r="AJ22" s="74"/>
      <c r="AL22" s="33"/>
      <c r="AM22" s="33"/>
      <c r="AN22" s="33"/>
      <c r="AO22" s="56"/>
      <c r="AP22" s="54"/>
      <c r="AQ22" s="49"/>
      <c r="AR22" s="48"/>
      <c r="AS22" s="48"/>
      <c r="AT22" s="48"/>
      <c r="AU22" s="48"/>
      <c r="AV22" s="48"/>
      <c r="AW22" s="48"/>
      <c r="AX22" s="48"/>
    </row>
    <row r="23" spans="1:60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4"/>
      <c r="AJ23" s="74"/>
      <c r="AL23" s="33"/>
      <c r="AM23" s="33"/>
      <c r="AN23" s="33"/>
      <c r="AO23" s="56"/>
      <c r="AP23" s="54"/>
      <c r="AQ23" s="49"/>
      <c r="AR23" s="48"/>
      <c r="AS23" s="48"/>
      <c r="AT23" s="48"/>
      <c r="AU23" s="48"/>
      <c r="AV23" s="48"/>
      <c r="AW23" s="48"/>
      <c r="AX23" s="48"/>
    </row>
    <row r="24" spans="1:60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4"/>
      <c r="AJ24" s="74"/>
      <c r="AL24" s="33"/>
      <c r="AM24" s="33"/>
      <c r="AN24" s="33"/>
      <c r="AO24" s="56"/>
      <c r="AP24" s="54"/>
      <c r="AQ24" s="49"/>
      <c r="AR24" s="48"/>
      <c r="AS24" s="48"/>
      <c r="AT24" s="48"/>
      <c r="AU24" s="48"/>
      <c r="AV24" s="48"/>
      <c r="AW24" s="48"/>
      <c r="AX24" s="48"/>
    </row>
    <row r="25" spans="1:60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4"/>
      <c r="AJ25" s="74"/>
      <c r="AL25" s="33"/>
      <c r="AM25" s="33"/>
      <c r="AN25" s="33"/>
      <c r="AO25" s="56"/>
      <c r="AP25" s="54"/>
      <c r="AQ25" s="49"/>
      <c r="AR25" s="48"/>
      <c r="AS25" s="48"/>
      <c r="AT25" s="48"/>
      <c r="AU25" s="48"/>
      <c r="AV25" s="48"/>
      <c r="AW25" s="48"/>
      <c r="AX25" s="48"/>
    </row>
    <row r="26" spans="1:60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4"/>
      <c r="AJ26" s="74"/>
      <c r="AL26" s="33"/>
      <c r="AM26" s="33"/>
      <c r="AN26" s="33"/>
      <c r="AO26" s="56"/>
      <c r="AP26" s="54"/>
      <c r="AQ26" s="49"/>
      <c r="AR26" s="48"/>
      <c r="AS26" s="48"/>
      <c r="AT26" s="48"/>
      <c r="AU26" s="48"/>
      <c r="AV26" s="48"/>
      <c r="AW26" s="48"/>
      <c r="AX26" s="48"/>
    </row>
    <row r="27" spans="1:60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4"/>
      <c r="AJ27" s="74"/>
      <c r="AL27" s="33"/>
      <c r="AM27" s="33"/>
      <c r="AN27" s="33"/>
      <c r="AO27" s="56"/>
      <c r="AP27" s="54"/>
      <c r="AQ27" s="49"/>
      <c r="AR27" s="48"/>
      <c r="AS27" s="48"/>
      <c r="AT27" s="48"/>
      <c r="AU27" s="48"/>
      <c r="AV27" s="48"/>
      <c r="AW27" s="48"/>
      <c r="AX27" s="48"/>
    </row>
    <row r="28" spans="1:60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4"/>
      <c r="AJ28" s="74"/>
      <c r="AL28" s="33"/>
      <c r="AM28" s="33"/>
      <c r="AN28" s="33"/>
      <c r="AO28" s="56"/>
      <c r="AP28" s="54"/>
      <c r="AQ28" s="49"/>
      <c r="AR28" s="48"/>
      <c r="AS28" s="48"/>
      <c r="AT28" s="48"/>
      <c r="AU28" s="48"/>
      <c r="AV28" s="48"/>
      <c r="AW28" s="48"/>
      <c r="AX28" s="48"/>
    </row>
    <row r="29" spans="1:60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4"/>
      <c r="AJ29" s="74"/>
      <c r="AL29" s="33"/>
      <c r="AM29" s="33"/>
      <c r="AN29" s="33"/>
      <c r="AO29" s="56"/>
      <c r="AP29" s="54"/>
      <c r="AQ29" s="49"/>
      <c r="AR29" s="48"/>
      <c r="AS29" s="48"/>
      <c r="AT29" s="48"/>
      <c r="AU29" s="48"/>
      <c r="AV29" s="48"/>
      <c r="AW29" s="48"/>
      <c r="AX29" s="48"/>
    </row>
    <row r="30" spans="1:60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4"/>
      <c r="AJ30" s="74"/>
      <c r="AL30" s="33"/>
      <c r="AM30" s="33"/>
      <c r="AN30" s="33"/>
      <c r="AO30" s="60"/>
      <c r="AP30" s="32"/>
      <c r="AQ30" s="49"/>
      <c r="AR30" s="48"/>
      <c r="AS30" s="45"/>
      <c r="AT30" s="45"/>
      <c r="AU30" s="45"/>
      <c r="AV30" s="45"/>
      <c r="AW30" s="45"/>
      <c r="AX30" s="45"/>
    </row>
    <row r="31" spans="1:60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4"/>
      <c r="AJ31" s="74"/>
      <c r="AL31" s="33"/>
      <c r="AM31" s="33"/>
      <c r="AN31" s="33"/>
      <c r="AQ31" s="49"/>
      <c r="AR31" s="48"/>
      <c r="AS31" s="45"/>
      <c r="AT31" s="45"/>
      <c r="AU31" s="45"/>
      <c r="AV31" s="45"/>
      <c r="AW31" s="45"/>
      <c r="AX31" s="45"/>
    </row>
    <row r="32" spans="1:60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4"/>
      <c r="AJ32" s="74"/>
      <c r="AL32" s="33"/>
      <c r="AM32" s="33"/>
      <c r="AN32" s="33"/>
      <c r="AQ32" s="49"/>
      <c r="AR32" s="48"/>
      <c r="AS32" s="45"/>
      <c r="AT32" s="45"/>
      <c r="AU32" s="45"/>
      <c r="AV32" s="45"/>
      <c r="AW32" s="45"/>
      <c r="AX32" s="45"/>
    </row>
    <row r="33" spans="3:50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4"/>
      <c r="AJ33" s="74"/>
      <c r="AL33" s="33"/>
      <c r="AM33" s="33"/>
      <c r="AN33" s="33"/>
      <c r="AQ33" s="49"/>
      <c r="AR33" s="48"/>
      <c r="AS33" s="45"/>
      <c r="AT33" s="45"/>
      <c r="AU33" s="45"/>
      <c r="AV33" s="45"/>
      <c r="AW33" s="45"/>
      <c r="AX33" s="45"/>
    </row>
    <row r="34" spans="3:50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4"/>
      <c r="AJ34" s="74"/>
      <c r="AL34" s="33"/>
      <c r="AM34" s="33"/>
      <c r="AN34" s="33"/>
      <c r="AQ34" s="49"/>
      <c r="AR34" s="48"/>
      <c r="AS34" s="45"/>
      <c r="AT34" s="45"/>
      <c r="AU34" s="45"/>
      <c r="AV34" s="45"/>
      <c r="AW34" s="45"/>
      <c r="AX34" s="45"/>
    </row>
    <row r="35" spans="3:50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4"/>
      <c r="AJ35" s="74"/>
      <c r="AL35" s="33"/>
      <c r="AM35" s="33"/>
      <c r="AN35" s="33"/>
      <c r="AQ35" s="49"/>
      <c r="AR35" s="48"/>
      <c r="AS35" s="45"/>
      <c r="AT35" s="45"/>
      <c r="AU35" s="45"/>
      <c r="AV35" s="45"/>
      <c r="AW35" s="45"/>
      <c r="AX35" s="45"/>
    </row>
    <row r="36" spans="3:50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4"/>
      <c r="AJ36" s="74"/>
      <c r="AL36" s="33"/>
      <c r="AM36" s="33"/>
      <c r="AN36" s="33"/>
      <c r="AQ36" s="49"/>
      <c r="AR36" s="48"/>
      <c r="AS36" s="45"/>
      <c r="AT36" s="45"/>
      <c r="AU36" s="45"/>
      <c r="AV36" s="45"/>
      <c r="AW36" s="45"/>
      <c r="AX36" s="45"/>
    </row>
    <row r="37" spans="3:50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4"/>
      <c r="AJ37" s="74"/>
      <c r="AL37" s="33"/>
      <c r="AM37" s="33"/>
      <c r="AN37" s="33"/>
      <c r="AQ37" s="49"/>
      <c r="AR37" s="48"/>
      <c r="AS37" s="45"/>
      <c r="AT37" s="45"/>
      <c r="AU37" s="45"/>
      <c r="AV37" s="45"/>
      <c r="AW37" s="45"/>
      <c r="AX37" s="45"/>
    </row>
    <row r="38" spans="3:50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4"/>
      <c r="AJ38" s="74"/>
      <c r="AL38" s="33"/>
      <c r="AM38" s="33"/>
      <c r="AN38" s="33"/>
      <c r="AQ38" s="49"/>
      <c r="AR38" s="48"/>
      <c r="AS38" s="45"/>
      <c r="AT38" s="45"/>
      <c r="AU38" s="45"/>
      <c r="AV38" s="45"/>
      <c r="AW38" s="45"/>
      <c r="AX38" s="45"/>
    </row>
    <row r="39" spans="3:50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4"/>
      <c r="AJ39" s="74"/>
      <c r="AL39" s="33"/>
      <c r="AM39" s="33"/>
      <c r="AN39" s="33"/>
      <c r="AQ39" s="49"/>
      <c r="AR39" s="48"/>
      <c r="AS39" s="45"/>
      <c r="AT39" s="45"/>
      <c r="AU39" s="45"/>
      <c r="AV39" s="45"/>
      <c r="AW39" s="45"/>
      <c r="AX39" s="45"/>
    </row>
    <row r="40" spans="3:50">
      <c r="AA40" s="28"/>
      <c r="AI40" s="74"/>
      <c r="AJ40" s="74"/>
      <c r="AQ40" s="45"/>
      <c r="AR40" s="45"/>
      <c r="AS40" s="45"/>
      <c r="AT40" s="45"/>
      <c r="AU40" s="45"/>
      <c r="AV40" s="45"/>
      <c r="AW40" s="45"/>
      <c r="AX40" s="45"/>
    </row>
    <row r="41" spans="3:50">
      <c r="AI41" s="74"/>
      <c r="AJ41" s="74"/>
    </row>
    <row r="42" spans="3:50">
      <c r="AI42" s="74"/>
      <c r="AJ42" s="74"/>
    </row>
    <row r="43" spans="3:50">
      <c r="AI43" s="74"/>
      <c r="AJ43" s="74"/>
    </row>
    <row r="44" spans="3:50">
      <c r="AI44" s="74"/>
      <c r="AJ44" s="74"/>
    </row>
    <row r="45" spans="3:50">
      <c r="AI45" s="74"/>
      <c r="AJ45" s="74"/>
    </row>
    <row r="46" spans="3:50">
      <c r="AI46" s="74"/>
      <c r="AJ46" s="74"/>
    </row>
    <row r="47" spans="3:50">
      <c r="AI47" s="74"/>
      <c r="AJ47" s="74"/>
    </row>
    <row r="48" spans="3:50">
      <c r="AI48" s="74"/>
      <c r="AJ48" s="74"/>
    </row>
    <row r="49" spans="35:36">
      <c r="AI49" s="74"/>
      <c r="AJ49" s="74"/>
    </row>
    <row r="50" spans="35:36">
      <c r="AI50" s="74"/>
      <c r="AJ50" s="74"/>
    </row>
    <row r="51" spans="35:36">
      <c r="AI51" s="74"/>
      <c r="AJ51" s="74"/>
    </row>
    <row r="52" spans="35:36">
      <c r="AI52" s="74"/>
      <c r="AJ52" s="74"/>
    </row>
    <row r="53" spans="35:36">
      <c r="AI53" s="74"/>
      <c r="AJ53" s="74"/>
    </row>
    <row r="54" spans="35:36">
      <c r="AI54" s="74"/>
      <c r="AJ54" s="7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Q47"/>
  <sheetViews>
    <sheetView topLeftCell="F1" workbookViewId="0">
      <selection activeCell="J23" sqref="J23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</cols>
  <sheetData>
    <row r="1" spans="1:17">
      <c r="A1" s="124" t="s">
        <v>123</v>
      </c>
      <c r="B1" s="124"/>
      <c r="C1" s="124"/>
      <c r="D1" s="124"/>
      <c r="E1" s="124"/>
      <c r="F1" s="124"/>
      <c r="G1" s="125" t="s">
        <v>116</v>
      </c>
      <c r="H1" s="125"/>
      <c r="I1" s="125"/>
      <c r="J1" s="125"/>
      <c r="K1" s="125"/>
      <c r="L1" s="125"/>
      <c r="M1" s="125"/>
      <c r="N1" s="125"/>
      <c r="O1" s="115" t="s">
        <v>115</v>
      </c>
      <c r="P1" s="116"/>
      <c r="Q1" s="115"/>
    </row>
    <row r="2" spans="1:17" ht="17">
      <c r="A2" s="117" t="s">
        <v>92</v>
      </c>
      <c r="B2" s="117" t="s">
        <v>31</v>
      </c>
      <c r="C2" s="117" t="s">
        <v>32</v>
      </c>
      <c r="D2" s="117" t="s">
        <v>33</v>
      </c>
      <c r="E2" s="117" t="s">
        <v>34</v>
      </c>
      <c r="F2" s="117" t="s">
        <v>35</v>
      </c>
      <c r="G2" s="118" t="s">
        <v>99</v>
      </c>
      <c r="H2" s="118" t="s">
        <v>100</v>
      </c>
      <c r="I2" s="118" t="s">
        <v>101</v>
      </c>
      <c r="J2" s="118" t="s">
        <v>102</v>
      </c>
      <c r="K2" s="118" t="s">
        <v>103</v>
      </c>
      <c r="L2" s="118" t="s">
        <v>104</v>
      </c>
      <c r="M2" s="118" t="s">
        <v>105</v>
      </c>
      <c r="N2" s="118" t="s">
        <v>106</v>
      </c>
    </row>
    <row r="3" spans="1:17">
      <c r="A3" s="68" t="s">
        <v>36</v>
      </c>
      <c r="B3" s="69">
        <v>15.7</v>
      </c>
      <c r="C3" s="69">
        <v>-3.3</v>
      </c>
      <c r="D3" s="69">
        <f>AVERAGE(B3:C3)</f>
        <v>6.1999999999999993</v>
      </c>
      <c r="E3" s="69">
        <v>44.3</v>
      </c>
      <c r="F3" s="69">
        <f>B3-C3</f>
        <v>19</v>
      </c>
      <c r="G3" s="65">
        <f>(B3/1000+1)*0.0036765</f>
        <v>3.73422105E-3</v>
      </c>
      <c r="H3" s="65">
        <f>(C3/1000+1)*0.0036765</f>
        <v>3.6643675500000004E-3</v>
      </c>
      <c r="I3" s="65">
        <f>(E3/1000+1)*0.0020052</f>
        <v>2.0940303600000001E-3</v>
      </c>
      <c r="J3" s="65">
        <f>(I3/0.0020052)^0.516*0.0003799</f>
        <v>3.8849294549053509E-4</v>
      </c>
      <c r="K3" s="66">
        <f>G3+H3+J3</f>
        <v>7.7870815454905359E-3</v>
      </c>
      <c r="L3" s="66">
        <f>(G3+H3)*J3+I3+G3*H3</f>
        <v>2.1105882179178336E-3</v>
      </c>
      <c r="M3" s="67">
        <f>K3/size_correction!X$3</f>
        <v>1.0059496767117579</v>
      </c>
      <c r="N3" s="67">
        <f>L3/size_correction!Y$3</f>
        <v>1.0044225086731247</v>
      </c>
    </row>
    <row r="4" spans="1:17">
      <c r="A4" s="68" t="s">
        <v>38</v>
      </c>
      <c r="B4" s="69">
        <v>5.55</v>
      </c>
      <c r="C4" s="69">
        <v>-12.87</v>
      </c>
      <c r="D4" s="69">
        <f t="shared" ref="D4:D9" si="0">AVERAGE(B4:C4)</f>
        <v>-3.6599999999999997</v>
      </c>
      <c r="E4" s="69">
        <v>32.729999999999997</v>
      </c>
      <c r="F4" s="69">
        <f t="shared" ref="F4:F9" si="1">B4-C4</f>
        <v>18.419999999999998</v>
      </c>
      <c r="G4" s="65">
        <f t="shared" ref="G4:G9" si="2">(B4/1000+1)*0.0036765</f>
        <v>3.6969045749999999E-3</v>
      </c>
      <c r="H4" s="65">
        <f t="shared" ref="H4:H9" si="3">(C4/1000+1)*0.0036765</f>
        <v>3.6291834449999998E-3</v>
      </c>
      <c r="I4" s="65">
        <f>(E4/1000+1)*0.0020052</f>
        <v>2.0708301959999997E-3</v>
      </c>
      <c r="J4" s="65">
        <f>(I4/0.0020052)^0.516*0.0003799</f>
        <v>3.8626599693337293E-4</v>
      </c>
      <c r="K4" s="66">
        <f>G4+H4+J4</f>
        <v>7.7123540169333725E-3</v>
      </c>
      <c r="L4" s="66">
        <f>(G4+H4)*J4+I4+G4*H4</f>
        <v>2.0870767595740011E-3</v>
      </c>
      <c r="M4" s="67">
        <f>K4/size_correction!X$3</f>
        <v>0.99629623559207692</v>
      </c>
      <c r="N4" s="67">
        <f>L4/size_correction!Y$3</f>
        <v>0.99323347721175648</v>
      </c>
    </row>
    <row r="5" spans="1:17">
      <c r="A5" s="68" t="s">
        <v>37</v>
      </c>
      <c r="B5" s="69">
        <v>-0.40396535511111115</v>
      </c>
      <c r="C5" s="69">
        <v>-0.14814902897277774</v>
      </c>
      <c r="D5" s="69">
        <f t="shared" si="0"/>
        <v>-0.27605719204194445</v>
      </c>
      <c r="E5" s="69">
        <v>41.949257311111111</v>
      </c>
      <c r="F5" s="69">
        <f t="shared" si="1"/>
        <v>-0.25581632613833338</v>
      </c>
      <c r="G5" s="65">
        <f t="shared" si="2"/>
        <v>3.6750148213719339E-3</v>
      </c>
      <c r="H5" s="65">
        <f t="shared" si="3"/>
        <v>3.6759553300949816E-3</v>
      </c>
      <c r="I5" s="65">
        <f t="shared" ref="I5:I9" si="4">(E5/1000+1)*0.0020052</f>
        <v>2.0893166507602399E-3</v>
      </c>
      <c r="J5" s="65">
        <f t="shared" ref="J5:J9" si="5">(I5/0.0020052)^0.516*0.0003799</f>
        <v>3.8804145413997107E-4</v>
      </c>
      <c r="K5" s="66">
        <f t="shared" ref="K5:K9" si="6">G5+H5+J5</f>
        <v>7.7390116056068863E-3</v>
      </c>
      <c r="L5" s="66">
        <f t="shared" ref="L5:L9" si="7">(G5+H5)*J5+I5+G5*H5</f>
        <v>2.1056783222279545E-3</v>
      </c>
      <c r="M5" s="67">
        <f>K5/size_correction!X$3</f>
        <v>0.99973991247556415</v>
      </c>
      <c r="N5" s="67">
        <f>L5/size_correction!Y$3</f>
        <v>1.0020859042591113</v>
      </c>
    </row>
    <row r="6" spans="1:17">
      <c r="A6" s="68" t="s">
        <v>178</v>
      </c>
      <c r="B6" s="69">
        <v>-22.21</v>
      </c>
      <c r="C6" s="69">
        <v>-49.28</v>
      </c>
      <c r="D6" s="69">
        <f t="shared" si="0"/>
        <v>-35.745000000000005</v>
      </c>
      <c r="E6" s="69">
        <v>26.94</v>
      </c>
      <c r="F6" s="69">
        <f t="shared" si="1"/>
        <v>27.07</v>
      </c>
      <c r="G6" s="65">
        <f t="shared" si="2"/>
        <v>3.5948449350000004E-3</v>
      </c>
      <c r="H6" s="65">
        <f t="shared" si="3"/>
        <v>3.49532208E-3</v>
      </c>
      <c r="I6" s="65">
        <f t="shared" si="4"/>
        <v>2.0592200879999997E-3</v>
      </c>
      <c r="J6" s="65">
        <f t="shared" si="5"/>
        <v>3.8514702697154833E-4</v>
      </c>
      <c r="K6" s="66">
        <f t="shared" si="6"/>
        <v>7.4753140419715489E-3</v>
      </c>
      <c r="L6" s="66">
        <f t="shared" si="7"/>
        <v>2.0745159856220404E-3</v>
      </c>
      <c r="M6" s="67">
        <f>K6/size_correction!X$3</f>
        <v>0.96567497077192166</v>
      </c>
      <c r="N6" s="67">
        <f>L6/size_correction!Y$3</f>
        <v>0.98725584312065418</v>
      </c>
    </row>
    <row r="7" spans="1:17">
      <c r="A7" s="68">
        <v>53504</v>
      </c>
      <c r="B7" s="69">
        <v>1.71</v>
      </c>
      <c r="C7" s="69">
        <v>94.44</v>
      </c>
      <c r="D7" s="69">
        <f t="shared" si="0"/>
        <v>48.074999999999996</v>
      </c>
      <c r="E7" s="69">
        <v>36.01</v>
      </c>
      <c r="F7" s="69">
        <f t="shared" si="1"/>
        <v>-92.73</v>
      </c>
      <c r="G7" s="65">
        <f t="shared" si="2"/>
        <v>3.6827868150000006E-3</v>
      </c>
      <c r="H7" s="65">
        <f t="shared" si="3"/>
        <v>4.0237086600000008E-3</v>
      </c>
      <c r="I7" s="65">
        <f t="shared" si="4"/>
        <v>2.0774072520000002E-3</v>
      </c>
      <c r="J7" s="65">
        <f t="shared" si="5"/>
        <v>3.8689853960154226E-4</v>
      </c>
      <c r="K7" s="66">
        <f t="shared" si="6"/>
        <v>8.0933940146015442E-3</v>
      </c>
      <c r="L7" s="66">
        <f t="shared" si="7"/>
        <v>2.0952073450451725E-3</v>
      </c>
      <c r="M7" s="67">
        <f>K7/size_correction!X$3</f>
        <v>1.0455196911613225</v>
      </c>
      <c r="N7" s="67">
        <f>L7/size_correction!Y$3</f>
        <v>0.99710279808951241</v>
      </c>
    </row>
    <row r="8" spans="1:17">
      <c r="A8" s="68" t="s">
        <v>179</v>
      </c>
      <c r="B8" s="69">
        <v>17.11</v>
      </c>
      <c r="C8" s="69">
        <v>-3.43</v>
      </c>
      <c r="D8" s="69">
        <f t="shared" si="0"/>
        <v>6.84</v>
      </c>
      <c r="E8" s="69">
        <v>35.29</v>
      </c>
      <c r="F8" s="69">
        <f t="shared" si="1"/>
        <v>20.54</v>
      </c>
      <c r="G8" s="65">
        <f t="shared" si="2"/>
        <v>3.7394049149999998E-3</v>
      </c>
      <c r="H8" s="65">
        <f t="shared" si="3"/>
        <v>3.6638896049999998E-3</v>
      </c>
      <c r="I8" s="65">
        <f t="shared" si="4"/>
        <v>2.0759635080000003E-3</v>
      </c>
      <c r="J8" s="65">
        <f t="shared" si="5"/>
        <v>3.8675977189798279E-4</v>
      </c>
      <c r="K8" s="66">
        <f t="shared" si="6"/>
        <v>7.7900542918979817E-3</v>
      </c>
      <c r="L8" s="66">
        <f t="shared" si="7"/>
        <v>2.0925275712968031E-3</v>
      </c>
      <c r="M8" s="67">
        <f>K8/size_correction!X$3</f>
        <v>1.0063337016214813</v>
      </c>
      <c r="N8" s="67">
        <f>L8/size_correction!Y$3</f>
        <v>0.99582750191939118</v>
      </c>
    </row>
    <row r="9" spans="1:17">
      <c r="A9" s="119">
        <v>90454</v>
      </c>
      <c r="B9" s="120">
        <v>25.73</v>
      </c>
      <c r="C9" s="120">
        <v>25.44</v>
      </c>
      <c r="D9" s="69">
        <f t="shared" si="0"/>
        <v>25.585000000000001</v>
      </c>
      <c r="E9" s="120">
        <v>35.880000000000003</v>
      </c>
      <c r="F9" s="69">
        <f t="shared" si="1"/>
        <v>0.28999999999999915</v>
      </c>
      <c r="G9" s="65">
        <f t="shared" si="2"/>
        <v>3.7710963450000002E-3</v>
      </c>
      <c r="H9" s="65">
        <f t="shared" si="3"/>
        <v>3.7700301599999995E-3</v>
      </c>
      <c r="I9" s="121">
        <f t="shared" si="4"/>
        <v>2.0771465759999996E-3</v>
      </c>
      <c r="J9" s="121">
        <f t="shared" si="5"/>
        <v>3.8687348777560239E-4</v>
      </c>
      <c r="K9" s="122">
        <f t="shared" si="6"/>
        <v>7.9279999927756029E-3</v>
      </c>
      <c r="L9" s="122">
        <f t="shared" si="7"/>
        <v>2.0942811848696616E-3</v>
      </c>
      <c r="M9" s="123">
        <v>1.0241537838167138</v>
      </c>
      <c r="N9" s="123">
        <v>0.9966620412810443</v>
      </c>
    </row>
    <row r="10" spans="1:17">
      <c r="A10" s="63"/>
      <c r="B10" s="63"/>
      <c r="C10" s="63"/>
      <c r="D10" s="37"/>
      <c r="E10" s="63"/>
      <c r="F10" s="62"/>
      <c r="G10" s="62"/>
      <c r="H10" s="37"/>
      <c r="I10" s="63"/>
      <c r="J10" s="62"/>
      <c r="M10" s="63"/>
      <c r="N10" s="63"/>
      <c r="O10" s="63"/>
      <c r="P10" s="63"/>
    </row>
    <row r="11" spans="1:17">
      <c r="A11" s="114"/>
      <c r="B11" s="70" t="s">
        <v>124</v>
      </c>
      <c r="C11" s="70"/>
      <c r="D11" s="114"/>
      <c r="E11" s="114"/>
      <c r="H11" s="37"/>
      <c r="I11" s="63"/>
      <c r="J11" s="62"/>
      <c r="L11" s="63"/>
      <c r="M11" s="63"/>
    </row>
    <row r="12" spans="1:17" s="41" customFormat="1">
      <c r="A12" s="63" t="s">
        <v>2</v>
      </c>
      <c r="B12" s="63" t="s">
        <v>109</v>
      </c>
      <c r="C12" s="63" t="s">
        <v>110</v>
      </c>
      <c r="D12" s="63" t="s">
        <v>26</v>
      </c>
      <c r="E12" s="37" t="s">
        <v>27</v>
      </c>
      <c r="F12" s="63" t="s">
        <v>111</v>
      </c>
      <c r="G12" s="63" t="s">
        <v>112</v>
      </c>
      <c r="H12" s="63" t="s">
        <v>113</v>
      </c>
      <c r="I12" s="63" t="s">
        <v>114</v>
      </c>
      <c r="J12" s="41" t="s">
        <v>107</v>
      </c>
      <c r="K12" s="41" t="s">
        <v>108</v>
      </c>
      <c r="M12" s="63"/>
      <c r="O12" s="63"/>
    </row>
    <row r="13" spans="1:17" ht="17" thickBot="1">
      <c r="A13" s="63" t="str">
        <f>size_correction!D3</f>
        <v>ATM_EQ_SW</v>
      </c>
      <c r="B13" s="68">
        <f t="shared" ref="B13:C15" si="8">M3</f>
        <v>1.0059496767117579</v>
      </c>
      <c r="C13" s="68">
        <f t="shared" si="8"/>
        <v>1.0044225086731247</v>
      </c>
      <c r="D13" s="111">
        <f>size_correction!AF3</f>
        <v>1.0056851052976181</v>
      </c>
      <c r="E13" s="111">
        <f>size_correction!AG3</f>
        <v>1.0075218399408568</v>
      </c>
      <c r="F13" s="67">
        <f t="shared" ref="F13:F27" si="9">LN(D13)</f>
        <v>5.6690060748599133E-3</v>
      </c>
      <c r="G13" s="67">
        <f t="shared" ref="G13:G27" si="10">LN(E13)</f>
        <v>7.4936919644022753E-3</v>
      </c>
      <c r="H13" s="67">
        <f t="shared" ref="H13:I19" si="11">LN(B13)</f>
        <v>5.9320472770020231E-3</v>
      </c>
      <c r="I13" s="67">
        <f t="shared" si="11"/>
        <v>4.412758119012896E-3</v>
      </c>
      <c r="J13" s="72">
        <f>SLOPE(H13:H27,F13:F27)</f>
        <v>1.058002378564959</v>
      </c>
      <c r="K13" s="72">
        <f>SLOPE(I13:I27,G13:G27)</f>
        <v>0.9378376950888252</v>
      </c>
    </row>
    <row r="14" spans="1:17" ht="18" thickTop="1" thickBot="1">
      <c r="A14" s="63" t="str">
        <f>size_correction!D4</f>
        <v>S2_ref_1</v>
      </c>
      <c r="B14" s="68">
        <f t="shared" si="8"/>
        <v>0.99629623559207692</v>
      </c>
      <c r="C14" s="68">
        <f t="shared" si="8"/>
        <v>0.99323347721175648</v>
      </c>
      <c r="D14" s="111">
        <f>size_correction!AF4</f>
        <v>0.99668972770557829</v>
      </c>
      <c r="E14" s="111">
        <f>size_correction!AG4</f>
        <v>0.99497700286985102</v>
      </c>
      <c r="F14" s="67">
        <f t="shared" si="9"/>
        <v>-3.3157633670658081E-3</v>
      </c>
      <c r="G14" s="67">
        <f t="shared" si="10"/>
        <v>-5.0356547842637621E-3</v>
      </c>
      <c r="H14" s="67">
        <f t="shared" si="11"/>
        <v>-3.7106403264231301E-3</v>
      </c>
      <c r="I14" s="67">
        <f t="shared" si="11"/>
        <v>-6.7895195007928941E-3</v>
      </c>
    </row>
    <row r="15" spans="1:17" ht="18" thickTop="1" thickBot="1">
      <c r="A15" s="63" t="str">
        <f>size_correction!D5</f>
        <v>B6_ref_1</v>
      </c>
      <c r="B15" s="68">
        <f t="shared" si="8"/>
        <v>0.99973991247556415</v>
      </c>
      <c r="C15" s="68">
        <f t="shared" si="8"/>
        <v>1.0020859042591113</v>
      </c>
      <c r="D15" s="111">
        <f>size_correction!AF5</f>
        <v>1.0003832772874761</v>
      </c>
      <c r="E15" s="111">
        <f>size_correction!AG5</f>
        <v>1.0043106480077921</v>
      </c>
      <c r="F15" s="67">
        <f t="shared" si="9"/>
        <v>3.8320385549917295E-4</v>
      </c>
      <c r="G15" s="67">
        <f t="shared" si="10"/>
        <v>4.3013837783483656E-3</v>
      </c>
      <c r="H15" s="67">
        <f t="shared" si="11"/>
        <v>-2.6012135306176113E-4</v>
      </c>
      <c r="I15" s="67">
        <f t="shared" si="11"/>
        <v>2.0837317813513596E-3</v>
      </c>
    </row>
    <row r="16" spans="1:17" ht="18" thickTop="1" thickBot="1">
      <c r="A16" s="63" t="str">
        <f>size_correction!D6</f>
        <v>ATM_EQ_SW_1</v>
      </c>
      <c r="B16" s="68">
        <f t="shared" ref="B16:C18" si="12">M3</f>
        <v>1.0059496767117579</v>
      </c>
      <c r="C16" s="68">
        <f t="shared" si="12"/>
        <v>1.0044225086731247</v>
      </c>
      <c r="D16" s="111">
        <f>size_correction!AF6</f>
        <v>1.0064059824102283</v>
      </c>
      <c r="E16" s="111">
        <f>size_correction!AG6</f>
        <v>1.0077071570383731</v>
      </c>
      <c r="F16" s="67">
        <f t="shared" si="9"/>
        <v>6.3855513126554056E-3</v>
      </c>
      <c r="G16" s="67">
        <f t="shared" si="10"/>
        <v>7.6776086292741075E-3</v>
      </c>
      <c r="H16" s="67">
        <f t="shared" si="11"/>
        <v>5.9320472770020231E-3</v>
      </c>
      <c r="I16" s="67">
        <f t="shared" si="11"/>
        <v>4.412758119012896E-3</v>
      </c>
    </row>
    <row r="17" spans="1:9" ht="18" thickTop="1" thickBot="1">
      <c r="A17" s="63" t="str">
        <f>size_correction!D7</f>
        <v>S2_ref_2</v>
      </c>
      <c r="B17" s="68">
        <f t="shared" si="12"/>
        <v>0.99629623559207692</v>
      </c>
      <c r="C17" s="68">
        <f t="shared" si="12"/>
        <v>0.99323347721175648</v>
      </c>
      <c r="D17" s="111">
        <f>size_correction!AF7</f>
        <v>0.99663201609671503</v>
      </c>
      <c r="E17" s="111">
        <f>size_correction!AG7</f>
        <v>0.9951628615034982</v>
      </c>
      <c r="F17" s="67">
        <f t="shared" si="9"/>
        <v>-3.3736683280273967E-3</v>
      </c>
      <c r="G17" s="67">
        <f t="shared" si="10"/>
        <v>-4.8488753146248009E-3</v>
      </c>
      <c r="H17" s="67">
        <f t="shared" si="11"/>
        <v>-3.7106403264231301E-3</v>
      </c>
      <c r="I17" s="67">
        <f t="shared" si="11"/>
        <v>-6.7895195007928941E-3</v>
      </c>
    </row>
    <row r="18" spans="1:9" ht="18" thickTop="1" thickBot="1">
      <c r="A18" s="63" t="str">
        <f>size_correction!D8</f>
        <v>B6_ref_2</v>
      </c>
      <c r="B18" s="68">
        <f t="shared" si="12"/>
        <v>0.99973991247556415</v>
      </c>
      <c r="C18" s="68">
        <f t="shared" si="12"/>
        <v>1.0020859042591113</v>
      </c>
      <c r="D18" s="111">
        <f>size_correction!AF8</f>
        <v>0.99917068284195976</v>
      </c>
      <c r="E18" s="111">
        <f>size_correction!AG8</f>
        <v>1.0023860907979212</v>
      </c>
      <c r="F18" s="67">
        <f t="shared" si="9"/>
        <v>-8.2966123175853173E-4</v>
      </c>
      <c r="G18" s="67">
        <f t="shared" si="10"/>
        <v>2.3832486035312902E-3</v>
      </c>
      <c r="H18" s="67">
        <f t="shared" si="11"/>
        <v>-2.6012135306176113E-4</v>
      </c>
      <c r="I18" s="67">
        <f t="shared" si="11"/>
        <v>2.0837317813513596E-3</v>
      </c>
    </row>
    <row r="19" spans="1:9" ht="18" thickTop="1" thickBot="1">
      <c r="A19" s="63" t="str">
        <f>size_correction!D9</f>
        <v>ATM_EQ_SW_2</v>
      </c>
      <c r="B19" s="68">
        <f>M3</f>
        <v>1.0059496767117579</v>
      </c>
      <c r="C19" s="68">
        <f>N3</f>
        <v>1.0044225086731247</v>
      </c>
      <c r="D19" s="111">
        <f>size_correction!AF9</f>
        <v>1.0050941512728657</v>
      </c>
      <c r="E19" s="111">
        <f>size_correction!AG9</f>
        <v>1.0057116133646442</v>
      </c>
      <c r="F19" s="67">
        <f t="shared" si="9"/>
        <v>5.0812199816469847E-3</v>
      </c>
      <c r="G19" s="67">
        <f t="shared" si="10"/>
        <v>5.6953639452707308E-3</v>
      </c>
      <c r="H19" s="67">
        <f t="shared" si="11"/>
        <v>5.9320472770020231E-3</v>
      </c>
      <c r="I19" s="67">
        <f t="shared" si="11"/>
        <v>4.412758119012896E-3</v>
      </c>
    </row>
    <row r="20" spans="1:9" ht="18" thickTop="1" thickBot="1">
      <c r="A20" s="63" t="str">
        <f>size_correction!D10</f>
        <v>DI</v>
      </c>
      <c r="B20" s="68"/>
      <c r="C20" s="68"/>
      <c r="D20" s="111">
        <f>size_correction!AF10</f>
        <v>0.99092722925764687</v>
      </c>
      <c r="E20" s="111">
        <f>size_correction!AG10</f>
        <v>1.0049378092932522</v>
      </c>
      <c r="F20" s="67">
        <f t="shared" si="9"/>
        <v>-9.1141789753790732E-3</v>
      </c>
      <c r="G20" s="67">
        <f t="shared" si="10"/>
        <v>4.9256582960658154E-3</v>
      </c>
      <c r="H20" s="67"/>
      <c r="I20" s="67"/>
    </row>
    <row r="21" spans="1:9" ht="18" thickTop="1" thickBot="1">
      <c r="A21" s="63" t="str">
        <f>size_correction!D11</f>
        <v>ATM_EQ_SW_1</v>
      </c>
      <c r="B21" s="68">
        <f t="shared" ref="B21:C23" si="13">M3</f>
        <v>1.0059496767117579</v>
      </c>
      <c r="C21" s="68">
        <f t="shared" si="13"/>
        <v>1.0044225086731247</v>
      </c>
      <c r="D21" s="111">
        <f>size_correction!AF11</f>
        <v>1.0057192814133826</v>
      </c>
      <c r="E21" s="111">
        <f>size_correction!AG11</f>
        <v>1.0054625917600983</v>
      </c>
      <c r="F21" s="67">
        <f t="shared" si="9"/>
        <v>5.7029884167436144E-3</v>
      </c>
      <c r="G21" s="67">
        <f t="shared" si="10"/>
        <v>5.4477259185061388E-3</v>
      </c>
      <c r="H21" s="67">
        <f t="shared" ref="H21:I26" si="14">LN(B21)</f>
        <v>5.9320472770020231E-3</v>
      </c>
      <c r="I21" s="67">
        <f t="shared" si="14"/>
        <v>4.412758119012896E-3</v>
      </c>
    </row>
    <row r="22" spans="1:9" ht="18" thickTop="1" thickBot="1">
      <c r="A22" s="63" t="str">
        <f>size_correction!D12</f>
        <v>S2_ref_1</v>
      </c>
      <c r="B22" s="68">
        <f t="shared" si="13"/>
        <v>0.99629623559207692</v>
      </c>
      <c r="C22" s="68">
        <f t="shared" si="13"/>
        <v>0.99323347721175648</v>
      </c>
      <c r="D22" s="111">
        <f>size_correction!AF12</f>
        <v>0.99641187878361481</v>
      </c>
      <c r="E22" s="111">
        <f>size_correction!AG12</f>
        <v>0.99378130442821833</v>
      </c>
      <c r="F22" s="67">
        <f t="shared" si="9"/>
        <v>-3.5945739634335372E-3</v>
      </c>
      <c r="G22" s="67">
        <f t="shared" si="10"/>
        <v>-6.2381121983366193E-3</v>
      </c>
      <c r="H22" s="67">
        <f t="shared" si="14"/>
        <v>-3.7106403264231301E-3</v>
      </c>
      <c r="I22" s="67">
        <f t="shared" si="14"/>
        <v>-6.7895195007928941E-3</v>
      </c>
    </row>
    <row r="23" spans="1:9" ht="18" thickTop="1" thickBot="1">
      <c r="A23" s="63" t="str">
        <f>size_correction!D13</f>
        <v>B6_ref_1</v>
      </c>
      <c r="B23" s="68">
        <f t="shared" si="13"/>
        <v>0.99973991247556415</v>
      </c>
      <c r="C23" s="68">
        <f t="shared" si="13"/>
        <v>1.0020859042591113</v>
      </c>
      <c r="D23" s="111">
        <f>size_correction!AF13</f>
        <v>1.0001796848444418</v>
      </c>
      <c r="E23" s="111">
        <f>size_correction!AG13</f>
        <v>1.0040343543858852</v>
      </c>
      <c r="F23" s="67">
        <f t="shared" si="9"/>
        <v>1.7966870305363727E-4</v>
      </c>
      <c r="G23" s="67">
        <f t="shared" si="10"/>
        <v>4.0262381999534996E-3</v>
      </c>
      <c r="H23" s="67">
        <f t="shared" si="14"/>
        <v>-2.6012135306176113E-4</v>
      </c>
      <c r="I23" s="67">
        <f t="shared" si="14"/>
        <v>2.0837317813513596E-3</v>
      </c>
    </row>
    <row r="24" spans="1:9" ht="18" thickTop="1" thickBot="1">
      <c r="A24" s="63" t="str">
        <f>size_correction!D14</f>
        <v>ATM_EQ_SW_2</v>
      </c>
      <c r="B24" s="68">
        <f>M3</f>
        <v>1.0059496767117579</v>
      </c>
      <c r="C24" s="68">
        <f>N3</f>
        <v>1.0044225086731247</v>
      </c>
      <c r="D24" s="111">
        <f>size_correction!AF14</f>
        <v>1.0048805539160894</v>
      </c>
      <c r="E24" s="111">
        <f>size_correction!AG14</f>
        <v>1.0053599727245706</v>
      </c>
      <c r="F24" s="67">
        <f t="shared" si="9"/>
        <v>4.8686826228146419E-3</v>
      </c>
      <c r="G24" s="67">
        <f t="shared" si="10"/>
        <v>5.3456591947391319E-3</v>
      </c>
      <c r="H24" s="67">
        <f t="shared" si="14"/>
        <v>5.9320472770020231E-3</v>
      </c>
      <c r="I24" s="67">
        <f t="shared" si="14"/>
        <v>4.412758119012896E-3</v>
      </c>
    </row>
    <row r="25" spans="1:9" ht="18" thickTop="1" thickBot="1">
      <c r="A25" s="63" t="str">
        <f>size_correction!D15</f>
        <v>ATM_EQ_SW_3</v>
      </c>
      <c r="B25" s="68">
        <f>M3</f>
        <v>1.0059496767117579</v>
      </c>
      <c r="C25" s="68">
        <f>N3</f>
        <v>1.0044225086731247</v>
      </c>
      <c r="D25" s="111">
        <f>size_correction!AF15</f>
        <v>1.0056387310168626</v>
      </c>
      <c r="E25" s="111">
        <f>size_correction!AG15</f>
        <v>1.0064676550191509</v>
      </c>
      <c r="F25" s="67">
        <f t="shared" si="9"/>
        <v>5.6228928832132777E-3</v>
      </c>
      <c r="G25" s="67">
        <f t="shared" si="10"/>
        <v>6.446829485110093E-3</v>
      </c>
      <c r="H25" s="67">
        <f t="shared" si="14"/>
        <v>5.9320472770020231E-3</v>
      </c>
      <c r="I25" s="67">
        <f t="shared" si="14"/>
        <v>4.412758119012896E-3</v>
      </c>
    </row>
    <row r="26" spans="1:9" ht="18" thickTop="1" thickBot="1">
      <c r="A26" s="63" t="str">
        <f>size_correction!D16</f>
        <v>S2_ref_2</v>
      </c>
      <c r="B26" s="68">
        <f>M4</f>
        <v>0.99629623559207692</v>
      </c>
      <c r="C26" s="68">
        <f>N4</f>
        <v>0.99323347721175648</v>
      </c>
      <c r="D26" s="111">
        <f>size_correction!AF16</f>
        <v>0.99633327484903467</v>
      </c>
      <c r="E26" s="111">
        <f>size_correction!AG16</f>
        <v>0.99474403428411884</v>
      </c>
      <c r="F26" s="67">
        <f t="shared" si="9"/>
        <v>-3.6734640658408848E-3</v>
      </c>
      <c r="G26" s="67">
        <f t="shared" si="10"/>
        <v>-5.2698268942697113E-3</v>
      </c>
      <c r="H26" s="67">
        <f t="shared" si="14"/>
        <v>-3.7106403264231301E-3</v>
      </c>
      <c r="I26" s="67">
        <f t="shared" si="14"/>
        <v>-6.7895195007928941E-3</v>
      </c>
    </row>
    <row r="27" spans="1:9" ht="18" thickTop="1" thickBot="1">
      <c r="A27" s="63" t="str">
        <f>size_correction!D17</f>
        <v>DI</v>
      </c>
      <c r="B27" s="68"/>
      <c r="C27" s="68"/>
      <c r="D27" s="111">
        <f>size_correction!AF17</f>
        <v>0.99349493237592013</v>
      </c>
      <c r="E27" s="111">
        <f>size_correction!AG17</f>
        <v>1.0044001925480899</v>
      </c>
      <c r="F27" s="67">
        <f t="shared" si="9"/>
        <v>-6.5263177824188435E-3</v>
      </c>
      <c r="G27" s="67">
        <f t="shared" si="10"/>
        <v>4.3905400058642007E-3</v>
      </c>
      <c r="H27" s="67"/>
      <c r="I27" s="67"/>
    </row>
    <row r="28" spans="1:9" ht="17" thickTop="1">
      <c r="D28" s="63"/>
      <c r="E28" s="64"/>
    </row>
    <row r="29" spans="1:9">
      <c r="D29" s="63"/>
      <c r="E29" s="64"/>
    </row>
    <row r="30" spans="1:9">
      <c r="D30" s="63"/>
      <c r="E30" s="64"/>
    </row>
    <row r="31" spans="1:9">
      <c r="D31" s="63"/>
      <c r="E31" s="64"/>
    </row>
    <row r="32" spans="1:9">
      <c r="D32" s="63"/>
      <c r="E32" s="64"/>
    </row>
    <row r="33" spans="4:5">
      <c r="D33" s="63"/>
      <c r="E33" s="64"/>
    </row>
    <row r="34" spans="4:5">
      <c r="D34" s="63"/>
      <c r="E34" s="64"/>
    </row>
    <row r="35" spans="4:5">
      <c r="D35" s="63"/>
      <c r="E35" s="64"/>
    </row>
    <row r="36" spans="4:5">
      <c r="D36" s="63"/>
      <c r="E36" s="64"/>
    </row>
    <row r="37" spans="4:5">
      <c r="D37" s="63"/>
      <c r="E37" s="64"/>
    </row>
    <row r="38" spans="4:5">
      <c r="D38" s="63"/>
      <c r="E38" s="64"/>
    </row>
    <row r="39" spans="4:5">
      <c r="D39" s="63"/>
      <c r="E39" s="64"/>
    </row>
    <row r="40" spans="4:5">
      <c r="D40" s="63"/>
      <c r="E40" s="64"/>
    </row>
    <row r="41" spans="4:5">
      <c r="D41" s="63"/>
      <c r="E41" s="64"/>
    </row>
    <row r="42" spans="4:5">
      <c r="D42" s="63"/>
      <c r="E42" s="64"/>
    </row>
    <row r="43" spans="4:5">
      <c r="D43" s="63"/>
      <c r="E43" s="64"/>
    </row>
    <row r="44" spans="4:5">
      <c r="D44" s="63"/>
      <c r="E44" s="64"/>
    </row>
    <row r="45" spans="4:5">
      <c r="D45" s="63"/>
      <c r="E45" s="64"/>
    </row>
    <row r="46" spans="4:5">
      <c r="D46" s="63"/>
      <c r="E46" s="64"/>
    </row>
    <row r="47" spans="4:5">
      <c r="D47" s="63"/>
      <c r="E47" s="64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tabSelected="1" workbookViewId="0">
      <selection activeCell="M6" sqref="M6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176</v>
      </c>
      <c r="M1" t="s">
        <v>125</v>
      </c>
      <c r="N1">
        <v>3.7990000000000002E-4</v>
      </c>
      <c r="O1" s="24" t="s">
        <v>126</v>
      </c>
      <c r="P1" s="24"/>
      <c r="Q1" s="24"/>
      <c r="R1" s="78"/>
      <c r="S1" s="78"/>
    </row>
    <row r="2" spans="1:25">
      <c r="A2" s="1" t="s">
        <v>177</v>
      </c>
      <c r="M2" t="s">
        <v>127</v>
      </c>
      <c r="N2">
        <v>2.0052E-3</v>
      </c>
      <c r="R2" s="78"/>
      <c r="S2" s="78"/>
    </row>
    <row r="3" spans="1:25">
      <c r="A3" s="126" t="s">
        <v>174</v>
      </c>
      <c r="B3" s="126"/>
      <c r="C3" s="126"/>
      <c r="D3" s="126"/>
      <c r="E3" s="126"/>
      <c r="F3" s="126"/>
      <c r="G3" s="127" t="s">
        <v>175</v>
      </c>
      <c r="H3" s="127"/>
      <c r="I3" s="127"/>
      <c r="J3" s="127"/>
      <c r="K3" s="127"/>
      <c r="L3" s="127"/>
      <c r="M3" t="s">
        <v>128</v>
      </c>
      <c r="N3">
        <v>0.51600000000000001</v>
      </c>
      <c r="R3" s="78"/>
      <c r="S3" s="78"/>
    </row>
    <row r="4" spans="1:25" s="1" customFormat="1" ht="25" customHeight="1">
      <c r="A4" s="1" t="s">
        <v>129</v>
      </c>
      <c r="B4" s="1" t="s">
        <v>130</v>
      </c>
      <c r="C4" s="1" t="s">
        <v>132</v>
      </c>
      <c r="D4" s="1" t="s">
        <v>133</v>
      </c>
      <c r="E4" s="1" t="s">
        <v>139</v>
      </c>
      <c r="F4" s="113" t="s">
        <v>140</v>
      </c>
      <c r="G4" s="1" t="s">
        <v>134</v>
      </c>
      <c r="H4" s="1" t="s">
        <v>135</v>
      </c>
      <c r="I4" s="1" t="s">
        <v>137</v>
      </c>
      <c r="J4" s="1" t="s">
        <v>138</v>
      </c>
      <c r="K4" s="1" t="s">
        <v>142</v>
      </c>
      <c r="L4" s="113" t="s">
        <v>143</v>
      </c>
      <c r="M4" s="113" t="s">
        <v>141</v>
      </c>
      <c r="N4" s="113" t="s">
        <v>144</v>
      </c>
      <c r="O4" s="1" t="s">
        <v>131</v>
      </c>
      <c r="P4" s="1" t="s">
        <v>136</v>
      </c>
      <c r="Q4" s="113" t="s">
        <v>95</v>
      </c>
      <c r="R4" s="113" t="s">
        <v>96</v>
      </c>
      <c r="V4" s="113"/>
      <c r="Y4" s="113"/>
    </row>
    <row r="5" spans="1:25">
      <c r="A5" s="68">
        <v>3.73422105E-3</v>
      </c>
      <c r="B5" s="68">
        <v>3.6643675499999999E-3</v>
      </c>
      <c r="C5" s="68">
        <v>3.7689117349450109E-3</v>
      </c>
      <c r="D5" s="68">
        <v>7.7934998191650307E-3</v>
      </c>
      <c r="E5" s="112">
        <v>2.1164798861162191E-3</v>
      </c>
      <c r="F5" s="68">
        <v>0</v>
      </c>
      <c r="G5" s="68">
        <v>3.6750148213719339E-3</v>
      </c>
      <c r="H5" s="68">
        <v>3.6759553300949816E-3</v>
      </c>
      <c r="I5" s="68">
        <v>3.7228017752489761E-3</v>
      </c>
      <c r="J5" s="68">
        <v>7.7441640342372194E-3</v>
      </c>
      <c r="K5" s="112">
        <v>2.109788966545483E-3</v>
      </c>
      <c r="L5" s="68">
        <v>0</v>
      </c>
      <c r="M5" s="67" cm="1">
        <f t="array" ref="M5">Rsolve18(E5,10,D5,E5,F5,$N$3,$N$2,$N$1)</f>
        <v>2.0998927031414612E-3</v>
      </c>
      <c r="N5" s="67" cm="1">
        <f t="array" ref="N5">Rsolve18(K5,10,J5,K5,L5,$N$3,$N$2,$N$1)</f>
        <v>2.0934050628434882E-3</v>
      </c>
      <c r="O5" s="67">
        <f>$N$1*(M5/$N$2)^$N$3</f>
        <v>3.8905377024749663E-4</v>
      </c>
      <c r="P5" s="67">
        <f>$N$1*(N5/$N$2)^$N$3</f>
        <v>3.8843308121852137E-4</v>
      </c>
      <c r="Q5" s="85">
        <f>(A5+R5*B5+A5*B5-(C5-O5)*(1+(1-R5)*B5))/(A5*(1+C5-O5))</f>
        <v>0.20872209614007559</v>
      </c>
      <c r="R5" s="85">
        <f>((A5-C5+O5)*(1+B5)/(A5*(1+C5-O5)) - (G5-I5+P5)*(1+H5)/(G5*(1+I5-P5)))/(H5/G5-B5/A5)</f>
        <v>0.1159684103244177</v>
      </c>
    </row>
    <row r="6" spans="1:25">
      <c r="A6" s="68">
        <v>3.73422105E-3</v>
      </c>
      <c r="B6" s="68">
        <v>3.6643675499999999E-3</v>
      </c>
      <c r="C6" s="68">
        <v>3.7689117349450109E-3</v>
      </c>
      <c r="D6" s="68">
        <v>7.7934998191650307E-3</v>
      </c>
      <c r="E6" s="112">
        <v>2.1164798861162191E-3</v>
      </c>
      <c r="F6" s="68">
        <v>0</v>
      </c>
      <c r="G6" s="68">
        <v>3.6750148213719339E-3</v>
      </c>
      <c r="H6" s="68">
        <v>3.6759553300949816E-3</v>
      </c>
      <c r="I6" s="68">
        <v>3.7199285353648262E-3</v>
      </c>
      <c r="J6" s="68">
        <v>7.7342329865834319E-3</v>
      </c>
      <c r="K6" s="112">
        <v>2.105997079923158E-3</v>
      </c>
      <c r="L6" s="68">
        <v>0</v>
      </c>
      <c r="M6" s="67" cm="1">
        <f t="array" ref="M6">Rsolve18(E6,10,D6,E6,F6,$N$3,$N$2,$N$1)</f>
        <v>2.0998927031414612E-3</v>
      </c>
      <c r="N6" s="67" cm="1">
        <f t="array" ref="N6">Rsolve18(K6,10,J6,K6,L6,$N$3,$N$2,$N$1)</f>
        <v>2.0896547141455901E-3</v>
      </c>
      <c r="O6" s="67">
        <f>$N$1*(M6/$N$2)^$N$3</f>
        <v>3.8905377024749663E-4</v>
      </c>
      <c r="P6" s="67">
        <f>$N$1*(N6/$N$2)^$N$3</f>
        <v>3.8807385113215798E-4</v>
      </c>
      <c r="Q6" s="85">
        <f>(A6+R6*B6+A6*B6-(C6-O6)*(1+(1-R6)*B6))/(A6*(1+C6-O6))</f>
        <v>0.17329677501906443</v>
      </c>
      <c r="R6" s="85">
        <f>((A6-C6+O6)*(1+B6)/(A6*(1+C6-O6)) - (G6-I6+P6)*(1+H6)/(G6*(1+I6-P6)))/(H6/G6-B6/A6)</f>
        <v>7.9867779580351114E-2</v>
      </c>
    </row>
    <row r="7" spans="1:25">
      <c r="A7" s="68">
        <v>3.73422105E-3</v>
      </c>
      <c r="B7" s="68">
        <v>3.6643675499999999E-3</v>
      </c>
      <c r="C7" s="68">
        <v>3.770760540076305E-3</v>
      </c>
      <c r="D7" s="68">
        <v>7.7827523186501267E-3</v>
      </c>
      <c r="E7" s="68">
        <v>2.1125489546459449E-3</v>
      </c>
      <c r="F7" s="68">
        <v>0</v>
      </c>
      <c r="G7" s="68">
        <v>3.6750148213719339E-3</v>
      </c>
      <c r="H7" s="68">
        <v>3.6759553300949816E-3</v>
      </c>
      <c r="I7" s="68">
        <v>3.7228017752489761E-3</v>
      </c>
      <c r="J7" s="68">
        <v>7.7441640342372194E-3</v>
      </c>
      <c r="K7" s="68">
        <v>2.109788966545483E-3</v>
      </c>
      <c r="L7" s="68">
        <v>0</v>
      </c>
      <c r="M7" s="67" cm="1">
        <f t="array" ref="M7">Rsolve18(E7,10,D7,E7,F7,$N$3,$N$2,$N$1)</f>
        <v>2.096006943235472E-3</v>
      </c>
      <c r="N7" s="67" cm="1">
        <f t="array" ref="N7">Rsolve18(K7,10,J7,K7,L7,$N$3,$N$2,$N$1)</f>
        <v>2.0934050628434882E-3</v>
      </c>
      <c r="O7" s="67">
        <f t="shared" ref="O7:O11" si="0">$N$1*(M7/$N$2)^$N$3</f>
        <v>3.8868212138784054E-4</v>
      </c>
      <c r="P7" s="67">
        <f t="shared" ref="P7:P11" si="1">$N$1*(N7/$N$2)^$N$3</f>
        <v>3.8843308121852137E-4</v>
      </c>
      <c r="Q7" s="85">
        <f t="shared" ref="Q7:Q11" si="2">(A7+R7*B7+A7*B7-(C7-O7)*(1+(1-R7)*B7))/(A7*(1+C7-O7))</f>
        <v>0.17733587859609368</v>
      </c>
      <c r="R7" s="85">
        <f t="shared" ref="R7:R11" si="3">((A7-C7+O7)*(1+B7)/(A7*(1+C7-O7)) - (G7-I7+P7)*(1+H7)/(G7*(1+I7-P7)))/(H7/G7-B7/A7)</f>
        <v>8.4590223076979915E-2</v>
      </c>
    </row>
    <row r="8" spans="1:25">
      <c r="A8" s="68">
        <v>3.73422105E-3</v>
      </c>
      <c r="B8" s="68">
        <v>3.6643675499999999E-3</v>
      </c>
      <c r="C8" s="68">
        <v>3.770760540076305E-3</v>
      </c>
      <c r="D8" s="68">
        <v>7.7827523186501267E-3</v>
      </c>
      <c r="E8" s="68">
        <v>2.1125489546459449E-3</v>
      </c>
      <c r="F8" s="68">
        <v>0</v>
      </c>
      <c r="G8" s="68">
        <v>3.6750148213719339E-3</v>
      </c>
      <c r="H8" s="68">
        <v>3.6759553300949816E-3</v>
      </c>
      <c r="I8" s="68">
        <v>3.7199285353648262E-3</v>
      </c>
      <c r="J8" s="68">
        <v>7.7342329865834319E-3</v>
      </c>
      <c r="K8" s="68">
        <v>2.105997079923158E-3</v>
      </c>
      <c r="L8" s="68">
        <v>0</v>
      </c>
      <c r="M8" s="67" cm="1">
        <f t="array" ref="M8">Rsolve18(E8,10,D8,E8,F8,$N$3,$N$2,$N$1)</f>
        <v>2.096006943235472E-3</v>
      </c>
      <c r="N8" s="67" cm="1">
        <f t="array" ref="N8">Rsolve18(K8,10,J8,K8,L8,$N$3,$N$2,$N$1)</f>
        <v>2.0896547141455901E-3</v>
      </c>
      <c r="O8" s="67">
        <f t="shared" si="0"/>
        <v>3.8868212138784054E-4</v>
      </c>
      <c r="P8" s="67">
        <f t="shared" si="1"/>
        <v>3.8807385113215798E-4</v>
      </c>
      <c r="Q8" s="85">
        <f t="shared" si="2"/>
        <v>0.14191055747508233</v>
      </c>
      <c r="R8" s="85">
        <f t="shared" si="3"/>
        <v>4.8489592332913341E-2</v>
      </c>
    </row>
    <row r="9" spans="1:25">
      <c r="A9" s="68">
        <v>3.73422105E-3</v>
      </c>
      <c r="B9" s="68">
        <v>3.6643675499999999E-3</v>
      </c>
      <c r="C9" s="68">
        <v>3.774157409185728E-3</v>
      </c>
      <c r="D9" s="68">
        <v>7.7878737502717673E-3</v>
      </c>
      <c r="E9" s="68">
        <v>2.11205838421125E-3</v>
      </c>
      <c r="F9" s="68">
        <v>0</v>
      </c>
      <c r="G9" s="68">
        <v>3.6750148213719339E-3</v>
      </c>
      <c r="H9" s="68">
        <v>3.6759553300949816E-3</v>
      </c>
      <c r="I9" s="68">
        <v>3.7242631653031061E-3</v>
      </c>
      <c r="J9" s="68">
        <v>7.742496580265385E-3</v>
      </c>
      <c r="K9" s="68">
        <v>2.1092446228371492E-3</v>
      </c>
      <c r="L9" s="68">
        <v>0</v>
      </c>
      <c r="M9" s="67" cm="1">
        <f t="array" ref="M9">Rsolve18(E9,10,D9,E9,F9,$N$3,$N$2,$N$1)</f>
        <v>2.0954956035312334E-3</v>
      </c>
      <c r="N9" s="67" cm="1">
        <f t="array" ref="N9">Rsolve18(K9,10,J9,K9,L9,$N$3,$N$2,$N$1)</f>
        <v>2.0928676680247141E-3</v>
      </c>
      <c r="O9" s="67">
        <f t="shared" si="0"/>
        <v>3.886331900931322E-4</v>
      </c>
      <c r="P9" s="67">
        <f t="shared" si="1"/>
        <v>3.883816255649651E-4</v>
      </c>
      <c r="Q9" s="85">
        <f t="shared" si="2"/>
        <v>0.14994727862657609</v>
      </c>
      <c r="R9" s="85">
        <f t="shared" si="3"/>
        <v>5.7620461575761298E-2</v>
      </c>
    </row>
    <row r="10" spans="1:25">
      <c r="A10" s="68">
        <v>3.73422105E-3</v>
      </c>
      <c r="B10" s="68">
        <v>3.6643675499999999E-3</v>
      </c>
      <c r="C10" s="68">
        <v>3.7661587198913019E-3</v>
      </c>
      <c r="D10" s="68">
        <v>7.7810024465572326E-3</v>
      </c>
      <c r="E10" s="68">
        <v>2.1118562233900968E-3</v>
      </c>
      <c r="F10" s="68">
        <v>0</v>
      </c>
      <c r="G10" s="68">
        <v>3.6750148213719339E-3</v>
      </c>
      <c r="H10" s="68">
        <v>3.6759553300949816E-3</v>
      </c>
      <c r="I10" s="68">
        <v>3.7242631653031061E-3</v>
      </c>
      <c r="J10" s="68">
        <v>7.742496580265385E-3</v>
      </c>
      <c r="K10" s="68">
        <v>2.1092446228371492E-3</v>
      </c>
      <c r="L10" s="68">
        <v>0</v>
      </c>
      <c r="M10" s="67" cm="1">
        <f t="array" ref="M10">Rsolve18(E10,10,D10,E10,F10,$N$3,$N$2,$N$1)</f>
        <v>2.0953215776226782E-3</v>
      </c>
      <c r="N10" s="67" cm="1">
        <f t="array" ref="N10">Rsolve18(K10,10,J10,K10,L10,$N$3,$N$2,$N$1)</f>
        <v>2.0928676680247141E-3</v>
      </c>
      <c r="O10" s="67">
        <f t="shared" si="0"/>
        <v>3.8861653582803027E-4</v>
      </c>
      <c r="P10" s="67">
        <f t="shared" si="1"/>
        <v>3.883816255649651E-4</v>
      </c>
      <c r="Q10" s="85">
        <f t="shared" si="2"/>
        <v>0.26277357755180591</v>
      </c>
      <c r="R10" s="85">
        <f t="shared" si="3"/>
        <v>0.17041789341507743</v>
      </c>
    </row>
    <row r="11" spans="1:25">
      <c r="A11" s="68">
        <v>3.73422105E-3</v>
      </c>
      <c r="B11" s="68">
        <v>3.6643675499999999E-3</v>
      </c>
      <c r="C11" s="68">
        <v>3.7730126315774341E-3</v>
      </c>
      <c r="D11" s="68">
        <v>7.7872138239604956E-3</v>
      </c>
      <c r="E11" s="68">
        <v>2.114038303996214E-3</v>
      </c>
      <c r="F11" s="68">
        <v>0</v>
      </c>
      <c r="G11" s="68">
        <v>3.6750148213719339E-3</v>
      </c>
      <c r="H11" s="68">
        <v>3.6759553300949816E-3</v>
      </c>
      <c r="I11" s="68">
        <v>3.7242631653031061E-3</v>
      </c>
      <c r="J11" s="68">
        <v>7.742496580265385E-3</v>
      </c>
      <c r="K11" s="68">
        <v>2.1092446228371492E-3</v>
      </c>
      <c r="L11" s="68">
        <v>0</v>
      </c>
      <c r="M11" s="67" cm="1">
        <f t="array" ref="M11">Rsolve18(E11,10,D11,E11,F11,$N$3,$N$2,$N$1)</f>
        <v>2.0974775933835267E-3</v>
      </c>
      <c r="N11" s="67" cm="1">
        <f t="array" ref="N11">Rsolve18(K11,10,J11,K11,L11,$N$3,$N$2,$N$1)</f>
        <v>2.0928676680247141E-3</v>
      </c>
      <c r="O11" s="67">
        <f t="shared" si="0"/>
        <v>3.888228191523488E-4</v>
      </c>
      <c r="P11" s="67">
        <f t="shared" si="1"/>
        <v>3.883816255649651E-4</v>
      </c>
      <c r="Q11" s="85">
        <f t="shared" si="2"/>
        <v>0.16880903099141051</v>
      </c>
      <c r="R11" s="85">
        <f t="shared" si="3"/>
        <v>7.6477388081454753E-2</v>
      </c>
    </row>
    <row r="13" spans="1:25">
      <c r="Q13" s="85">
        <f>AVERAGE(Q5:Q11)</f>
        <v>0.18325645634287266</v>
      </c>
      <c r="R13" s="85">
        <f>AVERAGE(R5:R11)</f>
        <v>9.0490249769565087E-2</v>
      </c>
    </row>
    <row r="14" spans="1:25">
      <c r="Q14" s="85">
        <f>STDEV(Q5:Q11)</f>
        <v>4.1096294725866948E-2</v>
      </c>
      <c r="R14" s="85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145</v>
      </c>
      <c r="B1" s="79"/>
      <c r="C1" s="79"/>
      <c r="D1" s="79"/>
      <c r="L1" s="80"/>
      <c r="M1" s="80"/>
      <c r="N1" s="80"/>
    </row>
    <row r="2" spans="1:18">
      <c r="A2" t="s">
        <v>146</v>
      </c>
      <c r="B2" s="81">
        <f>B12</f>
        <v>0.4623614635092998</v>
      </c>
      <c r="C2" s="79" t="s">
        <v>147</v>
      </c>
      <c r="D2" s="81">
        <f>C12</f>
        <v>0.10975712247295455</v>
      </c>
      <c r="F2" t="s">
        <v>163</v>
      </c>
      <c r="G2" s="50">
        <f>1/B2</f>
        <v>2.1628100067208269</v>
      </c>
      <c r="H2" t="s">
        <v>162</v>
      </c>
      <c r="L2" s="80"/>
      <c r="M2" s="80"/>
      <c r="N2" s="80"/>
      <c r="O2" s="8"/>
    </row>
    <row r="3" spans="1:18">
      <c r="A3" t="s">
        <v>148</v>
      </c>
      <c r="B3" s="81">
        <f>B13</f>
        <v>8.0186890671505306E-3</v>
      </c>
      <c r="C3" s="79"/>
      <c r="D3" s="81">
        <f>C13</f>
        <v>0.30903560626553517</v>
      </c>
      <c r="L3" s="80"/>
      <c r="M3" s="80"/>
      <c r="N3" s="80"/>
      <c r="O3" s="8"/>
    </row>
    <row r="4" spans="1:18">
      <c r="A4" t="s">
        <v>149</v>
      </c>
      <c r="B4" s="81">
        <v>1.026</v>
      </c>
      <c r="C4" s="79"/>
      <c r="E4" s="79" t="s">
        <v>150</v>
      </c>
      <c r="F4">
        <v>0.99819999999999998</v>
      </c>
      <c r="H4" s="79" t="s">
        <v>151</v>
      </c>
      <c r="I4">
        <v>1.002</v>
      </c>
      <c r="L4" s="82"/>
      <c r="M4" s="83"/>
      <c r="N4" s="82"/>
      <c r="O4" s="82"/>
      <c r="P4" s="84"/>
      <c r="Q4" s="84"/>
    </row>
    <row r="5" spans="1:18">
      <c r="A5" t="s">
        <v>152</v>
      </c>
      <c r="B5" s="85">
        <f>1/B4</f>
        <v>0.97465886939571145</v>
      </c>
      <c r="C5" s="79"/>
      <c r="E5" s="79" t="s">
        <v>153</v>
      </c>
      <c r="F5" s="85">
        <f>1/F4</f>
        <v>1.0018032458425166</v>
      </c>
      <c r="H5" s="79" t="s">
        <v>154</v>
      </c>
      <c r="I5" s="85">
        <f>1/I4</f>
        <v>0.99800399201596801</v>
      </c>
      <c r="L5" s="82"/>
      <c r="M5" s="86"/>
      <c r="N5" s="82"/>
      <c r="O5" s="82"/>
      <c r="P5" s="82"/>
      <c r="Q5" s="87"/>
      <c r="R5" s="82"/>
    </row>
    <row r="6" spans="1:18">
      <c r="A6" t="s">
        <v>155</v>
      </c>
      <c r="B6" s="88">
        <f>B5/1000</f>
        <v>9.7465886939571145E-4</v>
      </c>
      <c r="C6" s="79"/>
      <c r="E6" s="79" t="s">
        <v>156</v>
      </c>
      <c r="F6" s="88">
        <f>F5/1000</f>
        <v>1.0018032458425166E-3</v>
      </c>
      <c r="H6" s="79" t="s">
        <v>157</v>
      </c>
      <c r="I6" s="88">
        <f>I5/1000</f>
        <v>9.9800399201596798E-4</v>
      </c>
      <c r="L6" s="82"/>
      <c r="M6" s="89"/>
      <c r="N6" s="89"/>
      <c r="O6" s="82"/>
      <c r="P6" s="82"/>
      <c r="Q6" s="87"/>
    </row>
    <row r="7" spans="1:18">
      <c r="L7" s="82"/>
      <c r="M7" s="90"/>
      <c r="N7" s="82"/>
    </row>
    <row r="8" spans="1:18" ht="18">
      <c r="L8" s="82"/>
      <c r="M8" s="91"/>
      <c r="N8" s="82"/>
    </row>
    <row r="9" spans="1:18">
      <c r="M9" s="92"/>
      <c r="N9" s="82"/>
    </row>
    <row r="10" spans="1:18">
      <c r="A10" s="93" t="s">
        <v>158</v>
      </c>
      <c r="B10" s="93"/>
      <c r="C10" s="93"/>
      <c r="D10" s="94"/>
      <c r="E10" s="95"/>
      <c r="G10" s="96"/>
      <c r="H10" s="96"/>
      <c r="I10" s="97"/>
      <c r="M10" s="92"/>
      <c r="N10" s="82"/>
    </row>
    <row r="11" spans="1:18">
      <c r="B11" s="1" t="s">
        <v>159</v>
      </c>
      <c r="C11" s="1" t="s">
        <v>160</v>
      </c>
      <c r="F11" s="79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161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98"/>
      <c r="F14" s="99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100"/>
      <c r="G16" s="50"/>
      <c r="I16" s="50"/>
    </row>
    <row r="17" spans="4:10">
      <c r="D17" s="50"/>
      <c r="E17" s="50"/>
      <c r="F17" s="100"/>
    </row>
    <row r="18" spans="4:10">
      <c r="G18" s="50"/>
      <c r="I18" s="101"/>
    </row>
    <row r="20" spans="4:10">
      <c r="J20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2022-07-08T04:34:32Z</dcterms:modified>
</cp:coreProperties>
</file>