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4C64CDD8-EECC-2949-89B4-3E26DAC09EB0}" xr6:coauthVersionLast="47" xr6:coauthVersionMax="47" xr10:uidLastSave="{00000000-0000-0000-0000-000000000000}"/>
  <bookViews>
    <workbookView xWindow="-36620" yWindow="-5500" windowWidth="36620" windowHeight="21860" activeTab="3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externalReferences>
    <externalReference r:id="rId5"/>
  </externalReference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3" i="2" l="1"/>
  <c r="F13" i="5"/>
  <c r="H13" i="5"/>
  <c r="F14" i="5"/>
  <c r="H14" i="5"/>
  <c r="F15" i="5"/>
  <c r="H15" i="5"/>
  <c r="F16" i="5"/>
  <c r="H16" i="5"/>
  <c r="F17" i="5"/>
  <c r="H17" i="5"/>
  <c r="F18" i="5"/>
  <c r="G18" i="5"/>
  <c r="H18" i="5"/>
  <c r="F19" i="5"/>
  <c r="H19" i="5"/>
  <c r="F20" i="5"/>
  <c r="H20" i="5"/>
  <c r="F21" i="5"/>
  <c r="H21" i="5"/>
  <c r="F22" i="5"/>
  <c r="H22" i="5"/>
  <c r="F23" i="5"/>
  <c r="H23" i="5"/>
  <c r="F24" i="5"/>
  <c r="H24" i="5"/>
  <c r="F25" i="5"/>
  <c r="H25" i="5"/>
  <c r="F26" i="5"/>
  <c r="H26" i="5"/>
  <c r="F27" i="5"/>
  <c r="H27" i="5"/>
  <c r="F28" i="5"/>
  <c r="H28" i="5"/>
  <c r="F29" i="5"/>
  <c r="H29" i="5"/>
  <c r="F30" i="5"/>
  <c r="H30" i="5"/>
  <c r="F31" i="5"/>
  <c r="H31" i="5"/>
  <c r="F32" i="5"/>
  <c r="H32" i="5"/>
  <c r="F33" i="5"/>
  <c r="H33" i="5"/>
  <c r="F34" i="5"/>
  <c r="H34" i="5"/>
  <c r="F35" i="5"/>
  <c r="H35" i="5"/>
  <c r="F36" i="5"/>
  <c r="H36" i="5"/>
  <c r="R12" i="5" a="1"/>
  <c r="D3" i="5"/>
  <c r="D2" i="5"/>
  <c r="B3" i="5"/>
  <c r="R12" i="5"/>
  <c r="B2" i="5"/>
  <c r="J36" i="5"/>
  <c r="B27" i="5"/>
  <c r="B28" i="5"/>
  <c r="B29" i="5"/>
  <c r="B30" i="5"/>
  <c r="B31" i="5"/>
  <c r="B32" i="5"/>
  <c r="B33" i="5"/>
  <c r="B34" i="5"/>
  <c r="B35" i="5"/>
  <c r="B36" i="5"/>
  <c r="J35" i="5"/>
  <c r="J34" i="5"/>
  <c r="J33" i="5"/>
  <c r="J32" i="5"/>
  <c r="J31" i="5"/>
  <c r="J30" i="5"/>
  <c r="J29" i="5"/>
  <c r="J28" i="5"/>
  <c r="J27" i="5"/>
  <c r="J26" i="5"/>
  <c r="J25" i="5"/>
  <c r="J24" i="5"/>
  <c r="B15" i="5"/>
  <c r="B16" i="5"/>
  <c r="B17" i="5"/>
  <c r="B18" i="5"/>
  <c r="B19" i="5"/>
  <c r="B20" i="5"/>
  <c r="B21" i="5"/>
  <c r="B22" i="5"/>
  <c r="B23" i="5"/>
  <c r="B24" i="5"/>
  <c r="A22" i="5"/>
  <c r="A23" i="5"/>
  <c r="A24" i="5"/>
  <c r="J23" i="5"/>
  <c r="J22" i="5"/>
  <c r="J21" i="5"/>
  <c r="J20" i="5"/>
  <c r="A14" i="5"/>
  <c r="A15" i="5"/>
  <c r="A16" i="5"/>
  <c r="A17" i="5"/>
  <c r="A18" i="5"/>
  <c r="A19" i="5"/>
  <c r="A20" i="5"/>
  <c r="J19" i="5"/>
  <c r="J18" i="5"/>
  <c r="J17" i="5"/>
  <c r="J16" i="5"/>
  <c r="J15" i="5"/>
  <c r="J14" i="5"/>
  <c r="J13" i="5"/>
  <c r="G3" i="3"/>
  <c r="H3" i="3"/>
  <c r="I3" i="3"/>
  <c r="J3" i="3"/>
  <c r="K3" i="3"/>
  <c r="M3" i="3"/>
  <c r="S3" i="3"/>
  <c r="M6" i="4" a="1"/>
  <c r="M6" i="4"/>
  <c r="O6" i="4"/>
  <c r="N6" i="4" a="1"/>
  <c r="N6" i="4"/>
  <c r="P6" i="4"/>
  <c r="R6" i="4"/>
  <c r="Q6" i="4"/>
  <c r="AA3" i="2"/>
  <c r="AF3" i="2"/>
  <c r="Q3" i="3"/>
  <c r="U3" i="3"/>
  <c r="L3" i="3"/>
  <c r="W3" i="3"/>
  <c r="S6" i="3"/>
  <c r="W6" i="3"/>
  <c r="S9" i="3"/>
  <c r="W9" i="3"/>
  <c r="S11" i="3"/>
  <c r="W11" i="3"/>
  <c r="S14" i="3"/>
  <c r="W14" i="3"/>
  <c r="S15" i="3"/>
  <c r="W15" i="3"/>
  <c r="AC3" i="2"/>
  <c r="AE3" i="2"/>
  <c r="G4" i="3"/>
  <c r="H4" i="3"/>
  <c r="I4" i="3"/>
  <c r="J4" i="3"/>
  <c r="K4" i="3"/>
  <c r="M4" i="3"/>
  <c r="L4" i="3"/>
  <c r="N4" i="3"/>
  <c r="G5" i="3"/>
  <c r="H5" i="3"/>
  <c r="I5" i="3"/>
  <c r="J5" i="3"/>
  <c r="K5" i="3"/>
  <c r="M5" i="3"/>
  <c r="L5" i="3"/>
  <c r="N5" i="3"/>
  <c r="G6" i="3"/>
  <c r="H6" i="3"/>
  <c r="I6" i="3"/>
  <c r="J6" i="3"/>
  <c r="K6" i="3"/>
  <c r="M6" i="3"/>
  <c r="L6" i="3"/>
  <c r="N6" i="3"/>
  <c r="G7" i="3"/>
  <c r="H7" i="3"/>
  <c r="I7" i="3"/>
  <c r="J7" i="3"/>
  <c r="K7" i="3"/>
  <c r="M7" i="3"/>
  <c r="L7" i="3"/>
  <c r="N7" i="3"/>
  <c r="G8" i="3"/>
  <c r="H8" i="3"/>
  <c r="I8" i="3"/>
  <c r="J8" i="3"/>
  <c r="K8" i="3"/>
  <c r="M8" i="3"/>
  <c r="L8" i="3"/>
  <c r="N8" i="3"/>
  <c r="N3" i="3"/>
  <c r="F8" i="3"/>
  <c r="D8" i="3"/>
  <c r="F7" i="3"/>
  <c r="D7" i="3"/>
  <c r="F6" i="3"/>
  <c r="D6" i="3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M12" i="4" a="1"/>
  <c r="M12" i="4"/>
  <c r="O12" i="4"/>
  <c r="N12" i="4" a="1"/>
  <c r="N12" i="4"/>
  <c r="P12" i="4"/>
  <c r="R12" i="4"/>
  <c r="R15" i="4"/>
  <c r="Q7" i="4"/>
  <c r="Q8" i="4"/>
  <c r="Q9" i="4"/>
  <c r="Q10" i="4"/>
  <c r="Q11" i="4"/>
  <c r="Q12" i="4"/>
  <c r="Q15" i="4"/>
  <c r="R14" i="4"/>
  <c r="Q14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5" i="5"/>
  <c r="B6" i="5"/>
  <c r="BI6" i="2"/>
  <c r="BL6" i="2"/>
  <c r="BM6" i="2"/>
  <c r="BK7" i="2"/>
  <c r="BG7" i="2"/>
  <c r="F5" i="5"/>
  <c r="F6" i="5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L3" i="2"/>
  <c r="T3" i="3"/>
  <c r="R3" i="3"/>
  <c r="V3" i="3"/>
  <c r="X3" i="3"/>
  <c r="S4" i="3"/>
  <c r="T4" i="3"/>
  <c r="Q4" i="3"/>
  <c r="U4" i="3"/>
  <c r="R4" i="3"/>
  <c r="V4" i="3"/>
  <c r="W4" i="3"/>
  <c r="X4" i="3"/>
  <c r="S5" i="3"/>
  <c r="T5" i="3"/>
  <c r="Q5" i="3"/>
  <c r="U5" i="3"/>
  <c r="R5" i="3"/>
  <c r="V5" i="3"/>
  <c r="W5" i="3"/>
  <c r="X5" i="3"/>
  <c r="T6" i="3"/>
  <c r="Q6" i="3"/>
  <c r="U6" i="3"/>
  <c r="R6" i="3"/>
  <c r="V6" i="3"/>
  <c r="X6" i="3"/>
  <c r="S7" i="3"/>
  <c r="T7" i="3"/>
  <c r="Q7" i="3"/>
  <c r="U7" i="3"/>
  <c r="R7" i="3"/>
  <c r="V7" i="3"/>
  <c r="W7" i="3"/>
  <c r="X7" i="3"/>
  <c r="S8" i="3"/>
  <c r="T8" i="3"/>
  <c r="Q8" i="3"/>
  <c r="U8" i="3"/>
  <c r="R8" i="3"/>
  <c r="V8" i="3"/>
  <c r="W8" i="3"/>
  <c r="X8" i="3"/>
  <c r="T9" i="3"/>
  <c r="Q9" i="3"/>
  <c r="U9" i="3"/>
  <c r="R9" i="3"/>
  <c r="V9" i="3"/>
  <c r="X9" i="3"/>
  <c r="Q10" i="3"/>
  <c r="U10" i="3"/>
  <c r="R10" i="3"/>
  <c r="V10" i="3"/>
  <c r="T11" i="3"/>
  <c r="Q11" i="3"/>
  <c r="U11" i="3"/>
  <c r="R11" i="3"/>
  <c r="V11" i="3"/>
  <c r="X11" i="3"/>
  <c r="S12" i="3"/>
  <c r="T12" i="3"/>
  <c r="Q12" i="3"/>
  <c r="U12" i="3"/>
  <c r="R12" i="3"/>
  <c r="V12" i="3"/>
  <c r="W12" i="3"/>
  <c r="X12" i="3"/>
  <c r="S13" i="3"/>
  <c r="T13" i="3"/>
  <c r="Q13" i="3"/>
  <c r="U13" i="3"/>
  <c r="R13" i="3"/>
  <c r="V13" i="3"/>
  <c r="W13" i="3"/>
  <c r="X13" i="3"/>
  <c r="T14" i="3"/>
  <c r="Q14" i="3"/>
  <c r="U14" i="3"/>
  <c r="R14" i="3"/>
  <c r="V14" i="3"/>
  <c r="X14" i="3"/>
  <c r="T15" i="3"/>
  <c r="Q15" i="3"/>
  <c r="U15" i="3"/>
  <c r="R15" i="3"/>
  <c r="V15" i="3"/>
  <c r="X15" i="3"/>
  <c r="S16" i="3"/>
  <c r="T16" i="3"/>
  <c r="Q16" i="3"/>
  <c r="U16" i="3"/>
  <c r="R16" i="3"/>
  <c r="V16" i="3"/>
  <c r="W16" i="3"/>
  <c r="X16" i="3"/>
  <c r="Q17" i="3"/>
  <c r="U17" i="3"/>
  <c r="R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Z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Y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<sst xmlns="http://schemas.openxmlformats.org/spreadsheetml/2006/main" count="275" uniqueCount="214">
  <si>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</si>
  <si>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</si>
  <si>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</si>
  <si>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</si>
  <si>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</si>
  <si>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</si>
  <si>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</si>
  <si>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</si>
  <si>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</si>
  <si>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</si>
  <si>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</si>
  <si>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</si>
  <si>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</si>
  <si>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</si>
  <si>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</si>
  <si>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</si>
  <si>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</si>
  <si>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</si>
  <si>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</si>
  <si>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</si>
  <si>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</si>
  <si>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</si>
  <si>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</si>
  <si>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</si>
  <si>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</si>
  <si>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</si>
  <si>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</si>
  <si>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</si>
  <si>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</si>
  <si>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</si>
  <si>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</si>
  <si>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</si>
  <si>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</si>
  <si>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</si>
  <si>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</si>
  <si>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</si>
  <si>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</si>
  <si>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</si>
  <si>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</si>
  <si>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</si>
  <si>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</si>
  <si>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</si>
  <si>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</si>
  <si>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</si>
  <si>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</si>
  <si>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</si>
  <si>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</si>
  <si>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</si>
  <si>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</si>
  <si>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</si>
  <si>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</si>
  <si>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</si>
  <si>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</si>
  <si>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</si>
  <si>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</si>
  <si>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</si>
  <si>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</si>
  <si>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</si>
  <si>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</si>
  <si>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</si>
  <si>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</si>
  <si>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</si>
  <si>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</si>
  <si>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</si>
  <si>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</si>
  <si>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</si>
  <si>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</si>
  <si>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</si>
  <si>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</si>
  <si>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</si>
  <si>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</si>
  <si>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</si>
  <si>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</si>
  <si>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</si>
  <si>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</si>
  <si>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</si>
  <si>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</si>
  <si>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</si>
  <si>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</si>
  <si>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</si>
  <si>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</si>
  <si>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</si>
  <si>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</si>
  <si>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</si>
  <si>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</si>
  <si>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</si>
  <si>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</si>
  <si>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</si>
  <si>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</si>
  <si>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</si>
  <si>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</si>
  <si>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</si>
  <si>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</si>
  <si>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</si>
  <si>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</si>
  <si>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</si>
  <si>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</si>
  <si>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</si>
  <si>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</si>
  <si>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</si>
  <si>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</si>
  <si>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</si>
  <si>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</si>
  <si>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</si>
  <si>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</si>
  <si>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</si>
  <si>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</si>
  <si>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</si>
  <si>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</si>
  <si>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</si>
  <si>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</si>
  <si>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</si>
  <si>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</si>
  <si>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</si>
  <si>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</si>
  <si>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Calibrated values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</si>
  <si>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</si>
  <si>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</si>
  <si>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</si>
  <si>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</si>
  <si>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</si>
  <si>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</si>
  <si>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</si>
  <si>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</si>
  <si>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</si>
  <si>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</si>
  <si>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</si>
  <si>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</si>
  <si>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</si>
  <si>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</si>
  <si>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</si>
  <si>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</si>
  <si>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</si>
  <si>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</si>
  <si>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</si>
  <si>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</si>
  <si>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</si>
  <si>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</si>
  <si>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</si>
  <si>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</si>
  <si>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</si>
  <si>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</si>
  <si>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</si>
  <si>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</si>
  <si>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</si>
  <si>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</si>
  <si>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</si>
  <si>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</si>
  <si>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</si>
  <si>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</si>
  <si>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</si>
  <si>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</si>
  <si>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</si>
  <si>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</si>
  <si>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</si>
  <si>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</si>
  <si>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</si>
  <si>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</si>
  <si>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</si>
  <si>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</si>
  <si>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</si>
  <si>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</si>
  <si>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</si>
  <si>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</si>
  <si>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</si>
  <si>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</si>
  <si>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</si>
  <si>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</si>
  <si>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</si>
  <si>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</si>
  <si>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</si>
  <si>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</si>
  <si>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</si>
  <si>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</si>
  <si>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</si>
  <si>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</si>
  <si>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CA06261 (EMPA STD1, "Joni")</t>
  </si>
  <si>
    <t>53504 (EMPA STD2)</t>
  </si>
  <si>
    <t>CA08214 (EMPA STD3)</t>
  </si>
  <si>
    <t>SCRAMBLING OUTPUT: CHECK VALUES</t>
  </si>
  <si>
    <t>ISOTOPOMER OUTPUT</t>
  </si>
  <si>
    <t>Template for algebraic solution for gamma and kappa. Alternatively, use the Scrambling function of pyisotopomer.</t>
  </si>
  <si>
    <t>Requires recent version of Excel: 16.58 on the Current Channel, or 16.45 on the Beta Channel.</t>
  </si>
  <si>
    <t>Date</t>
  </si>
  <si>
    <t>Number</t>
  </si>
  <si>
    <t>Identifier</t>
  </si>
  <si>
    <t>Mass analyzed (g)</t>
  </si>
  <si>
    <t>N2O injected (nmol)</t>
  </si>
  <si>
    <t>N2O Analyzed (nmol)</t>
  </si>
  <si>
    <t>B6_lin_1</t>
  </si>
  <si>
    <t>B6_lin_2</t>
  </si>
  <si>
    <t>B6_lin_3</t>
  </si>
  <si>
    <t>B6_lin_4</t>
  </si>
  <si>
    <t>B6_lin_5</t>
  </si>
  <si>
    <t>B6_lin_6</t>
  </si>
  <si>
    <t>B6_lin_7</t>
  </si>
  <si>
    <t>B6_lin_8</t>
  </si>
  <si>
    <t>B6_lin_9</t>
  </si>
  <si>
    <t>B6_lin_10</t>
  </si>
  <si>
    <t>B6_lin_11</t>
  </si>
  <si>
    <t>B6_lin_12</t>
  </si>
  <si>
    <t>A01_lin_1</t>
  </si>
  <si>
    <t>A01_lin_2</t>
  </si>
  <si>
    <t>A01_lin_3</t>
  </si>
  <si>
    <t>A01_lin_4</t>
  </si>
  <si>
    <t>A01_lin_5</t>
  </si>
  <si>
    <t>A01_lin_6</t>
  </si>
  <si>
    <t>A01_lin_7</t>
  </si>
  <si>
    <t>A01_lin_8</t>
  </si>
  <si>
    <t>A01_lin_9</t>
  </si>
  <si>
    <t>A01_lin_10</t>
  </si>
  <si>
    <t>A01_lin_11</t>
  </si>
  <si>
    <t>A01_lin_12</t>
  </si>
  <si>
    <t>Example calibration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</si>
</sst>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  <numFmt numFmtId="175" formatCode="mm/dd/yy;@"/>
  </numFmts>
  <fonts count="2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7" fillId="10" borderId="18" applyNumberFormat="0" applyAlignment="0" applyProtection="0"/>
    <xf numFmtId="0" fontId="8" fillId="11" borderId="19" applyNumberFormat="0" applyAlignment="0" applyProtection="0"/>
    <xf numFmtId="0" fontId="9" fillId="11" borderId="18" applyNumberFormat="0" applyAlignment="0" applyProtection="0"/>
    <xf numFmtId="0" fontId="13" fillId="0" borderId="20" applyNumberFormat="0" applyFill="0" applyAlignment="0" applyProtection="0"/>
    <xf numFmtId="0" fontId="14" fillId="0" borderId="0"/>
  </cellStyleXfs>
  <cellXfs count="1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10" fillId="0" borderId="0" xfId="0" applyFont="1"/>
    <xf numFmtId="169" fontId="0" fillId="0" borderId="0" xfId="0" applyNumberFormat="1"/>
    <xf numFmtId="2" fontId="11" fillId="0" borderId="0" xfId="0" applyNumberFormat="1" applyFont="1"/>
    <xf numFmtId="0" fontId="5" fillId="0" borderId="0" xfId="0" applyFont="1"/>
    <xf numFmtId="0" fontId="12" fillId="0" borderId="0" xfId="0" applyFont="1"/>
    <xf numFmtId="171" fontId="0" fillId="0" borderId="0" xfId="0" applyNumberFormat="1" applyFill="1"/>
    <xf numFmtId="169" fontId="9" fillId="11" borderId="18" xfId="3" applyNumberFormat="1"/>
    <xf numFmtId="171" fontId="9" fillId="11" borderId="18" xfId="3" applyNumberFormat="1"/>
    <xf numFmtId="0" fontId="9" fillId="11" borderId="18" xfId="3"/>
    <xf numFmtId="0" fontId="7" fillId="10" borderId="18" xfId="1"/>
    <xf numFmtId="2" fontId="7" fillId="10" borderId="18" xfId="1" applyNumberFormat="1"/>
    <xf numFmtId="2" fontId="11" fillId="0" borderId="0" xfId="0" applyNumberFormat="1" applyFont="1" applyAlignment="1"/>
    <xf numFmtId="0" fontId="1" fillId="0" borderId="1" xfId="0" applyFont="1" applyBorder="1"/>
    <xf numFmtId="0" fontId="8" fillId="11" borderId="19" xfId="2"/>
    <xf numFmtId="0" fontId="0" fillId="13" borderId="4" xfId="0" applyFill="1" applyBorder="1"/>
    <xf numFmtId="0" fontId="0" fillId="13" borderId="0" xfId="0" applyFill="1"/>
    <xf numFmtId="0" fontId="3" fillId="13" borderId="9" xfId="0" applyFont="1" applyFill="1" applyBorder="1" applyAlignment="1">
      <alignment wrapText="1"/>
    </xf>
    <xf numFmtId="166" fontId="0" fillId="13" borderId="0" xfId="0" applyNumberFormat="1" applyFill="1"/>
    <xf numFmtId="171" fontId="0" fillId="13" borderId="0" xfId="0" applyNumberFormat="1" applyFill="1"/>
    <xf numFmtId="164" fontId="0" fillId="0" borderId="0" xfId="0" applyNumberFormat="1"/>
    <xf numFmtId="1" fontId="0" fillId="0" borderId="0" xfId="0" applyNumberFormat="1"/>
    <xf numFmtId="0" fontId="15" fillId="0" borderId="0" xfId="5" applyFont="1"/>
    <xf numFmtId="164" fontId="7" fillId="10" borderId="18" xfId="1" applyNumberFormat="1"/>
    <xf numFmtId="0" fontId="16" fillId="0" borderId="0" xfId="0" applyFont="1"/>
    <xf numFmtId="173" fontId="16" fillId="0" borderId="0" xfId="0" applyNumberFormat="1" applyFont="1"/>
    <xf numFmtId="0" fontId="3" fillId="0" borderId="0" xfId="0" applyFont="1"/>
    <xf numFmtId="164" fontId="8" fillId="11" borderId="19" xfId="2" applyNumberFormat="1"/>
    <xf numFmtId="11" fontId="16" fillId="0" borderId="0" xfId="0" applyNumberFormat="1" applyFont="1"/>
    <xf numFmtId="0" fontId="16" fillId="0" borderId="0" xfId="0" applyFont="1" applyAlignment="1">
      <alignment horizontal="left"/>
    </xf>
    <xf numFmtId="174" fontId="8" fillId="11" borderId="19" xfId="2" applyNumberFormat="1"/>
    <xf numFmtId="0" fontId="17" fillId="0" borderId="0" xfId="0" applyFont="1"/>
    <xf numFmtId="2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0" fillId="0" borderId="5" xfId="0" applyBorder="1"/>
    <xf numFmtId="0" fontId="19" fillId="0" borderId="5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9" xfId="0" applyFill="1" applyBorder="1" applyAlignment="1">
      <alignment wrapText="1"/>
    </xf>
    <xf numFmtId="164" fontId="0" fillId="14" borderId="9" xfId="0" applyNumberFormat="1" applyFill="1" applyBorder="1" applyAlignment="1">
      <alignment wrapText="1"/>
    </xf>
    <xf numFmtId="2" fontId="0" fillId="14" borderId="9" xfId="0" applyNumberFormat="1" applyFill="1" applyBorder="1" applyAlignment="1">
      <alignment wrapText="1"/>
    </xf>
    <xf numFmtId="2" fontId="0" fillId="14" borderId="9" xfId="0" quotePrefix="1" applyNumberFormat="1" applyFill="1" applyBorder="1" applyAlignment="1">
      <alignment wrapText="1"/>
    </xf>
    <xf numFmtId="2" fontId="0" fillId="14" borderId="10" xfId="0" quotePrefix="1" applyNumberFormat="1" applyFill="1" applyBorder="1" applyAlignment="1">
      <alignment wrapText="1"/>
    </xf>
    <xf numFmtId="0" fontId="13" fillId="0" borderId="20" xfId="4"/>
    <xf numFmtId="172" fontId="7" fillId="10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2" fontId="0" fillId="16" borderId="0" xfId="0" applyNumberFormat="1" applyFill="1"/>
    <xf numFmtId="2" fontId="0" fillId="16" borderId="8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  <xf numFmtId="0" fontId="0" fillId="0" borderId="5" xfId="0" applyFont="1" applyBorder="1" applyAlignment="1"/>
    <xf numFmtId="0" fontId="1" fillId="9" borderId="9" xfId="0" applyFont="1" applyFill="1" applyBorder="1" applyAlignment="1">
      <alignment wrapText="1"/>
    </xf>
    <xf numFmtId="0" fontId="1" fillId="12" borderId="9" xfId="0" applyFont="1" applyFill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2" fontId="11" fillId="0" borderId="0" xfId="0" applyNumberFormat="1" applyFont="1" applyAlignment="1">
      <alignment wrapText="1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2" fontId="1" fillId="0" borderId="0" xfId="0" applyNumberFormat="1" applyFont="1"/>
    <xf numFmtId="175" fontId="0" fillId="0" borderId="0" xfId="0" applyNumberFormat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45R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6745406824153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C0-D243-9CF7-2D7E8773FEC0}"/>
            </c:ext>
          </c:extLst>
        </c:ser>
        <c:ser>
          <c:idx val="1"/>
          <c:order val="1"/>
          <c:tx>
            <c:v>46R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44034730033746"/>
                  <c:y val="0.16521214524443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C0-D243-9CF7-2D7E8773F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39792"/>
        <c:axId val="259770000"/>
      </c:scatterChart>
      <c:valAx>
        <c:axId val="2902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ln(size corrected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26273692350956129"/>
              <c:y val="0.87419050586302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0000"/>
        <c:crossesAt val="-4.0000000000000008E-2"/>
        <c:crossBetween val="midCat"/>
      </c:valAx>
      <c:valAx>
        <c:axId val="25977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ln(known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69924071991001E-2"/>
              <c:y val="0.24651957174417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39792"/>
        <c:crossesAt val="-4.0000000000000008E-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754025149841343E-2"/>
                  <c:y val="0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concentration_constants!$I$13:$I$36</c:f>
              <c:numCache>
                <c:formatCode>General</c:formatCode>
                <c:ptCount val="24"/>
                <c:pt idx="0">
                  <c:v>4.4359999999999999</c:v>
                </c:pt>
                <c:pt idx="1">
                  <c:v>5.0330000000000004</c:v>
                </c:pt>
                <c:pt idx="2">
                  <c:v>5.1760000000000002</c:v>
                </c:pt>
                <c:pt idx="3">
                  <c:v>9.7729999999999997</c:v>
                </c:pt>
                <c:pt idx="4">
                  <c:v>9.73</c:v>
                </c:pt>
                <c:pt idx="5">
                  <c:v>10.257</c:v>
                </c:pt>
                <c:pt idx="6">
                  <c:v>20.527999999999999</c:v>
                </c:pt>
                <c:pt idx="7">
                  <c:v>20.356000000000002</c:v>
                </c:pt>
                <c:pt idx="8">
                  <c:v>20.91</c:v>
                </c:pt>
                <c:pt idx="9">
                  <c:v>40.497</c:v>
                </c:pt>
                <c:pt idx="10">
                  <c:v>39.363</c:v>
                </c:pt>
                <c:pt idx="11">
                  <c:v>41.569000000000003</c:v>
                </c:pt>
                <c:pt idx="12">
                  <c:v>9.9049999999999994</c:v>
                </c:pt>
                <c:pt idx="13">
                  <c:v>10.589</c:v>
                </c:pt>
                <c:pt idx="14">
                  <c:v>11.387</c:v>
                </c:pt>
                <c:pt idx="15">
                  <c:v>23.463999999999999</c:v>
                </c:pt>
                <c:pt idx="16">
                  <c:v>22.53</c:v>
                </c:pt>
                <c:pt idx="17">
                  <c:v>22.491</c:v>
                </c:pt>
                <c:pt idx="18">
                  <c:v>45.164999999999999</c:v>
                </c:pt>
                <c:pt idx="19">
                  <c:v>43.104999999999997</c:v>
                </c:pt>
                <c:pt idx="20">
                  <c:v>44.793999999999997</c:v>
                </c:pt>
                <c:pt idx="21">
                  <c:v>80.105000000000004</c:v>
                </c:pt>
                <c:pt idx="22">
                  <c:v>83.078000000000003</c:v>
                </c:pt>
                <c:pt idx="23">
                  <c:v>89.230999999999995</c:v>
                </c:pt>
              </c:numCache>
            </c:numRef>
          </c:xVal>
          <c:yVal>
            <c:numRef>
              <c:f>concentration_constants!$H$13:$H$36</c:f>
              <c:numCache>
                <c:formatCode>General</c:formatCode>
                <c:ptCount val="24"/>
                <c:pt idx="0">
                  <c:v>2.4838709677419355</c:v>
                </c:pt>
                <c:pt idx="1">
                  <c:v>2.4838709677419355</c:v>
                </c:pt>
                <c:pt idx="2">
                  <c:v>2.4838709677419355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9.612903225806452</c:v>
                </c:pt>
                <c:pt idx="7">
                  <c:v>9.67741935483871</c:v>
                </c:pt>
                <c:pt idx="8">
                  <c:v>10</c:v>
                </c:pt>
                <c:pt idx="9">
                  <c:v>19.870967741935484</c:v>
                </c:pt>
                <c:pt idx="10">
                  <c:v>19.35483870967742</c:v>
                </c:pt>
                <c:pt idx="11">
                  <c:v>20</c:v>
                </c:pt>
                <c:pt idx="12">
                  <c:v>4.967741935483871</c:v>
                </c:pt>
                <c:pt idx="13">
                  <c:v>4.935483870967742</c:v>
                </c:pt>
                <c:pt idx="14">
                  <c:v>5</c:v>
                </c:pt>
                <c:pt idx="15">
                  <c:v>9.935483870967742</c:v>
                </c:pt>
                <c:pt idx="16">
                  <c:v>9.870967741935484</c:v>
                </c:pt>
                <c:pt idx="17">
                  <c:v>9.935483870967742</c:v>
                </c:pt>
                <c:pt idx="18">
                  <c:v>19.612903225806452</c:v>
                </c:pt>
                <c:pt idx="19">
                  <c:v>19.870967741935484</c:v>
                </c:pt>
                <c:pt idx="20">
                  <c:v>19.483870967741936</c:v>
                </c:pt>
                <c:pt idx="21">
                  <c:v>39.225806451612904</c:v>
                </c:pt>
                <c:pt idx="22">
                  <c:v>39.741935483870968</c:v>
                </c:pt>
                <c:pt idx="23">
                  <c:v>38.967741935483872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FF-D44F-8E42-49C84A2BC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077232"/>
        <c:axId val="264632128"/>
      </c:scatterChart>
      <c:valAx>
        <c:axId val="24607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 44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32128"/>
        <c:crosses val="autoZero"/>
        <c:crossBetween val="midCat"/>
      </c:valAx>
      <c:valAx>
        <c:axId val="264632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N2O (nmol)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7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33</xdr:col>
      <xdr:colOff>127000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751187-4706-B743-B847-33DDA99A8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11</xdr:row>
      <xdr:rowOff>101600</xdr:rowOff>
    </xdr:from>
    <xdr:to>
      <xdr:col>15</xdr:col>
      <xdr:colOff>469900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CCB66-B834-B245-954E-DA42B85A8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N2O%20Research/Spec%20Calibration%20Files/Peak%20size%20calibration/210928%20calibration%20cur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data"/>
      <sheetName val="Ref_curves"/>
    </sheetNames>
    <sheetDataSet>
      <sheetData sheetId="0" refreshError="1"/>
      <sheetData sheetId="1">
        <row r="61">
          <cell r="H61">
            <v>2.4838709677419355</v>
          </cell>
          <cell r="I61">
            <v>4.4359999999999999</v>
          </cell>
        </row>
        <row r="62">
          <cell r="H62">
            <v>2.4838709677419355</v>
          </cell>
          <cell r="I62">
            <v>5.0330000000000004</v>
          </cell>
        </row>
        <row r="63">
          <cell r="H63">
            <v>2.4838709677419355</v>
          </cell>
          <cell r="I63">
            <v>5.1760000000000002</v>
          </cell>
        </row>
        <row r="64">
          <cell r="H64">
            <v>5</v>
          </cell>
          <cell r="I64">
            <v>9.7729999999999997</v>
          </cell>
        </row>
        <row r="65">
          <cell r="H65">
            <v>5</v>
          </cell>
          <cell r="I65">
            <v>9.73</v>
          </cell>
        </row>
        <row r="66">
          <cell r="H66">
            <v>5</v>
          </cell>
          <cell r="I66">
            <v>10.257</v>
          </cell>
        </row>
        <row r="67">
          <cell r="H67">
            <v>9.612903225806452</v>
          </cell>
          <cell r="I67">
            <v>20.527999999999999</v>
          </cell>
        </row>
        <row r="68">
          <cell r="H68">
            <v>9.67741935483871</v>
          </cell>
          <cell r="I68">
            <v>20.356000000000002</v>
          </cell>
        </row>
        <row r="69">
          <cell r="H69">
            <v>10</v>
          </cell>
          <cell r="I69">
            <v>20.91</v>
          </cell>
        </row>
        <row r="70">
          <cell r="H70">
            <v>19.870967741935484</v>
          </cell>
          <cell r="I70">
            <v>40.497</v>
          </cell>
        </row>
        <row r="71">
          <cell r="H71">
            <v>19.35483870967742</v>
          </cell>
          <cell r="I71">
            <v>39.363</v>
          </cell>
        </row>
        <row r="72">
          <cell r="H72">
            <v>20</v>
          </cell>
          <cell r="I72">
            <v>41.569000000000003</v>
          </cell>
        </row>
        <row r="73">
          <cell r="H73">
            <v>4.967741935483871</v>
          </cell>
          <cell r="I73">
            <v>9.9049999999999994</v>
          </cell>
        </row>
        <row r="74">
          <cell r="H74">
            <v>4.935483870967742</v>
          </cell>
          <cell r="I74">
            <v>10.589</v>
          </cell>
        </row>
        <row r="75">
          <cell r="H75">
            <v>5</v>
          </cell>
          <cell r="I75">
            <v>11.387</v>
          </cell>
        </row>
        <row r="76">
          <cell r="H76">
            <v>9.935483870967742</v>
          </cell>
          <cell r="I76">
            <v>23.463999999999999</v>
          </cell>
        </row>
        <row r="77">
          <cell r="H77">
            <v>9.870967741935484</v>
          </cell>
          <cell r="I77">
            <v>22.53</v>
          </cell>
        </row>
        <row r="78">
          <cell r="H78">
            <v>9.935483870967742</v>
          </cell>
          <cell r="I78">
            <v>22.491</v>
          </cell>
        </row>
        <row r="79">
          <cell r="H79">
            <v>19.612903225806452</v>
          </cell>
          <cell r="I79">
            <v>45.164999999999999</v>
          </cell>
        </row>
        <row r="80">
          <cell r="H80">
            <v>19.870967741935484</v>
          </cell>
          <cell r="I80">
            <v>43.104999999999997</v>
          </cell>
        </row>
        <row r="81">
          <cell r="H81">
            <v>19.483870967741936</v>
          </cell>
          <cell r="I81">
            <v>44.793999999999997</v>
          </cell>
        </row>
        <row r="82">
          <cell r="H82">
            <v>39.225806451612904</v>
          </cell>
          <cell r="I82">
            <v>80.105000000000004</v>
          </cell>
        </row>
        <row r="83">
          <cell r="H83">
            <v>39.741935483870968</v>
          </cell>
          <cell r="I83">
            <v>83.078000000000003</v>
          </cell>
        </row>
        <row r="84">
          <cell r="H84">
            <v>38.967741935483872</v>
          </cell>
          <cell r="I84">
            <v>89.230999999999995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S1" workbookViewId="0">
      <selection activeCell="BI4" sqref="BI4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1" customWidth="1"/>
    <col min="42" max="42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119</v>
      </c>
      <c r="B1" s="1" t="s">
        <v>118</v>
      </c>
      <c r="F1" s="1" t="s">
        <v>117</v>
      </c>
      <c r="G1" s="1"/>
      <c r="W1" s="74" t="s">
        <v>96</v>
      </c>
      <c r="X1" s="2"/>
      <c r="Y1" s="3"/>
      <c r="AA1" s="4"/>
      <c r="AB1" s="5"/>
      <c r="AE1" s="6" t="s">
        <v>0</v>
      </c>
      <c r="AF1" s="7"/>
      <c r="AG1" s="7"/>
      <c r="AI1" s="76" t="s">
        <v>123</v>
      </c>
      <c r="AJ1" s="77"/>
      <c r="AL1" s="51" t="s">
        <v>93</v>
      </c>
      <c r="AM1" s="51"/>
      <c r="AN1" s="51"/>
      <c r="AO1" s="58"/>
      <c r="AP1" s="51"/>
      <c r="AR1" s="45"/>
      <c r="AT1" s="113" t="s">
        <v>179</v>
      </c>
      <c r="AU1" s="113"/>
      <c r="AV1" s="113"/>
      <c r="AX1" s="38" t="s">
        <v>180</v>
      </c>
      <c r="AY1" s="38"/>
      <c r="AZ1" s="38" t="s">
        <v>45</v>
      </c>
      <c r="BA1" s="38"/>
      <c r="BB1" s="38"/>
      <c r="BC1" s="38" t="s">
        <v>46</v>
      </c>
      <c r="BE1" s="101" t="s">
        <v>164</v>
      </c>
      <c r="BF1" s="101"/>
      <c r="BG1" s="101"/>
      <c r="BH1" s="101"/>
      <c r="BI1" s="102"/>
      <c r="BJ1" s="103"/>
      <c r="BK1" s="103"/>
      <c r="BL1" s="103"/>
      <c r="BM1" s="103"/>
    </row>
    <row r="2" spans="1:65" ht="52" thickBot="1">
      <c r="A2" s="8" t="s">
        <v>92</v>
      </c>
      <c r="B2" s="8" t="s">
        <v>91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8" t="s">
        <v>121</v>
      </c>
      <c r="AJ2" s="78" t="s">
        <v>122</v>
      </c>
      <c r="AK2" s="23"/>
      <c r="AL2" s="55" t="s">
        <v>28</v>
      </c>
      <c r="AM2" s="52" t="s">
        <v>29</v>
      </c>
      <c r="AN2" s="52" t="s">
        <v>30</v>
      </c>
      <c r="AO2" s="59" t="s">
        <v>94</v>
      </c>
      <c r="AP2" s="53" t="s">
        <v>95</v>
      </c>
      <c r="AR2" s="46" t="s">
        <v>74</v>
      </c>
      <c r="AS2" s="1" t="s">
        <v>73</v>
      </c>
      <c r="AT2" s="114" t="s">
        <v>33</v>
      </c>
      <c r="AU2" s="115" t="s">
        <v>47</v>
      </c>
      <c r="AV2" s="116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4" t="s">
        <v>165</v>
      </c>
      <c r="BF2" s="104" t="s">
        <v>166</v>
      </c>
      <c r="BG2" s="104" t="s">
        <v>167</v>
      </c>
      <c r="BH2" s="104" t="s">
        <v>168</v>
      </c>
      <c r="BI2" s="105" t="s">
        <v>169</v>
      </c>
      <c r="BJ2" s="106" t="s">
        <v>170</v>
      </c>
      <c r="BK2" s="107" t="s">
        <v>171</v>
      </c>
      <c r="BL2" s="106" t="s">
        <v>172</v>
      </c>
      <c r="BM2" s="108" t="s">
        <v>171</v>
      </c>
    </row>
    <row r="3" spans="1:65" ht="17" thickBot="1">
      <c r="A3">
        <v>201204</v>
      </c>
      <c r="B3" t="s">
        <v>36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9">
        <f>AF3^$X$11</f>
        <v>1.0060158448599359</v>
      </c>
      <c r="AJ3" s="80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6">
        <v>0.18344928548237474</v>
      </c>
      <c r="AP3" s="57">
        <v>9.0727587262159418E-2</v>
      </c>
      <c r="AR3" s="47">
        <f t="shared" ref="AR3:AR17" si="1">A3</f>
        <v>201204</v>
      </c>
      <c r="AS3" t="str">
        <f t="shared" ref="AS3:AS17" si="2"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15.0490394410522</v>
      </c>
      <c r="AY3" s="50">
        <v>-2.6534292738701302</v>
      </c>
      <c r="AZ3" s="50">
        <v>17.7024687149224</v>
      </c>
      <c r="BA3" s="50">
        <v>6.1978050835910796</v>
      </c>
      <c r="BB3" s="50">
        <v>24.00972360307</v>
      </c>
      <c r="BC3" s="50">
        <v>47.054164220492602</v>
      </c>
      <c r="BD3" s="44"/>
      <c r="BE3">
        <v>265</v>
      </c>
      <c r="BF3">
        <v>109</v>
      </c>
      <c r="BG3">
        <f>BE3-BF3</f>
        <v>156</v>
      </c>
      <c r="BH3" t="s">
        <v>173</v>
      </c>
      <c r="BI3" s="81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">
        <v>38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3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4">$W$7*(20-I4)+AC4</f>
        <v>1.0011999046840065</v>
      </c>
      <c r="AF4" s="31">
        <f t="shared" ref="AF4:AF17" si="5">$X$7*(20-I4)+AA4</f>
        <v>0.99668972770557829</v>
      </c>
      <c r="AG4" s="31">
        <f t="shared" ref="AG4:AG17" si="6">$Y$7*(20-I4)+AB4</f>
        <v>0.99497700286985102</v>
      </c>
      <c r="AI4" s="79">
        <f t="shared" ref="AI4:AI17" si="7">AF4^$X$11</f>
        <v>0.99649806061376012</v>
      </c>
      <c r="AJ4" s="80">
        <f t="shared" ref="AJ4:AJ17" si="8">AG4^$Y$11</f>
        <v>0.99528850719192319</v>
      </c>
      <c r="AK4" s="32"/>
      <c r="AL4" s="33">
        <f t="shared" ref="AL4:AL17" si="9">AE4*$W$3</f>
        <v>3.7382429851740414E-3</v>
      </c>
      <c r="AM4" s="33">
        <f t="shared" ref="AM4:AM17" si="10">AI4*$X$3</f>
        <v>7.7139163494616804E-3</v>
      </c>
      <c r="AN4" s="33">
        <f t="shared" ref="AN4:AN17" si="11">AJ4*$Y$3</f>
        <v>2.09139498425152E-3</v>
      </c>
      <c r="AO4" s="56">
        <v>0.18344928548237474</v>
      </c>
      <c r="AP4" s="57">
        <v>9.0727587262159418E-2</v>
      </c>
      <c r="AR4" s="47">
        <f t="shared" si="1"/>
        <v>201205</v>
      </c>
      <c r="AS4" s="41" t="str">
        <f t="shared" si="2"/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6.8186628672068901</v>
      </c>
      <c r="AY4" s="50">
        <v>-13.8265102937522</v>
      </c>
      <c r="AZ4" s="50">
        <v>20.6451731609591</v>
      </c>
      <c r="BA4" s="50">
        <v>-3.5039237132726799</v>
      </c>
      <c r="BB4" s="50">
        <v>17.848645763027498</v>
      </c>
      <c r="BC4" s="50">
        <v>34.879844390014398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81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">
        <v>37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4" t="s">
        <v>97</v>
      </c>
      <c r="X5" s="2"/>
      <c r="Y5" s="3"/>
      <c r="AA5" s="28">
        <f t="shared" si="3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4"/>
        <v>0.99706434207705574</v>
      </c>
      <c r="AF5" s="31">
        <f t="shared" si="5"/>
        <v>1.0003832772874761</v>
      </c>
      <c r="AG5" s="31">
        <f t="shared" si="6"/>
        <v>1.0043106480077921</v>
      </c>
      <c r="AI5" s="79">
        <f t="shared" si="7"/>
        <v>1.0004055127886835</v>
      </c>
      <c r="AJ5" s="80">
        <f t="shared" si="8"/>
        <v>1.0040421473777938</v>
      </c>
      <c r="AK5" s="32"/>
      <c r="AL5" s="33">
        <f t="shared" si="9"/>
        <v>3.7228017752489757E-3</v>
      </c>
      <c r="AM5" s="33">
        <f t="shared" si="10"/>
        <v>7.7441640342372194E-3</v>
      </c>
      <c r="AN5" s="33">
        <f t="shared" si="11"/>
        <v>2.1097889665454826E-3</v>
      </c>
      <c r="AO5" s="56">
        <v>0.18344928548237474</v>
      </c>
      <c r="AP5" s="57">
        <v>9.0727587262159418E-2</v>
      </c>
      <c r="AR5" s="47">
        <f t="shared" si="1"/>
        <v>201205</v>
      </c>
      <c r="AS5" s="41" t="str">
        <f t="shared" si="2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-0.60159200015230596</v>
      </c>
      <c r="AY5" s="50">
        <v>1.34440496353738</v>
      </c>
      <c r="AZ5" s="50">
        <v>-1.9459969636896799</v>
      </c>
      <c r="BA5" s="50">
        <v>0.37140648169253698</v>
      </c>
      <c r="BB5" s="50">
        <v>22.461390832676202</v>
      </c>
      <c r="BC5" s="50">
        <v>43.988168235934403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81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">
        <v>36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3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4"/>
        <v>1.0094138034244713</v>
      </c>
      <c r="AF6" s="31">
        <f t="shared" si="5"/>
        <v>1.0064059824102283</v>
      </c>
      <c r="AG6" s="31">
        <f t="shared" si="6"/>
        <v>1.0077071570383731</v>
      </c>
      <c r="AI6" s="79">
        <f t="shared" si="7"/>
        <v>1.0067788012419414</v>
      </c>
      <c r="AJ6" s="80">
        <f t="shared" si="8"/>
        <v>1.0072263356356053</v>
      </c>
      <c r="AK6" s="32"/>
      <c r="AL6" s="33">
        <f t="shared" si="9"/>
        <v>3.7689117349450109E-3</v>
      </c>
      <c r="AM6" s="33">
        <f t="shared" si="10"/>
        <v>7.7934998191650307E-3</v>
      </c>
      <c r="AN6" s="33">
        <f t="shared" si="11"/>
        <v>2.1164798861162187E-3</v>
      </c>
      <c r="AO6" s="56">
        <v>0.18344928548237474</v>
      </c>
      <c r="AP6" s="57">
        <v>9.0727587262159418E-2</v>
      </c>
      <c r="AR6" s="47">
        <f t="shared" si="1"/>
        <v>201205</v>
      </c>
      <c r="AS6" t="str">
        <f t="shared" si="2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14.7944751196213</v>
      </c>
      <c r="AY6" s="50">
        <v>-0.80128319311811802</v>
      </c>
      <c r="AZ6" s="50">
        <v>15.5957583127395</v>
      </c>
      <c r="BA6" s="50">
        <v>6.9965959632516297</v>
      </c>
      <c r="BB6" s="50">
        <v>24.095417339407199</v>
      </c>
      <c r="BC6" s="50">
        <v>47.223981347707102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173</v>
      </c>
      <c r="BI6" s="81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">
        <v>38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3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4"/>
        <v>1.0010419752766739</v>
      </c>
      <c r="AF7" s="31">
        <f t="shared" si="5"/>
        <v>0.99663201609671503</v>
      </c>
      <c r="AG7" s="31">
        <f t="shared" si="6"/>
        <v>0.9951628615034982</v>
      </c>
      <c r="AI7" s="79">
        <f t="shared" si="7"/>
        <v>0.99643701343870184</v>
      </c>
      <c r="AJ7" s="80">
        <f t="shared" si="8"/>
        <v>0.99546286598321598</v>
      </c>
      <c r="AK7" s="32"/>
      <c r="AL7" s="33">
        <f t="shared" si="9"/>
        <v>3.7376533142238627E-3</v>
      </c>
      <c r="AM7" s="33">
        <f t="shared" si="10"/>
        <v>7.7134437817564508E-3</v>
      </c>
      <c r="AN7" s="33">
        <f t="shared" si="11"/>
        <v>2.0917613635465034E-3</v>
      </c>
      <c r="AO7" s="56">
        <v>0.18344928548237474</v>
      </c>
      <c r="AP7" s="57">
        <v>9.0727587262159418E-2</v>
      </c>
      <c r="AR7" s="47">
        <f t="shared" si="1"/>
        <v>201205</v>
      </c>
      <c r="AS7" t="str">
        <f t="shared" si="2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6.6015916386952203</v>
      </c>
      <c r="AY7" s="50">
        <v>-13.7476039394125</v>
      </c>
      <c r="AZ7" s="50">
        <v>20.3491955781077</v>
      </c>
      <c r="BA7" s="50">
        <v>-3.5730061503586601</v>
      </c>
      <c r="BB7" s="50">
        <v>17.9418162148927</v>
      </c>
      <c r="BC7" s="50">
        <v>35.0634364392414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81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">
        <v>37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3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4"/>
        <v>0.99629481277958798</v>
      </c>
      <c r="AF8" s="31">
        <f t="shared" si="5"/>
        <v>0.99917068284195976</v>
      </c>
      <c r="AG8" s="31">
        <f t="shared" si="6"/>
        <v>1.0023860907979212</v>
      </c>
      <c r="AI8" s="79">
        <f t="shared" si="7"/>
        <v>0.99912260158268462</v>
      </c>
      <c r="AJ8" s="80">
        <f t="shared" si="8"/>
        <v>1.0022376000760198</v>
      </c>
      <c r="AK8" s="32"/>
      <c r="AL8" s="33">
        <f t="shared" si="9"/>
        <v>3.7199285353648262E-3</v>
      </c>
      <c r="AM8" s="33">
        <f t="shared" si="10"/>
        <v>7.7342329865834319E-3</v>
      </c>
      <c r="AN8" s="33">
        <f t="shared" si="11"/>
        <v>2.1059970799231576E-3</v>
      </c>
      <c r="AO8" s="56">
        <v>0.18344928548237474</v>
      </c>
      <c r="AP8" s="57">
        <v>9.0727587262159418E-2</v>
      </c>
      <c r="AR8" s="47">
        <f t="shared" si="1"/>
        <v>201205</v>
      </c>
      <c r="AS8" t="str">
        <f t="shared" si="2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-1.217686963634</v>
      </c>
      <c r="AY8" s="50">
        <v>-0.643013339496456</v>
      </c>
      <c r="AZ8" s="50">
        <v>-0.57467362413754497</v>
      </c>
      <c r="BA8" s="50">
        <v>-0.93035015156522904</v>
      </c>
      <c r="BB8" s="50">
        <v>21.515796914688998</v>
      </c>
      <c r="BC8" s="50">
        <v>42.117851263369303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81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">
        <v>36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4" t="s">
        <v>120</v>
      </c>
      <c r="Y9" s="3"/>
      <c r="AA9" s="28">
        <f t="shared" si="3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4"/>
        <v>1.0099089621203003</v>
      </c>
      <c r="AF9" s="31">
        <f t="shared" si="5"/>
        <v>1.0050941512728657</v>
      </c>
      <c r="AG9" s="31">
        <f t="shared" si="6"/>
        <v>1.0057116133646442</v>
      </c>
      <c r="AI9" s="79">
        <f t="shared" si="7"/>
        <v>1.0053904191368781</v>
      </c>
      <c r="AJ9" s="80">
        <f t="shared" si="8"/>
        <v>1.0053556173139186</v>
      </c>
      <c r="AL9" s="33">
        <f t="shared" si="9"/>
        <v>3.770760540076305E-3</v>
      </c>
      <c r="AM9" s="33">
        <f t="shared" si="10"/>
        <v>7.7827523186501267E-3</v>
      </c>
      <c r="AN9" s="33">
        <f t="shared" si="11"/>
        <v>2.1125489546459449E-3</v>
      </c>
      <c r="AO9" s="56">
        <v>0.18344928548237474</v>
      </c>
      <c r="AP9" s="57">
        <v>9.0727587262159418E-2</v>
      </c>
      <c r="AR9" s="47">
        <f t="shared" si="1"/>
        <v>201205</v>
      </c>
      <c r="AS9" s="41" t="str">
        <f t="shared" si="2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15.9811824695308</v>
      </c>
      <c r="AY9" s="50">
        <v>-4.8102129708880099</v>
      </c>
      <c r="AZ9" s="50">
        <v>20.7913954404188</v>
      </c>
      <c r="BA9" s="50">
        <v>5.5854847493214104</v>
      </c>
      <c r="BB9" s="50">
        <v>23.117265828815</v>
      </c>
      <c r="BC9" s="50">
        <v>45.286395319747101</v>
      </c>
      <c r="BE9">
        <v>265</v>
      </c>
      <c r="BF9">
        <v>109</v>
      </c>
      <c r="BG9">
        <f t="shared" si="15"/>
        <v>156</v>
      </c>
      <c r="BH9" t="s">
        <v>173</v>
      </c>
      <c r="BI9" s="81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3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4"/>
        <v>1.0059352715795371</v>
      </c>
      <c r="AF10" s="31">
        <f t="shared" si="5"/>
        <v>0.99092722925764687</v>
      </c>
      <c r="AG10" s="31">
        <f t="shared" si="6"/>
        <v>1.0049378092932522</v>
      </c>
      <c r="AI10" s="79">
        <f t="shared" si="7"/>
        <v>0.99040351990487752</v>
      </c>
      <c r="AJ10" s="80">
        <f t="shared" si="8"/>
        <v>1.0046301542140887</v>
      </c>
      <c r="AL10" s="33">
        <f t="shared" si="9"/>
        <v>3.7559237220544848E-3</v>
      </c>
      <c r="AM10" s="33">
        <f t="shared" si="10"/>
        <v>7.6667383577777295E-3</v>
      </c>
      <c r="AN10" s="33">
        <f t="shared" si="11"/>
        <v>2.1110245425008428E-3</v>
      </c>
      <c r="AO10" s="56">
        <v>0.18344928548237474</v>
      </c>
      <c r="AP10" s="57">
        <v>9.0727587262159418E-2</v>
      </c>
      <c r="AR10" s="47">
        <f t="shared" si="1"/>
        <v>201205</v>
      </c>
      <c r="AS10" t="str">
        <f t="shared" si="2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14.4118651961093</v>
      </c>
      <c r="AY10" s="50">
        <v>-34.769197528393804</v>
      </c>
      <c r="AZ10" s="50">
        <v>49.1810627245031</v>
      </c>
      <c r="BA10" s="50">
        <v>-10.1786661661422</v>
      </c>
      <c r="BB10" s="50">
        <v>22.853619629831201</v>
      </c>
      <c r="BC10" s="50">
        <v>44.7644449527711</v>
      </c>
      <c r="BE10">
        <v>265</v>
      </c>
      <c r="BF10">
        <v>109</v>
      </c>
      <c r="BG10">
        <f t="shared" si="15"/>
        <v>156</v>
      </c>
      <c r="BH10" t="s">
        <v>39</v>
      </c>
      <c r="BI10" s="81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">
        <v>36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scale_normalization!Y3</f>
        <v>1.058002378564959</v>
      </c>
      <c r="Y11" s="36">
        <f>scale_normalization!Z3</f>
        <v>0.9378376950888252</v>
      </c>
      <c r="AA11" s="28">
        <f t="shared" si="3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4"/>
        <v>1.0108187331121987</v>
      </c>
      <c r="AF11" s="31">
        <f t="shared" si="5"/>
        <v>1.0057192814133826</v>
      </c>
      <c r="AG11" s="31">
        <f t="shared" si="6"/>
        <v>1.0054625917600983</v>
      </c>
      <c r="AI11" s="79">
        <f t="shared" si="7"/>
        <v>1.0060520151987653</v>
      </c>
      <c r="AJ11" s="80">
        <f t="shared" si="8"/>
        <v>1.0051221563372517</v>
      </c>
      <c r="AL11" s="33">
        <f t="shared" si="9"/>
        <v>3.7741574091857285E-3</v>
      </c>
      <c r="AM11" s="33">
        <f t="shared" si="10"/>
        <v>7.7878737502717673E-3</v>
      </c>
      <c r="AN11" s="33">
        <f t="shared" si="11"/>
        <v>2.11205838421125E-3</v>
      </c>
      <c r="AO11" s="56">
        <v>0.18344928548237474</v>
      </c>
      <c r="AP11" s="57">
        <v>9.0727587262159418E-2</v>
      </c>
      <c r="AR11" s="47">
        <f t="shared" si="1"/>
        <v>201207</v>
      </c>
      <c r="AS11" s="41" t="str">
        <f t="shared" si="2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17.096555270453798</v>
      </c>
      <c r="AY11" s="50">
        <v>-4.5192648951586296</v>
      </c>
      <c r="AZ11" s="50">
        <v>21.615820165612401</v>
      </c>
      <c r="BA11" s="50">
        <v>6.2886451876476004</v>
      </c>
      <c r="BB11" s="50">
        <v>22.988529105010201</v>
      </c>
      <c r="BC11" s="50">
        <v>45.031514587758402</v>
      </c>
      <c r="BE11">
        <v>265</v>
      </c>
      <c r="BF11">
        <v>109</v>
      </c>
      <c r="BG11">
        <f t="shared" si="15"/>
        <v>156</v>
      </c>
      <c r="BH11" t="s">
        <v>173</v>
      </c>
      <c r="BI11" s="81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">
        <v>38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3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4"/>
        <v>1.0011869726521643</v>
      </c>
      <c r="AF12" s="31">
        <f t="shared" si="5"/>
        <v>0.99641187878361481</v>
      </c>
      <c r="AG12" s="31">
        <f t="shared" si="6"/>
        <v>0.99378130442821833</v>
      </c>
      <c r="AI12" s="79">
        <f t="shared" si="7"/>
        <v>0.99620415470032642</v>
      </c>
      <c r="AJ12" s="80">
        <f t="shared" si="8"/>
        <v>0.9941667431303961</v>
      </c>
      <c r="AL12" s="33">
        <f t="shared" si="9"/>
        <v>3.7381947000342886E-3</v>
      </c>
      <c r="AM12" s="33">
        <f t="shared" si="10"/>
        <v>7.7116412164529484E-3</v>
      </c>
      <c r="AN12" s="33">
        <f t="shared" si="11"/>
        <v>2.0890378267892978E-3</v>
      </c>
      <c r="AO12" s="56">
        <v>0.18344928548237474</v>
      </c>
      <c r="AP12" s="57">
        <v>9.0727587262159418E-2</v>
      </c>
      <c r="AR12" s="47">
        <f t="shared" si="1"/>
        <v>201207</v>
      </c>
      <c r="AS12" s="41" t="str">
        <f t="shared" si="2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6.9551636951770099</v>
      </c>
      <c r="AY12" s="50">
        <v>-14.5204427181152</v>
      </c>
      <c r="AZ12" s="50">
        <v>21.475606413292201</v>
      </c>
      <c r="BA12" s="50">
        <v>-3.78263951146912</v>
      </c>
      <c r="BB12" s="50">
        <v>17.254447962045099</v>
      </c>
      <c r="BC12" s="50">
        <v>33.709350524440303</v>
      </c>
      <c r="BE12">
        <v>265</v>
      </c>
      <c r="BF12">
        <v>109</v>
      </c>
      <c r="BG12">
        <f t="shared" si="15"/>
        <v>156</v>
      </c>
      <c r="BH12" t="s">
        <v>39</v>
      </c>
      <c r="BI12" s="81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">
        <v>37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3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4"/>
        <v>0.99745574081403032</v>
      </c>
      <c r="AF13" s="31">
        <f t="shared" si="5"/>
        <v>1.0001796848444418</v>
      </c>
      <c r="AG13" s="31">
        <f t="shared" si="6"/>
        <v>1.0040343543858852</v>
      </c>
      <c r="AI13" s="79">
        <f t="shared" si="7"/>
        <v>1.0001901079834172</v>
      </c>
      <c r="AJ13" s="80">
        <f t="shared" si="8"/>
        <v>1.003783095863878</v>
      </c>
      <c r="AL13" s="33">
        <f t="shared" si="9"/>
        <v>3.7242631653031056E-3</v>
      </c>
      <c r="AM13" s="33">
        <f t="shared" si="10"/>
        <v>7.742496580265385E-3</v>
      </c>
      <c r="AN13" s="33">
        <f t="shared" si="11"/>
        <v>2.1092446228371492E-3</v>
      </c>
      <c r="AO13" s="56">
        <v>0.18344928548237474</v>
      </c>
      <c r="AP13" s="57">
        <v>9.0727587262159418E-2</v>
      </c>
      <c r="AR13" s="47">
        <f t="shared" si="1"/>
        <v>201207</v>
      </c>
      <c r="AS13" s="41" t="str">
        <f t="shared" si="2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2.0870367696490501E-2</v>
      </c>
      <c r="AY13" s="50">
        <v>0.28239489685111202</v>
      </c>
      <c r="AZ13" s="50">
        <v>-0.26152452915462199</v>
      </c>
      <c r="BA13" s="50">
        <v>0.151632632273801</v>
      </c>
      <c r="BB13" s="50">
        <v>22.325942406621301</v>
      </c>
      <c r="BC13" s="50">
        <v>43.720161359471298</v>
      </c>
      <c r="BE13">
        <v>265</v>
      </c>
      <c r="BF13">
        <v>109</v>
      </c>
      <c r="BG13">
        <f t="shared" si="15"/>
        <v>156</v>
      </c>
      <c r="BH13" t="s">
        <v>39</v>
      </c>
      <c r="BI13" s="81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">
        <v>36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3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4"/>
        <v>1.0086764735022862</v>
      </c>
      <c r="AF14" s="31">
        <f t="shared" si="5"/>
        <v>1.0048805539160894</v>
      </c>
      <c r="AG14" s="31">
        <f t="shared" si="6"/>
        <v>1.0053599727245706</v>
      </c>
      <c r="AI14" s="79">
        <f t="shared" si="7"/>
        <v>1.0051643674054496</v>
      </c>
      <c r="AJ14" s="80">
        <f t="shared" si="8"/>
        <v>1.0050259486178046</v>
      </c>
      <c r="AL14" s="33">
        <f t="shared" si="9"/>
        <v>3.7661587198913019E-3</v>
      </c>
      <c r="AM14" s="33">
        <f t="shared" si="10"/>
        <v>7.7810024465572326E-3</v>
      </c>
      <c r="AN14" s="33">
        <f t="shared" si="11"/>
        <v>2.1118562233900973E-3</v>
      </c>
      <c r="AO14" s="56">
        <v>0.18344928548237474</v>
      </c>
      <c r="AP14" s="57">
        <v>9.0727587262159418E-2</v>
      </c>
      <c r="AR14" s="47">
        <f t="shared" si="1"/>
        <v>201207</v>
      </c>
      <c r="AS14" s="41" t="str">
        <f t="shared" si="2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14.337476770066299</v>
      </c>
      <c r="AY14" s="50">
        <v>-3.6246218372294399</v>
      </c>
      <c r="AZ14" s="50">
        <v>17.9620986072958</v>
      </c>
      <c r="BA14" s="50">
        <v>5.3564274664184497</v>
      </c>
      <c r="BB14" s="50">
        <v>22.9445522417919</v>
      </c>
      <c r="BC14" s="50">
        <v>44.944453434723798</v>
      </c>
      <c r="BE14">
        <v>265</v>
      </c>
      <c r="BF14">
        <v>109</v>
      </c>
      <c r="BG14">
        <f t="shared" si="15"/>
        <v>156</v>
      </c>
      <c r="BH14" t="s">
        <v>173</v>
      </c>
      <c r="BI14" s="81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">
        <v>36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3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4"/>
        <v>1.0105121315250749</v>
      </c>
      <c r="AF15" s="31">
        <f t="shared" si="5"/>
        <v>1.0056387310168626</v>
      </c>
      <c r="AG15" s="31">
        <f t="shared" si="6"/>
        <v>1.0064676550191509</v>
      </c>
      <c r="AI15" s="79">
        <f t="shared" si="7"/>
        <v>1.005966764690523</v>
      </c>
      <c r="AJ15" s="80">
        <f t="shared" si="8"/>
        <v>1.006064394136412</v>
      </c>
      <c r="AL15" s="33">
        <f t="shared" si="9"/>
        <v>3.7730126315774341E-3</v>
      </c>
      <c r="AM15" s="33">
        <f t="shared" si="10"/>
        <v>7.7872138239604956E-3</v>
      </c>
      <c r="AN15" s="33">
        <f t="shared" si="11"/>
        <v>2.1140383039962136E-3</v>
      </c>
      <c r="AO15" s="56">
        <v>0.18344928548237474</v>
      </c>
      <c r="AP15" s="57">
        <v>9.0727587262159418E-2</v>
      </c>
      <c r="AR15" s="47">
        <f t="shared" si="1"/>
        <v>201207</v>
      </c>
      <c r="AS15" t="str">
        <f t="shared" si="2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16.6243703054385</v>
      </c>
      <c r="AY15" s="50">
        <v>-4.27815481119453</v>
      </c>
      <c r="AZ15" s="50">
        <v>20.902525116633001</v>
      </c>
      <c r="BA15" s="50">
        <v>6.1731077471219802</v>
      </c>
      <c r="BB15" s="50">
        <v>23.487661742321102</v>
      </c>
      <c r="BC15" s="50">
        <v>46.019895289453402</v>
      </c>
      <c r="BE15">
        <v>265</v>
      </c>
      <c r="BF15">
        <v>109</v>
      </c>
      <c r="BG15">
        <f t="shared" si="15"/>
        <v>156</v>
      </c>
      <c r="BH15" t="s">
        <v>173</v>
      </c>
      <c r="BI15" s="81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">
        <v>38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3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4"/>
        <v>1.0012823781807745</v>
      </c>
      <c r="AF16" s="31">
        <f t="shared" si="5"/>
        <v>0.99633327484903467</v>
      </c>
      <c r="AG16" s="31">
        <f t="shared" si="6"/>
        <v>0.99474403428411884</v>
      </c>
      <c r="AI16" s="79">
        <f t="shared" si="7"/>
        <v>0.99612100907800016</v>
      </c>
      <c r="AJ16" s="80">
        <f t="shared" si="8"/>
        <v>0.99506995047664126</v>
      </c>
      <c r="AL16" s="33">
        <f t="shared" si="9"/>
        <v>3.7385509216503769E-3</v>
      </c>
      <c r="AM16" s="33">
        <f t="shared" si="10"/>
        <v>7.7109975841160696E-3</v>
      </c>
      <c r="AN16" s="33">
        <f t="shared" si="11"/>
        <v>2.0909357320700551E-3</v>
      </c>
      <c r="AO16" s="56">
        <v>0.18344928548237474</v>
      </c>
      <c r="AP16" s="57">
        <v>9.0727587262159418E-2</v>
      </c>
      <c r="AR16" s="47">
        <f t="shared" si="1"/>
        <v>201207</v>
      </c>
      <c r="AS16" t="str">
        <f t="shared" si="2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7.0484281107991897</v>
      </c>
      <c r="AY16" s="50">
        <v>-14.8384798879742</v>
      </c>
      <c r="AZ16" s="50">
        <v>21.886907998773399</v>
      </c>
      <c r="BA16" s="50">
        <v>-3.8950258885875302</v>
      </c>
      <c r="BB16" s="50">
        <v>17.735481639519399</v>
      </c>
      <c r="BC16" s="50">
        <v>34.6568760800563</v>
      </c>
      <c r="BE16">
        <v>265</v>
      </c>
      <c r="BF16">
        <v>109</v>
      </c>
      <c r="BG16">
        <f t="shared" si="15"/>
        <v>156</v>
      </c>
      <c r="BH16" t="s">
        <v>39</v>
      </c>
      <c r="BI16" s="81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3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4"/>
        <v>1.0058961962525363</v>
      </c>
      <c r="AF17" s="31">
        <f t="shared" si="5"/>
        <v>0.99349493237592013</v>
      </c>
      <c r="AG17" s="31">
        <f t="shared" si="6"/>
        <v>1.0044001925480899</v>
      </c>
      <c r="AI17" s="79">
        <f t="shared" si="7"/>
        <v>0.99311892403423885</v>
      </c>
      <c r="AJ17" s="80">
        <f t="shared" si="8"/>
        <v>1.0041261029389918</v>
      </c>
      <c r="AL17" s="33">
        <f t="shared" si="9"/>
        <v>3.7557778240511282E-3</v>
      </c>
      <c r="AM17" s="33">
        <f t="shared" si="10"/>
        <v>7.6877583688914237E-3</v>
      </c>
      <c r="AN17" s="33">
        <f t="shared" si="11"/>
        <v>2.1099653819650526E-3</v>
      </c>
      <c r="AO17" s="56">
        <v>0.18344928548237474</v>
      </c>
      <c r="AP17" s="57">
        <v>9.0727587262159418E-2</v>
      </c>
      <c r="AR17" s="47">
        <f t="shared" si="1"/>
        <v>201207</v>
      </c>
      <c r="AS17" s="41" t="str">
        <f t="shared" si="2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13.676821526785201</v>
      </c>
      <c r="AY17" s="50">
        <v>-28.286945321078701</v>
      </c>
      <c r="AZ17" s="50">
        <v>41.963766847864001</v>
      </c>
      <c r="BA17" s="50">
        <v>-7.3050618971467403</v>
      </c>
      <c r="BB17" s="50">
        <v>22.565119824016399</v>
      </c>
      <c r="BC17" s="50">
        <v>44.193435538514699</v>
      </c>
      <c r="BE17">
        <v>265</v>
      </c>
      <c r="BF17">
        <v>109</v>
      </c>
      <c r="BG17">
        <f t="shared" si="15"/>
        <v>156</v>
      </c>
      <c r="BH17" t="s">
        <v>39</v>
      </c>
      <c r="BI17" s="81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7"/>
      <c r="AJ18" s="77"/>
      <c r="AL18" s="33"/>
      <c r="AM18" s="33"/>
      <c r="AN18" s="33"/>
      <c r="AO18" s="56"/>
      <c r="AP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7"/>
      <c r="AJ19" s="77"/>
      <c r="AL19" s="33"/>
      <c r="AM19" s="33"/>
      <c r="AN19" s="33"/>
      <c r="AO19" s="56"/>
      <c r="AP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7"/>
      <c r="AJ20" s="77"/>
      <c r="AL20" s="33"/>
      <c r="AM20" s="33"/>
      <c r="AN20" s="33"/>
      <c r="AO20" s="56"/>
      <c r="AP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7"/>
      <c r="AJ21" s="77"/>
      <c r="AL21" s="33"/>
      <c r="AM21" s="33"/>
      <c r="AN21" s="33"/>
      <c r="AO21" s="56"/>
      <c r="AP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7"/>
      <c r="AJ22" s="77"/>
      <c r="AL22" s="33"/>
      <c r="AM22" s="33"/>
      <c r="AN22" s="33"/>
      <c r="AO22" s="56"/>
      <c r="AP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7"/>
      <c r="AJ23" s="77"/>
      <c r="AL23" s="33"/>
      <c r="AM23" s="33"/>
      <c r="AN23" s="33"/>
      <c r="AO23" s="56"/>
      <c r="AP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7"/>
      <c r="AJ24" s="77"/>
      <c r="AL24" s="33"/>
      <c r="AM24" s="33"/>
      <c r="AN24" s="33"/>
      <c r="AO24" s="56"/>
      <c r="AP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7"/>
      <c r="AJ25" s="77"/>
      <c r="AL25" s="33"/>
      <c r="AM25" s="33"/>
      <c r="AN25" s="33"/>
      <c r="AO25" s="56"/>
      <c r="AP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7"/>
      <c r="AJ26" s="77"/>
      <c r="AL26" s="33"/>
      <c r="AM26" s="33"/>
      <c r="AN26" s="33"/>
      <c r="AO26" s="56"/>
      <c r="AP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7"/>
      <c r="AJ27" s="77"/>
      <c r="AL27" s="33"/>
      <c r="AM27" s="33"/>
      <c r="AN27" s="33"/>
      <c r="AO27" s="56"/>
      <c r="AP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7"/>
      <c r="AJ28" s="77"/>
      <c r="AL28" s="33"/>
      <c r="AM28" s="33"/>
      <c r="AN28" s="33"/>
      <c r="AO28" s="56"/>
      <c r="AP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7"/>
      <c r="AJ29" s="77"/>
      <c r="AL29" s="33"/>
      <c r="AM29" s="33"/>
      <c r="AN29" s="33"/>
      <c r="AO29" s="56"/>
      <c r="AP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7"/>
      <c r="AJ30" s="77"/>
      <c r="AL30" s="33"/>
      <c r="AM30" s="33"/>
      <c r="AN30" s="33"/>
      <c r="AO30" s="60"/>
      <c r="AP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7"/>
      <c r="AJ31" s="77"/>
      <c r="AL31" s="33"/>
      <c r="AM31" s="33"/>
      <c r="AN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7"/>
      <c r="AJ32" s="77"/>
      <c r="AL32" s="33"/>
      <c r="AM32" s="33"/>
      <c r="AN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7"/>
      <c r="AJ33" s="77"/>
      <c r="AL33" s="33"/>
      <c r="AM33" s="33"/>
      <c r="AN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7"/>
      <c r="AJ34" s="77"/>
      <c r="AL34" s="33"/>
      <c r="AM34" s="33"/>
      <c r="AN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7"/>
      <c r="AJ35" s="77"/>
      <c r="AL35" s="33"/>
      <c r="AM35" s="33"/>
      <c r="AN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7"/>
      <c r="AJ36" s="77"/>
      <c r="AL36" s="33"/>
      <c r="AM36" s="33"/>
      <c r="AN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7"/>
      <c r="AJ37" s="77"/>
      <c r="AL37" s="33"/>
      <c r="AM37" s="33"/>
      <c r="AN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7"/>
      <c r="AJ38" s="77"/>
      <c r="AL38" s="33"/>
      <c r="AM38" s="33"/>
      <c r="AN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7"/>
      <c r="AJ39" s="77"/>
      <c r="AL39" s="33"/>
      <c r="AM39" s="33"/>
      <c r="AN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7"/>
      <c r="AJ40" s="77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7"/>
      <c r="AJ41" s="77"/>
    </row>
    <row r="42" spans="3:55">
      <c r="AI42" s="77"/>
      <c r="AJ42" s="77"/>
    </row>
    <row r="43" spans="3:55">
      <c r="AI43" s="77"/>
      <c r="AJ43" s="77"/>
    </row>
    <row r="44" spans="3:55">
      <c r="AI44" s="77"/>
      <c r="AJ44" s="77"/>
    </row>
    <row r="45" spans="3:55">
      <c r="AI45" s="77"/>
      <c r="AJ45" s="77"/>
    </row>
    <row r="46" spans="3:55">
      <c r="AI46" s="77"/>
      <c r="AJ46" s="77"/>
    </row>
    <row r="47" spans="3:55">
      <c r="AI47" s="77"/>
      <c r="AJ47" s="77"/>
    </row>
    <row r="48" spans="3:55">
      <c r="AI48" s="77"/>
      <c r="AJ48" s="77"/>
    </row>
    <row r="49" spans="35:36">
      <c r="AI49" s="77"/>
      <c r="AJ49" s="77"/>
    </row>
    <row r="50" spans="35:36">
      <c r="AI50" s="77"/>
      <c r="AJ50" s="77"/>
    </row>
    <row r="51" spans="35:36">
      <c r="AI51" s="77"/>
      <c r="AJ51" s="77"/>
    </row>
    <row r="52" spans="35:36">
      <c r="AI52" s="77"/>
      <c r="AJ52" s="77"/>
    </row>
    <row r="53" spans="35:36">
      <c r="AI53" s="77"/>
      <c r="AJ53" s="77"/>
    </row>
    <row r="54" spans="35:36">
      <c r="AI54" s="77"/>
      <c r="AJ54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Z47"/>
  <sheetViews>
    <sheetView topLeftCell="O1" workbookViewId="0">
      <selection activeCell="R35" sqref="R35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1.6640625" customWidth="1"/>
    <col min="16" max="16" width="26.1640625" customWidth="1"/>
    <col min="17" max="17" width="18.6640625" customWidth="1"/>
    <col min="18" max="18" width="17.1640625" customWidth="1"/>
    <col min="19" max="19" width="16.1640625" customWidth="1"/>
    <col min="20" max="20" width="16" customWidth="1"/>
    <col min="21" max="21" width="14.33203125" customWidth="1"/>
    <col min="22" max="22" width="14.5" customWidth="1"/>
  </cols>
  <sheetData>
    <row r="1" spans="1:26">
      <c r="A1" s="123" t="s">
        <v>124</v>
      </c>
      <c r="B1" s="123"/>
      <c r="C1" s="123"/>
      <c r="D1" s="123"/>
      <c r="E1" s="123"/>
      <c r="F1" s="123"/>
      <c r="G1" s="124" t="s">
        <v>116</v>
      </c>
      <c r="H1" s="124"/>
      <c r="I1" s="124"/>
      <c r="J1" s="124"/>
      <c r="K1" s="124"/>
      <c r="L1" s="124"/>
      <c r="M1" s="124"/>
      <c r="N1" s="124"/>
      <c r="O1" s="117"/>
      <c r="P1" s="112"/>
      <c r="Q1" s="112"/>
      <c r="R1" s="112"/>
      <c r="S1" s="73" t="s">
        <v>125</v>
      </c>
      <c r="T1" s="73"/>
      <c r="W1" s="37"/>
      <c r="X1" s="62" t="s">
        <v>114</v>
      </c>
      <c r="Y1" s="64"/>
    </row>
    <row r="2" spans="1:26" s="1" customFormat="1" ht="39" customHeight="1">
      <c r="A2" s="118" t="s">
        <v>115</v>
      </c>
      <c r="B2" s="118" t="s">
        <v>31</v>
      </c>
      <c r="C2" s="118" t="s">
        <v>32</v>
      </c>
      <c r="D2" s="118" t="s">
        <v>33</v>
      </c>
      <c r="E2" s="118" t="s">
        <v>34</v>
      </c>
      <c r="F2" s="118" t="s">
        <v>35</v>
      </c>
      <c r="G2" s="119" t="s">
        <v>98</v>
      </c>
      <c r="H2" s="119" t="s">
        <v>99</v>
      </c>
      <c r="I2" s="119" t="s">
        <v>100</v>
      </c>
      <c r="J2" s="119" t="s">
        <v>101</v>
      </c>
      <c r="K2" s="119" t="s">
        <v>102</v>
      </c>
      <c r="L2" s="119" t="s">
        <v>103</v>
      </c>
      <c r="M2" s="119" t="s">
        <v>104</v>
      </c>
      <c r="N2" s="119" t="s">
        <v>105</v>
      </c>
      <c r="P2" s="120" t="s">
        <v>2</v>
      </c>
      <c r="Q2" s="121" t="s">
        <v>26</v>
      </c>
      <c r="R2" s="122" t="s">
        <v>27</v>
      </c>
      <c r="S2" s="121" t="s">
        <v>108</v>
      </c>
      <c r="T2" s="121" t="s">
        <v>109</v>
      </c>
      <c r="U2" s="121" t="s">
        <v>110</v>
      </c>
      <c r="V2" s="121" t="s">
        <v>111</v>
      </c>
      <c r="W2" s="121" t="s">
        <v>112</v>
      </c>
      <c r="X2" s="121" t="s">
        <v>113</v>
      </c>
      <c r="Y2" s="1" t="s">
        <v>106</v>
      </c>
      <c r="Z2" s="1" t="s">
        <v>107</v>
      </c>
    </row>
    <row r="3" spans="1:26" ht="17" thickBot="1">
      <c r="A3" s="71" t="s">
        <v>36</v>
      </c>
      <c r="B3" s="72">
        <v>15.7</v>
      </c>
      <c r="C3" s="72">
        <v>-3.3</v>
      </c>
      <c r="D3" s="72">
        <f>AVERAGE(B3:C3)</f>
        <v>6.1999999999999993</v>
      </c>
      <c r="E3" s="72">
        <v>44.3</v>
      </c>
      <c r="F3" s="72">
        <f>B3-C3</f>
        <v>19</v>
      </c>
      <c r="G3" s="68">
        <f>(B3/1000+1)*0.0036765</f>
        <v>3.73422105E-3</v>
      </c>
      <c r="H3" s="68">
        <f>(C3/1000+1)*0.0036765</f>
        <v>3.6643675500000004E-3</v>
      </c>
      <c r="I3" s="68">
        <f>(E3/1000+1)*0.0020052</f>
        <v>2.0940303600000001E-3</v>
      </c>
      <c r="J3" s="68">
        <f>(I3/0.0020052)^0.516*0.0003799</f>
        <v>3.8849294549053509E-4</v>
      </c>
      <c r="K3" s="69">
        <f>G3+H3+J3</f>
        <v>7.7870815454905359E-3</v>
      </c>
      <c r="L3" s="69">
        <f>(G3+H3)*J3+I3+G3*H3</f>
        <v>2.1105882179178336E-3</v>
      </c>
      <c r="M3" s="70">
        <f>K3/size_correction!X$3</f>
        <v>1.0059496767117579</v>
      </c>
      <c r="N3" s="70">
        <f>L3/size_correction!Y$3</f>
        <v>1.0044225086731247</v>
      </c>
      <c r="P3" s="109" t="str">
        <f>size_correction!D3</f>
        <v>ATM_EQ_SW</v>
      </c>
      <c r="Q3" s="109">
        <f>size_correction!AF3</f>
        <v>1.0056851052976181</v>
      </c>
      <c r="R3" s="109">
        <f>size_correction!AG3</f>
        <v>1.0075218399408568</v>
      </c>
      <c r="S3" s="71">
        <f t="shared" ref="S3:T5" si="0">M3</f>
        <v>1.0059496767117579</v>
      </c>
      <c r="T3" s="71">
        <f t="shared" si="0"/>
        <v>1.0044225086731247</v>
      </c>
      <c r="U3" s="70">
        <f t="shared" ref="U3:U17" si="1">LN(Q3)</f>
        <v>5.6690060748599133E-3</v>
      </c>
      <c r="V3" s="70">
        <f t="shared" ref="V3:V17" si="2">LN(R3)</f>
        <v>7.4936919644022753E-3</v>
      </c>
      <c r="W3" s="70">
        <f t="shared" ref="W3:X9" si="3">LN(S3)</f>
        <v>5.9320472770020231E-3</v>
      </c>
      <c r="X3" s="70">
        <f t="shared" si="3"/>
        <v>4.412758119012896E-3</v>
      </c>
      <c r="Y3" s="75">
        <f>SLOPE(W3:W17,U3:U17)</f>
        <v>1.058002378564959</v>
      </c>
      <c r="Z3" s="75">
        <f>SLOPE(X3:X17,V3:V17)</f>
        <v>0.9378376950888252</v>
      </c>
    </row>
    <row r="4" spans="1:26" ht="18" thickTop="1" thickBot="1">
      <c r="A4" s="71" t="s">
        <v>38</v>
      </c>
      <c r="B4" s="72">
        <v>5.55</v>
      </c>
      <c r="C4" s="72">
        <v>-12.87</v>
      </c>
      <c r="D4" s="72">
        <f>AVERAGE(B4:C4)</f>
        <v>-3.6599999999999997</v>
      </c>
      <c r="E4" s="72">
        <v>32.729999999999997</v>
      </c>
      <c r="F4" s="72">
        <f t="shared" ref="F4:F8" si="4">B4-C4</f>
        <v>18.419999999999998</v>
      </c>
      <c r="G4" s="68">
        <f>(B4/1000+1)*0.0036765</f>
        <v>3.6969045749999999E-3</v>
      </c>
      <c r="H4" s="68">
        <f>(C4/1000+1)*0.0036765</f>
        <v>3.6291834449999998E-3</v>
      </c>
      <c r="I4" s="68">
        <f>(E4/1000+1)*0.0020052</f>
        <v>2.0708301959999997E-3</v>
      </c>
      <c r="J4" s="68">
        <f>(I4/0.0020052)^0.516*0.0003799</f>
        <v>3.8626599693337293E-4</v>
      </c>
      <c r="K4" s="69">
        <f>G4+H4+J4</f>
        <v>7.7123540169333725E-3</v>
      </c>
      <c r="L4" s="69">
        <f>(G4+H4)*J4+I4+G4*H4</f>
        <v>2.0870767595740011E-3</v>
      </c>
      <c r="M4" s="70">
        <f>K4/size_correction!X$3</f>
        <v>0.99629623559207692</v>
      </c>
      <c r="N4" s="70">
        <f>L4/size_correction!Y$3</f>
        <v>0.99323347721175648</v>
      </c>
      <c r="P4" s="109" t="str">
        <f>size_correction!D4</f>
        <v>S2_ref_1</v>
      </c>
      <c r="Q4" s="109">
        <f>size_correction!AF4</f>
        <v>0.99668972770557829</v>
      </c>
      <c r="R4" s="109">
        <f>size_correction!AG4</f>
        <v>0.99497700286985102</v>
      </c>
      <c r="S4" s="71">
        <f t="shared" si="0"/>
        <v>0.99629623559207692</v>
      </c>
      <c r="T4" s="71">
        <f t="shared" si="0"/>
        <v>0.99323347721175648</v>
      </c>
      <c r="U4" s="70">
        <f t="shared" si="1"/>
        <v>-3.3157633670658081E-3</v>
      </c>
      <c r="V4" s="70">
        <f t="shared" si="2"/>
        <v>-5.0356547842637621E-3</v>
      </c>
      <c r="W4" s="70">
        <f t="shared" si="3"/>
        <v>-3.7106403264231301E-3</v>
      </c>
      <c r="X4" s="70">
        <f t="shared" si="3"/>
        <v>-6.7895195007928941E-3</v>
      </c>
    </row>
    <row r="5" spans="1:26" ht="18" thickTop="1" thickBot="1">
      <c r="A5" s="71" t="s">
        <v>37</v>
      </c>
      <c r="B5" s="72">
        <v>-0.40396535511111115</v>
      </c>
      <c r="C5" s="72">
        <v>-0.14814902897277774</v>
      </c>
      <c r="D5" s="72">
        <f>AVERAGE(B5:C5)</f>
        <v>-0.27605719204194445</v>
      </c>
      <c r="E5" s="72">
        <v>41.949257311111111</v>
      </c>
      <c r="F5" s="72">
        <f t="shared" si="4"/>
        <v>-0.25581632613833338</v>
      </c>
      <c r="G5" s="68">
        <f t="shared" ref="G5:H8" si="5">(B5/1000+1)*0.0036765</f>
        <v>3.6750148213719339E-3</v>
      </c>
      <c r="H5" s="68">
        <f t="shared" si="5"/>
        <v>3.6759553300949816E-3</v>
      </c>
      <c r="I5" s="68">
        <f t="shared" ref="I5:I8" si="6">(E5/1000+1)*0.0020052</f>
        <v>2.0893166507602399E-3</v>
      </c>
      <c r="J5" s="68">
        <f t="shared" ref="J5:J8" si="7">(I5/0.0020052)^0.516*0.0003799</f>
        <v>3.8804145413997107E-4</v>
      </c>
      <c r="K5" s="69">
        <f t="shared" ref="K5:K8" si="8">G5+H5+J5</f>
        <v>7.7390116056068863E-3</v>
      </c>
      <c r="L5" s="69">
        <f t="shared" ref="L5:L8" si="9">(G5+H5)*J5+I5+G5*H5</f>
        <v>2.1056783222279545E-3</v>
      </c>
      <c r="M5" s="70">
        <f>K5/size_correction!X$3</f>
        <v>0.99973991247556415</v>
      </c>
      <c r="N5" s="70">
        <f>L5/size_correction!Y$3</f>
        <v>1.0020859042591113</v>
      </c>
      <c r="P5" s="109" t="str">
        <f>size_correction!D5</f>
        <v>B6_ref_1</v>
      </c>
      <c r="Q5" s="109">
        <f>size_correction!AF5</f>
        <v>1.0003832772874761</v>
      </c>
      <c r="R5" s="109">
        <f>size_correction!AG5</f>
        <v>1.0043106480077921</v>
      </c>
      <c r="S5" s="71">
        <f t="shared" si="0"/>
        <v>0.99973991247556415</v>
      </c>
      <c r="T5" s="71">
        <f t="shared" si="0"/>
        <v>1.0020859042591113</v>
      </c>
      <c r="U5" s="70">
        <f t="shared" si="1"/>
        <v>3.8320385549917295E-4</v>
      </c>
      <c r="V5" s="70">
        <f t="shared" si="2"/>
        <v>4.3013837783483656E-3</v>
      </c>
      <c r="W5" s="70">
        <f t="shared" si="3"/>
        <v>-2.6012135306176113E-4</v>
      </c>
      <c r="X5" s="70">
        <f t="shared" si="3"/>
        <v>2.0837317813513596E-3</v>
      </c>
    </row>
    <row r="6" spans="1:26" ht="18" thickTop="1" thickBot="1">
      <c r="A6" s="71" t="s">
        <v>176</v>
      </c>
      <c r="B6" s="72">
        <v>-22.21</v>
      </c>
      <c r="C6" s="72">
        <v>-49.28</v>
      </c>
      <c r="D6" s="72">
        <f t="shared" ref="D6:D8" si="10">AVERAGE(B6:C6)</f>
        <v>-35.745000000000005</v>
      </c>
      <c r="E6" s="72">
        <v>26.94</v>
      </c>
      <c r="F6" s="72">
        <f t="shared" si="4"/>
        <v>27.07</v>
      </c>
      <c r="G6" s="68">
        <f t="shared" si="5"/>
        <v>3.5948449350000004E-3</v>
      </c>
      <c r="H6" s="68">
        <f t="shared" si="5"/>
        <v>3.49532208E-3</v>
      </c>
      <c r="I6" s="68">
        <f t="shared" si="6"/>
        <v>2.0592200879999997E-3</v>
      </c>
      <c r="J6" s="68">
        <f t="shared" si="7"/>
        <v>3.8514702697154833E-4</v>
      </c>
      <c r="K6" s="69">
        <f t="shared" si="8"/>
        <v>7.4753140419715489E-3</v>
      </c>
      <c r="L6" s="69">
        <f t="shared" si="9"/>
        <v>2.0745159856220404E-3</v>
      </c>
      <c r="M6" s="70">
        <f>K6/size_correction!X$3</f>
        <v>0.96567497077192166</v>
      </c>
      <c r="N6" s="70">
        <f>L6/size_correction!Y$3</f>
        <v>0.98725584312065418</v>
      </c>
      <c r="P6" s="109" t="str">
        <f>size_correction!D6</f>
        <v>ATM_EQ_SW_1</v>
      </c>
      <c r="Q6" s="109">
        <f>size_correction!AF6</f>
        <v>1.0064059824102283</v>
      </c>
      <c r="R6" s="109">
        <f>size_correction!AG6</f>
        <v>1.0077071570383731</v>
      </c>
      <c r="S6" s="71">
        <f t="shared" ref="S6:T8" si="11">M3</f>
        <v>1.0059496767117579</v>
      </c>
      <c r="T6" s="71">
        <f t="shared" si="11"/>
        <v>1.0044225086731247</v>
      </c>
      <c r="U6" s="70">
        <f t="shared" si="1"/>
        <v>6.3855513126554056E-3</v>
      </c>
      <c r="V6" s="70">
        <f t="shared" si="2"/>
        <v>7.6776086292741075E-3</v>
      </c>
      <c r="W6" s="70">
        <f t="shared" si="3"/>
        <v>5.9320472770020231E-3</v>
      </c>
      <c r="X6" s="70">
        <f t="shared" si="3"/>
        <v>4.412758119012896E-3</v>
      </c>
    </row>
    <row r="7" spans="1:26" ht="18" thickTop="1" thickBot="1">
      <c r="A7" s="71" t="s">
        <v>177</v>
      </c>
      <c r="B7" s="72">
        <v>1.71</v>
      </c>
      <c r="C7" s="72">
        <v>94.44</v>
      </c>
      <c r="D7" s="72">
        <f t="shared" si="10"/>
        <v>48.074999999999996</v>
      </c>
      <c r="E7" s="72">
        <v>36.01</v>
      </c>
      <c r="F7" s="72">
        <f t="shared" si="4"/>
        <v>-92.73</v>
      </c>
      <c r="G7" s="68">
        <f>(B7/1000+1)*0.0036765</f>
        <v>3.6827868150000006E-3</v>
      </c>
      <c r="H7" s="68">
        <f t="shared" si="5"/>
        <v>4.0237086600000008E-3</v>
      </c>
      <c r="I7" s="68">
        <f t="shared" si="6"/>
        <v>2.0774072520000002E-3</v>
      </c>
      <c r="J7" s="68">
        <f t="shared" si="7"/>
        <v>3.8689853960154226E-4</v>
      </c>
      <c r="K7" s="69">
        <f t="shared" si="8"/>
        <v>8.0933940146015442E-3</v>
      </c>
      <c r="L7" s="69">
        <f t="shared" si="9"/>
        <v>2.0952073450451725E-3</v>
      </c>
      <c r="M7" s="70">
        <f>K7/size_correction!X$3</f>
        <v>1.0455196911613225</v>
      </c>
      <c r="N7" s="70">
        <f>L7/size_correction!Y$3</f>
        <v>0.99710279808951241</v>
      </c>
      <c r="P7" s="109" t="str">
        <f>size_correction!D7</f>
        <v>S2_ref_2</v>
      </c>
      <c r="Q7" s="109">
        <f>size_correction!AF7</f>
        <v>0.99663201609671503</v>
      </c>
      <c r="R7" s="109">
        <f>size_correction!AG7</f>
        <v>0.9951628615034982</v>
      </c>
      <c r="S7" s="71">
        <f t="shared" si="11"/>
        <v>0.99629623559207692</v>
      </c>
      <c r="T7" s="71">
        <f t="shared" si="11"/>
        <v>0.99323347721175648</v>
      </c>
      <c r="U7" s="70">
        <f t="shared" si="1"/>
        <v>-3.3736683280273967E-3</v>
      </c>
      <c r="V7" s="70">
        <f t="shared" si="2"/>
        <v>-4.8488753146248009E-3</v>
      </c>
      <c r="W7" s="70">
        <f t="shared" si="3"/>
        <v>-3.7106403264231301E-3</v>
      </c>
      <c r="X7" s="70">
        <f t="shared" si="3"/>
        <v>-6.7895195007928941E-3</v>
      </c>
    </row>
    <row r="8" spans="1:26" ht="18" thickTop="1" thickBot="1">
      <c r="A8" s="71" t="s">
        <v>178</v>
      </c>
      <c r="B8" s="72">
        <v>17.11</v>
      </c>
      <c r="C8" s="72">
        <v>-3.43</v>
      </c>
      <c r="D8" s="72">
        <f t="shared" si="10"/>
        <v>6.84</v>
      </c>
      <c r="E8" s="72">
        <v>35.29</v>
      </c>
      <c r="F8" s="72">
        <f t="shared" si="4"/>
        <v>20.54</v>
      </c>
      <c r="G8" s="68">
        <f t="shared" si="5"/>
        <v>3.7394049149999998E-3</v>
      </c>
      <c r="H8" s="68">
        <f t="shared" si="5"/>
        <v>3.6638896049999998E-3</v>
      </c>
      <c r="I8" s="68">
        <f t="shared" si="6"/>
        <v>2.0759635080000003E-3</v>
      </c>
      <c r="J8" s="68">
        <f t="shared" si="7"/>
        <v>3.8675977189798279E-4</v>
      </c>
      <c r="K8" s="69">
        <f t="shared" si="8"/>
        <v>7.7900542918979817E-3</v>
      </c>
      <c r="L8" s="69">
        <f t="shared" si="9"/>
        <v>2.0925275712968031E-3</v>
      </c>
      <c r="M8" s="70">
        <f>K8/size_correction!X$3</f>
        <v>1.0063337016214813</v>
      </c>
      <c r="N8" s="70">
        <f>L8/size_correction!Y$3</f>
        <v>0.99582750191939118</v>
      </c>
      <c r="P8" s="109" t="str">
        <f>size_correction!D8</f>
        <v>B6_ref_2</v>
      </c>
      <c r="Q8" s="109">
        <f>size_correction!AF8</f>
        <v>0.99917068284195976</v>
      </c>
      <c r="R8" s="109">
        <f>size_correction!AG8</f>
        <v>1.0023860907979212</v>
      </c>
      <c r="S8" s="71">
        <f t="shared" si="11"/>
        <v>0.99973991247556415</v>
      </c>
      <c r="T8" s="71">
        <f t="shared" si="11"/>
        <v>1.0020859042591113</v>
      </c>
      <c r="U8" s="70">
        <f t="shared" si="1"/>
        <v>-8.2966123175853173E-4</v>
      </c>
      <c r="V8" s="70">
        <f t="shared" si="2"/>
        <v>2.3832486035312902E-3</v>
      </c>
      <c r="W8" s="70">
        <f t="shared" si="3"/>
        <v>-2.6012135306176113E-4</v>
      </c>
      <c r="X8" s="70">
        <f t="shared" si="3"/>
        <v>2.0837317813513596E-3</v>
      </c>
    </row>
    <row r="9" spans="1:26" ht="18" thickTop="1" thickBot="1">
      <c r="B9" s="62"/>
      <c r="C9" s="62"/>
      <c r="D9" s="37"/>
      <c r="E9" s="37"/>
      <c r="F9" s="37"/>
      <c r="G9" s="37"/>
      <c r="H9" s="37"/>
      <c r="I9" s="63"/>
      <c r="J9" s="63"/>
      <c r="K9" s="63"/>
      <c r="L9" s="63"/>
      <c r="M9" s="67"/>
      <c r="N9" s="67"/>
      <c r="P9" s="109" t="str">
        <f>size_correction!D9</f>
        <v>ATM_EQ_SW_2</v>
      </c>
      <c r="Q9" s="109">
        <f>size_correction!AF9</f>
        <v>1.0050941512728657</v>
      </c>
      <c r="R9" s="109">
        <f>size_correction!AG9</f>
        <v>1.0057116133646442</v>
      </c>
      <c r="S9" s="71">
        <f>M3</f>
        <v>1.0059496767117579</v>
      </c>
      <c r="T9" s="71">
        <f>N3</f>
        <v>1.0044225086731247</v>
      </c>
      <c r="U9" s="70">
        <f t="shared" si="1"/>
        <v>5.0812199816469847E-3</v>
      </c>
      <c r="V9" s="70">
        <f t="shared" si="2"/>
        <v>5.6953639452707308E-3</v>
      </c>
      <c r="W9" s="70">
        <f t="shared" si="3"/>
        <v>5.9320472770020231E-3</v>
      </c>
      <c r="X9" s="70">
        <f t="shared" si="3"/>
        <v>4.412758119012896E-3</v>
      </c>
    </row>
    <row r="10" spans="1:26" ht="18" thickTop="1" thickBot="1">
      <c r="A10" s="65"/>
      <c r="B10" s="65"/>
      <c r="C10" s="65"/>
      <c r="D10" s="37"/>
      <c r="E10" s="65"/>
      <c r="F10" s="64"/>
      <c r="G10" s="64"/>
      <c r="H10" s="37"/>
      <c r="I10" s="65"/>
      <c r="J10" s="64"/>
      <c r="M10" s="65"/>
      <c r="N10" s="65"/>
      <c r="O10" s="65"/>
      <c r="P10" s="109" t="str">
        <f>size_correction!D10</f>
        <v>DI</v>
      </c>
      <c r="Q10" s="109">
        <f>size_correction!AF10</f>
        <v>0.99092722925764687</v>
      </c>
      <c r="R10" s="109">
        <f>size_correction!AG10</f>
        <v>1.0049378092932522</v>
      </c>
      <c r="S10" s="71"/>
      <c r="T10" s="71"/>
      <c r="U10" s="70">
        <f t="shared" si="1"/>
        <v>-9.1141789753790732E-3</v>
      </c>
      <c r="V10" s="70">
        <f t="shared" si="2"/>
        <v>4.9256582960658154E-3</v>
      </c>
      <c r="W10" s="70"/>
      <c r="X10" s="70"/>
    </row>
    <row r="11" spans="1:26" ht="18" thickTop="1" thickBot="1">
      <c r="L11" s="65"/>
      <c r="M11" s="65"/>
      <c r="P11" s="109" t="str">
        <f>size_correction!D11</f>
        <v>ATM_EQ_SW_1</v>
      </c>
      <c r="Q11" s="109">
        <f>size_correction!AF11</f>
        <v>1.0057192814133826</v>
      </c>
      <c r="R11" s="109">
        <f>size_correction!AG11</f>
        <v>1.0054625917600983</v>
      </c>
      <c r="S11" s="71">
        <f t="shared" ref="S11:T13" si="12">M3</f>
        <v>1.0059496767117579</v>
      </c>
      <c r="T11" s="71">
        <f t="shared" si="12"/>
        <v>1.0044225086731247</v>
      </c>
      <c r="U11" s="70">
        <f t="shared" si="1"/>
        <v>5.7029884167436144E-3</v>
      </c>
      <c r="V11" s="70">
        <f t="shared" si="2"/>
        <v>5.4477259185061388E-3</v>
      </c>
      <c r="W11" s="70">
        <f t="shared" ref="W11:X16" si="13">LN(S11)</f>
        <v>5.9320472770020231E-3</v>
      </c>
      <c r="X11" s="70">
        <f t="shared" si="13"/>
        <v>4.412758119012896E-3</v>
      </c>
    </row>
    <row r="12" spans="1:26" s="41" customFormat="1" ht="18" thickTop="1" thickBot="1">
      <c r="M12" s="65"/>
      <c r="P12" s="109" t="str">
        <f>size_correction!D12</f>
        <v>S2_ref_1</v>
      </c>
      <c r="Q12" s="109">
        <f>size_correction!AF12</f>
        <v>0.99641187878361481</v>
      </c>
      <c r="R12" s="109">
        <f>size_correction!AG12</f>
        <v>0.99378130442821833</v>
      </c>
      <c r="S12" s="71">
        <f t="shared" si="12"/>
        <v>0.99629623559207692</v>
      </c>
      <c r="T12" s="71">
        <f t="shared" si="12"/>
        <v>0.99323347721175648</v>
      </c>
      <c r="U12" s="70">
        <f t="shared" si="1"/>
        <v>-3.5945739634335372E-3</v>
      </c>
      <c r="V12" s="70">
        <f t="shared" si="2"/>
        <v>-6.2381121983366193E-3</v>
      </c>
      <c r="W12" s="70">
        <f t="shared" si="13"/>
        <v>-3.7106403264231301E-3</v>
      </c>
      <c r="X12" s="70">
        <f t="shared" si="13"/>
        <v>-6.7895195007928941E-3</v>
      </c>
      <c r="Y12"/>
      <c r="Z12"/>
    </row>
    <row r="13" spans="1:26" ht="18" thickTop="1" thickBot="1">
      <c r="P13" s="109" t="str">
        <f>size_correction!D13</f>
        <v>B6_ref_1</v>
      </c>
      <c r="Q13" s="109">
        <f>size_correction!AF13</f>
        <v>1.0001796848444418</v>
      </c>
      <c r="R13" s="109">
        <f>size_correction!AG13</f>
        <v>1.0040343543858852</v>
      </c>
      <c r="S13" s="71">
        <f t="shared" si="12"/>
        <v>0.99973991247556415</v>
      </c>
      <c r="T13" s="71">
        <f t="shared" si="12"/>
        <v>1.0020859042591113</v>
      </c>
      <c r="U13" s="70">
        <f t="shared" si="1"/>
        <v>1.7966870305363727E-4</v>
      </c>
      <c r="V13" s="70">
        <f t="shared" si="2"/>
        <v>4.0262381999534996E-3</v>
      </c>
      <c r="W13" s="70">
        <f t="shared" si="13"/>
        <v>-2.6012135306176113E-4</v>
      </c>
      <c r="X13" s="70">
        <f t="shared" si="13"/>
        <v>2.0837317813513596E-3</v>
      </c>
    </row>
    <row r="14" spans="1:26" ht="18" thickTop="1" thickBot="1">
      <c r="P14" s="109" t="str">
        <f>size_correction!D14</f>
        <v>ATM_EQ_SW_2</v>
      </c>
      <c r="Q14" s="109">
        <f>size_correction!AF14</f>
        <v>1.0048805539160894</v>
      </c>
      <c r="R14" s="109">
        <f>size_correction!AG14</f>
        <v>1.0053599727245706</v>
      </c>
      <c r="S14" s="71">
        <f>M3</f>
        <v>1.0059496767117579</v>
      </c>
      <c r="T14" s="71">
        <f>N3</f>
        <v>1.0044225086731247</v>
      </c>
      <c r="U14" s="70">
        <f t="shared" si="1"/>
        <v>4.8686826228146419E-3</v>
      </c>
      <c r="V14" s="70">
        <f t="shared" si="2"/>
        <v>5.3456591947391319E-3</v>
      </c>
      <c r="W14" s="70">
        <f t="shared" si="13"/>
        <v>5.9320472770020231E-3</v>
      </c>
      <c r="X14" s="70">
        <f t="shared" si="13"/>
        <v>4.412758119012896E-3</v>
      </c>
    </row>
    <row r="15" spans="1:26" ht="18" thickTop="1" thickBot="1">
      <c r="P15" s="109" t="str">
        <f>size_correction!D15</f>
        <v>ATM_EQ_SW_3</v>
      </c>
      <c r="Q15" s="109">
        <f>size_correction!AF15</f>
        <v>1.0056387310168626</v>
      </c>
      <c r="R15" s="109">
        <f>size_correction!AG15</f>
        <v>1.0064676550191509</v>
      </c>
      <c r="S15" s="71">
        <f>M3</f>
        <v>1.0059496767117579</v>
      </c>
      <c r="T15" s="71">
        <f>N3</f>
        <v>1.0044225086731247</v>
      </c>
      <c r="U15" s="70">
        <f t="shared" si="1"/>
        <v>5.6228928832132777E-3</v>
      </c>
      <c r="V15" s="70">
        <f t="shared" si="2"/>
        <v>6.446829485110093E-3</v>
      </c>
      <c r="W15" s="70">
        <f t="shared" si="13"/>
        <v>5.9320472770020231E-3</v>
      </c>
      <c r="X15" s="70">
        <f t="shared" si="13"/>
        <v>4.412758119012896E-3</v>
      </c>
    </row>
    <row r="16" spans="1:26" ht="18" thickTop="1" thickBot="1">
      <c r="P16" s="109" t="str">
        <f>size_correction!D16</f>
        <v>S2_ref_2</v>
      </c>
      <c r="Q16" s="109">
        <f>size_correction!AF16</f>
        <v>0.99633327484903467</v>
      </c>
      <c r="R16" s="109">
        <f>size_correction!AG16</f>
        <v>0.99474403428411884</v>
      </c>
      <c r="S16" s="71">
        <f>M4</f>
        <v>0.99629623559207692</v>
      </c>
      <c r="T16" s="71">
        <f>N4</f>
        <v>0.99323347721175648</v>
      </c>
      <c r="U16" s="70">
        <f t="shared" si="1"/>
        <v>-3.6734640658408848E-3</v>
      </c>
      <c r="V16" s="70">
        <f t="shared" si="2"/>
        <v>-5.2698268942697113E-3</v>
      </c>
      <c r="W16" s="70">
        <f t="shared" si="13"/>
        <v>-3.7106403264231301E-3</v>
      </c>
      <c r="X16" s="70">
        <f t="shared" si="13"/>
        <v>-6.7895195007928941E-3</v>
      </c>
    </row>
    <row r="17" spans="4:24" ht="18" thickTop="1" thickBot="1">
      <c r="P17" s="109" t="str">
        <f>size_correction!D17</f>
        <v>DI</v>
      </c>
      <c r="Q17" s="109">
        <f>size_correction!AF17</f>
        <v>0.99349493237592013</v>
      </c>
      <c r="R17" s="109">
        <f>size_correction!AG17</f>
        <v>1.0044001925480899</v>
      </c>
      <c r="S17" s="71"/>
      <c r="T17" s="71"/>
      <c r="U17" s="70">
        <f t="shared" si="1"/>
        <v>-6.5263177824188435E-3</v>
      </c>
      <c r="V17" s="70">
        <f t="shared" si="2"/>
        <v>4.3905400058642007E-3</v>
      </c>
      <c r="W17" s="70"/>
      <c r="X17" s="70"/>
    </row>
    <row r="18" spans="4:24" ht="17" thickTop="1"/>
    <row r="28" spans="4:24">
      <c r="D28" s="65"/>
      <c r="E28" s="66"/>
    </row>
    <row r="29" spans="4:24">
      <c r="D29" s="65"/>
      <c r="E29" s="66"/>
    </row>
    <row r="30" spans="4:24">
      <c r="D30" s="65"/>
      <c r="E30" s="66"/>
    </row>
    <row r="31" spans="4:24">
      <c r="D31" s="65"/>
      <c r="E31" s="66"/>
    </row>
    <row r="32" spans="4:24">
      <c r="D32" s="65"/>
      <c r="E32" s="66"/>
    </row>
    <row r="33" spans="4:5">
      <c r="D33" s="65"/>
      <c r="E33" s="66"/>
    </row>
    <row r="34" spans="4:5">
      <c r="D34" s="65"/>
      <c r="E34" s="66"/>
    </row>
    <row r="35" spans="4:5">
      <c r="D35" s="65"/>
      <c r="E35" s="66"/>
    </row>
    <row r="36" spans="4:5">
      <c r="D36" s="65"/>
      <c r="E36" s="66"/>
    </row>
    <row r="37" spans="4:5">
      <c r="D37" s="65"/>
      <c r="E37" s="66"/>
    </row>
    <row r="38" spans="4:5">
      <c r="D38" s="65"/>
      <c r="E38" s="66"/>
    </row>
    <row r="39" spans="4:5">
      <c r="D39" s="65"/>
      <c r="E39" s="66"/>
    </row>
    <row r="40" spans="4:5">
      <c r="D40" s="65"/>
      <c r="E40" s="66"/>
    </row>
    <row r="41" spans="4:5">
      <c r="D41" s="65"/>
      <c r="E41" s="66"/>
    </row>
    <row r="42" spans="4:5">
      <c r="D42" s="65"/>
      <c r="E42" s="66"/>
    </row>
    <row r="43" spans="4:5">
      <c r="D43" s="65"/>
      <c r="E43" s="66"/>
    </row>
    <row r="44" spans="4:5">
      <c r="D44" s="65"/>
      <c r="E44" s="66"/>
    </row>
    <row r="45" spans="4:5">
      <c r="D45" s="65"/>
      <c r="E45" s="66"/>
    </row>
    <row r="46" spans="4:5">
      <c r="D46" s="65"/>
      <c r="E46" s="66"/>
    </row>
    <row r="47" spans="4:5">
      <c r="D47" s="65"/>
      <c r="E47" s="66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5"/>
  <sheetViews>
    <sheetView workbookViewId="0">
      <selection activeCell="E29" sqref="E29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181</v>
      </c>
    </row>
    <row r="2" spans="1:25">
      <c r="A2" s="1" t="s">
        <v>182</v>
      </c>
      <c r="M2" t="s">
        <v>126</v>
      </c>
      <c r="N2">
        <v>3.7990000000000002E-4</v>
      </c>
      <c r="O2" s="24" t="s">
        <v>127</v>
      </c>
      <c r="P2" s="24"/>
      <c r="Q2" s="24"/>
      <c r="R2" s="81"/>
      <c r="S2" s="81"/>
    </row>
    <row r="3" spans="1:25">
      <c r="A3" s="1"/>
      <c r="M3" t="s">
        <v>128</v>
      </c>
      <c r="N3">
        <v>2.0052E-3</v>
      </c>
      <c r="R3" s="81"/>
      <c r="S3" s="81"/>
    </row>
    <row r="4" spans="1:25">
      <c r="A4" s="125" t="s">
        <v>174</v>
      </c>
      <c r="B4" s="125"/>
      <c r="C4" s="125"/>
      <c r="D4" s="125"/>
      <c r="E4" s="125"/>
      <c r="F4" s="125"/>
      <c r="G4" s="126" t="s">
        <v>175</v>
      </c>
      <c r="H4" s="126"/>
      <c r="I4" s="126"/>
      <c r="J4" s="126"/>
      <c r="K4" s="126"/>
      <c r="L4" s="126"/>
      <c r="M4" t="s">
        <v>129</v>
      </c>
      <c r="N4">
        <v>0.51600000000000001</v>
      </c>
      <c r="R4" s="81"/>
      <c r="S4" s="81"/>
    </row>
    <row r="5" spans="1:25" s="1" customFormat="1" ht="25" customHeight="1">
      <c r="A5" s="1" t="s">
        <v>130</v>
      </c>
      <c r="B5" s="1" t="s">
        <v>131</v>
      </c>
      <c r="C5" s="1" t="s">
        <v>133</v>
      </c>
      <c r="D5" s="1" t="s">
        <v>134</v>
      </c>
      <c r="E5" s="1" t="s">
        <v>140</v>
      </c>
      <c r="F5" s="111" t="s">
        <v>141</v>
      </c>
      <c r="G5" s="1" t="s">
        <v>135</v>
      </c>
      <c r="H5" s="1" t="s">
        <v>136</v>
      </c>
      <c r="I5" s="1" t="s">
        <v>138</v>
      </c>
      <c r="J5" s="1" t="s">
        <v>139</v>
      </c>
      <c r="K5" s="1" t="s">
        <v>143</v>
      </c>
      <c r="L5" s="111" t="s">
        <v>144</v>
      </c>
      <c r="M5" s="111" t="s">
        <v>142</v>
      </c>
      <c r="N5" s="111" t="s">
        <v>145</v>
      </c>
      <c r="O5" s="1" t="s">
        <v>132</v>
      </c>
      <c r="P5" s="1" t="s">
        <v>137</v>
      </c>
      <c r="Q5" s="111" t="s">
        <v>94</v>
      </c>
      <c r="R5" s="111" t="s">
        <v>95</v>
      </c>
      <c r="V5" s="111"/>
      <c r="Y5" s="111"/>
    </row>
    <row r="6" spans="1:25">
      <c r="A6" s="71">
        <v>3.73422105E-3</v>
      </c>
      <c r="B6" s="71">
        <v>3.6643675499999999E-3</v>
      </c>
      <c r="C6" s="71">
        <v>3.7689117349450109E-3</v>
      </c>
      <c r="D6" s="71">
        <v>7.7934998191650307E-3</v>
      </c>
      <c r="E6" s="110">
        <v>2.1164798861162191E-3</v>
      </c>
      <c r="F6" s="71">
        <v>0</v>
      </c>
      <c r="G6" s="71">
        <v>3.6750148213719339E-3</v>
      </c>
      <c r="H6" s="71">
        <v>3.6759553300949816E-3</v>
      </c>
      <c r="I6" s="71">
        <v>3.7228017752489761E-3</v>
      </c>
      <c r="J6" s="71">
        <v>7.7441640342372194E-3</v>
      </c>
      <c r="K6" s="110">
        <v>2.109788966545483E-3</v>
      </c>
      <c r="L6" s="71">
        <v>0</v>
      </c>
      <c r="M6" s="70" cm="1">
        <f t="array" ref="M6">Rsolve18(E6,10,D6,E6,F6,$N$4,$N$3,$N$2)</f>
        <v>2.0998927031414612E-3</v>
      </c>
      <c r="N6" s="70" cm="1">
        <f t="array" ref="N6">Rsolve18(K6,10,J6,K6,L6,$N$4,$N$3,$N$2)</f>
        <v>2.0934050628434882E-3</v>
      </c>
      <c r="O6" s="70">
        <f>$N$2*(M6/$N$3)^$N$4</f>
        <v>3.8905377024749663E-4</v>
      </c>
      <c r="P6" s="70">
        <f>$N$2*(N6/$N$3)^$N$4</f>
        <v>3.8843308121852137E-4</v>
      </c>
      <c r="Q6" s="88">
        <f>(A6+R6*B6+A6*B6-(C6-O6)*(1+(1-R6)*B6))/(A6*(1+C6-O6))</f>
        <v>0.20872209614007559</v>
      </c>
      <c r="R6" s="88">
        <f>((A6-C6+O6)*(1+B6)/(A6*(1+C6-O6)) - (G6-I6+P6)*(1+H6)/(G6*(1+I6-P6)))/(H6/G6-B6/A6)</f>
        <v>0.1159684103244177</v>
      </c>
    </row>
    <row r="7" spans="1:25">
      <c r="A7" s="71">
        <v>3.73422105E-3</v>
      </c>
      <c r="B7" s="71">
        <v>3.6643675499999999E-3</v>
      </c>
      <c r="C7" s="71">
        <v>3.7689117349450109E-3</v>
      </c>
      <c r="D7" s="71">
        <v>7.7934998191650307E-3</v>
      </c>
      <c r="E7" s="110">
        <v>2.1164798861162191E-3</v>
      </c>
      <c r="F7" s="71">
        <v>0</v>
      </c>
      <c r="G7" s="71">
        <v>3.6750148213719339E-3</v>
      </c>
      <c r="H7" s="71">
        <v>3.6759553300949816E-3</v>
      </c>
      <c r="I7" s="71">
        <v>3.7199285353648262E-3</v>
      </c>
      <c r="J7" s="71">
        <v>7.7342329865834319E-3</v>
      </c>
      <c r="K7" s="110">
        <v>2.105997079923158E-3</v>
      </c>
      <c r="L7" s="71">
        <v>0</v>
      </c>
      <c r="M7" s="70" cm="1">
        <f t="array" ref="M7">Rsolve18(E7,10,D7,E7,F7,$N$4,$N$3,$N$2)</f>
        <v>2.0998927031414612E-3</v>
      </c>
      <c r="N7" s="70" cm="1">
        <f t="array" ref="N7">Rsolve18(K7,10,J7,K7,L7,$N$4,$N$3,$N$2)</f>
        <v>2.0896547141455901E-3</v>
      </c>
      <c r="O7" s="70">
        <f>$N$2*(M7/$N$3)^$N$4</f>
        <v>3.8905377024749663E-4</v>
      </c>
      <c r="P7" s="70">
        <f>$N$2*(N7/$N$3)^$N$4</f>
        <v>3.8807385113215798E-4</v>
      </c>
      <c r="Q7" s="88">
        <f>(A7+R7*B7+A7*B7-(C7-O7)*(1+(1-R7)*B7))/(A7*(1+C7-O7))</f>
        <v>0.17329677501906443</v>
      </c>
      <c r="R7" s="88">
        <f>((A7-C7+O7)*(1+B7)/(A7*(1+C7-O7)) - (G7-I7+P7)*(1+H7)/(G7*(1+I7-P7)))/(H7/G7-B7/A7)</f>
        <v>7.9867779580351114E-2</v>
      </c>
    </row>
    <row r="8" spans="1:25">
      <c r="A8" s="71">
        <v>3.73422105E-3</v>
      </c>
      <c r="B8" s="71">
        <v>3.6643675499999999E-3</v>
      </c>
      <c r="C8" s="71">
        <v>3.770760540076305E-3</v>
      </c>
      <c r="D8" s="71">
        <v>7.7827523186501267E-3</v>
      </c>
      <c r="E8" s="71">
        <v>2.1125489546459449E-3</v>
      </c>
      <c r="F8" s="71">
        <v>0</v>
      </c>
      <c r="G8" s="71">
        <v>3.6750148213719339E-3</v>
      </c>
      <c r="H8" s="71">
        <v>3.6759553300949816E-3</v>
      </c>
      <c r="I8" s="71">
        <v>3.7228017752489761E-3</v>
      </c>
      <c r="J8" s="71">
        <v>7.7441640342372194E-3</v>
      </c>
      <c r="K8" s="71">
        <v>2.109788966545483E-3</v>
      </c>
      <c r="L8" s="71">
        <v>0</v>
      </c>
      <c r="M8" s="70" cm="1">
        <f t="array" ref="M8">Rsolve18(E8,10,D8,E8,F8,$N$4,$N$3,$N$2)</f>
        <v>2.096006943235472E-3</v>
      </c>
      <c r="N8" s="70" cm="1">
        <f t="array" ref="N8">Rsolve18(K8,10,J8,K8,L8,$N$4,$N$3,$N$2)</f>
        <v>2.0934050628434882E-3</v>
      </c>
      <c r="O8" s="70">
        <f t="shared" ref="O8:O12" si="0">$N$2*(M8/$N$3)^$N$4</f>
        <v>3.8868212138784054E-4</v>
      </c>
      <c r="P8" s="70">
        <f t="shared" ref="P8:P12" si="1">$N$2*(N8/$N$3)^$N$4</f>
        <v>3.8843308121852137E-4</v>
      </c>
      <c r="Q8" s="88">
        <f t="shared" ref="Q8:Q12" si="2">(A8+R8*B8+A8*B8-(C8-O8)*(1+(1-R8)*B8))/(A8*(1+C8-O8))</f>
        <v>0.17733587859609368</v>
      </c>
      <c r="R8" s="88">
        <f t="shared" ref="R8:R12" si="3">((A8-C8+O8)*(1+B8)/(A8*(1+C8-O8)) - (G8-I8+P8)*(1+H8)/(G8*(1+I8-P8)))/(H8/G8-B8/A8)</f>
        <v>8.4590223076979915E-2</v>
      </c>
    </row>
    <row r="9" spans="1:25">
      <c r="A9" s="71">
        <v>3.73422105E-3</v>
      </c>
      <c r="B9" s="71">
        <v>3.6643675499999999E-3</v>
      </c>
      <c r="C9" s="71">
        <v>3.770760540076305E-3</v>
      </c>
      <c r="D9" s="71">
        <v>7.7827523186501267E-3</v>
      </c>
      <c r="E9" s="71">
        <v>2.1125489546459449E-3</v>
      </c>
      <c r="F9" s="71">
        <v>0</v>
      </c>
      <c r="G9" s="71">
        <v>3.6750148213719339E-3</v>
      </c>
      <c r="H9" s="71">
        <v>3.6759553300949816E-3</v>
      </c>
      <c r="I9" s="71">
        <v>3.7199285353648262E-3</v>
      </c>
      <c r="J9" s="71">
        <v>7.7342329865834319E-3</v>
      </c>
      <c r="K9" s="71">
        <v>2.105997079923158E-3</v>
      </c>
      <c r="L9" s="71">
        <v>0</v>
      </c>
      <c r="M9" s="70" cm="1">
        <f t="array" ref="M9">Rsolve18(E9,10,D9,E9,F9,$N$4,$N$3,$N$2)</f>
        <v>2.096006943235472E-3</v>
      </c>
      <c r="N9" s="70" cm="1">
        <f t="array" ref="N9">Rsolve18(K9,10,J9,K9,L9,$N$4,$N$3,$N$2)</f>
        <v>2.0896547141455901E-3</v>
      </c>
      <c r="O9" s="70">
        <f t="shared" si="0"/>
        <v>3.8868212138784054E-4</v>
      </c>
      <c r="P9" s="70">
        <f t="shared" si="1"/>
        <v>3.8807385113215798E-4</v>
      </c>
      <c r="Q9" s="88">
        <f t="shared" si="2"/>
        <v>0.14191055747508233</v>
      </c>
      <c r="R9" s="88">
        <f t="shared" si="3"/>
        <v>4.8489592332913341E-2</v>
      </c>
    </row>
    <row r="10" spans="1:25">
      <c r="A10" s="71">
        <v>3.73422105E-3</v>
      </c>
      <c r="B10" s="71">
        <v>3.6643675499999999E-3</v>
      </c>
      <c r="C10" s="71">
        <v>3.774157409185728E-3</v>
      </c>
      <c r="D10" s="71">
        <v>7.7878737502717673E-3</v>
      </c>
      <c r="E10" s="71">
        <v>2.11205838421125E-3</v>
      </c>
      <c r="F10" s="71">
        <v>0</v>
      </c>
      <c r="G10" s="71">
        <v>3.6750148213719339E-3</v>
      </c>
      <c r="H10" s="71">
        <v>3.6759553300949816E-3</v>
      </c>
      <c r="I10" s="71">
        <v>3.7242631653031061E-3</v>
      </c>
      <c r="J10" s="71">
        <v>7.742496580265385E-3</v>
      </c>
      <c r="K10" s="71">
        <v>2.1092446228371492E-3</v>
      </c>
      <c r="L10" s="71">
        <v>0</v>
      </c>
      <c r="M10" s="70" cm="1">
        <f t="array" ref="M10">Rsolve18(E10,10,D10,E10,F10,$N$4,$N$3,$N$2)</f>
        <v>2.0954956035312334E-3</v>
      </c>
      <c r="N10" s="70" cm="1">
        <f t="array" ref="N10">Rsolve18(K10,10,J10,K10,L10,$N$4,$N$3,$N$2)</f>
        <v>2.0928676680247141E-3</v>
      </c>
      <c r="O10" s="70">
        <f t="shared" si="0"/>
        <v>3.886331900931322E-4</v>
      </c>
      <c r="P10" s="70">
        <f t="shared" si="1"/>
        <v>3.883816255649651E-4</v>
      </c>
      <c r="Q10" s="88">
        <f t="shared" si="2"/>
        <v>0.14994727862657609</v>
      </c>
      <c r="R10" s="88">
        <f t="shared" si="3"/>
        <v>5.7620461575761298E-2</v>
      </c>
    </row>
    <row r="11" spans="1:25">
      <c r="A11" s="71">
        <v>3.73422105E-3</v>
      </c>
      <c r="B11" s="71">
        <v>3.6643675499999999E-3</v>
      </c>
      <c r="C11" s="71">
        <v>3.7661587198913019E-3</v>
      </c>
      <c r="D11" s="71">
        <v>7.7810024465572326E-3</v>
      </c>
      <c r="E11" s="71">
        <v>2.1118562233900968E-3</v>
      </c>
      <c r="F11" s="71">
        <v>0</v>
      </c>
      <c r="G11" s="71">
        <v>3.6750148213719339E-3</v>
      </c>
      <c r="H11" s="71">
        <v>3.6759553300949816E-3</v>
      </c>
      <c r="I11" s="71">
        <v>3.7242631653031061E-3</v>
      </c>
      <c r="J11" s="71">
        <v>7.742496580265385E-3</v>
      </c>
      <c r="K11" s="71">
        <v>2.1092446228371492E-3</v>
      </c>
      <c r="L11" s="71">
        <v>0</v>
      </c>
      <c r="M11" s="70" cm="1">
        <f t="array" ref="M11">Rsolve18(E11,10,D11,E11,F11,$N$4,$N$3,$N$2)</f>
        <v>2.0953215776226782E-3</v>
      </c>
      <c r="N11" s="70" cm="1">
        <f t="array" ref="N11">Rsolve18(K11,10,J11,K11,L11,$N$4,$N$3,$N$2)</f>
        <v>2.0928676680247141E-3</v>
      </c>
      <c r="O11" s="70">
        <f t="shared" si="0"/>
        <v>3.8861653582803027E-4</v>
      </c>
      <c r="P11" s="70">
        <f t="shared" si="1"/>
        <v>3.883816255649651E-4</v>
      </c>
      <c r="Q11" s="88">
        <f t="shared" si="2"/>
        <v>0.26277357755180591</v>
      </c>
      <c r="R11" s="88">
        <f t="shared" si="3"/>
        <v>0.17041789341507743</v>
      </c>
    </row>
    <row r="12" spans="1:25">
      <c r="A12" s="71">
        <v>3.73422105E-3</v>
      </c>
      <c r="B12" s="71">
        <v>3.6643675499999999E-3</v>
      </c>
      <c r="C12" s="71">
        <v>3.7730126315774341E-3</v>
      </c>
      <c r="D12" s="71">
        <v>7.7872138239604956E-3</v>
      </c>
      <c r="E12" s="71">
        <v>2.114038303996214E-3</v>
      </c>
      <c r="F12" s="71">
        <v>0</v>
      </c>
      <c r="G12" s="71">
        <v>3.6750148213719339E-3</v>
      </c>
      <c r="H12" s="71">
        <v>3.6759553300949816E-3</v>
      </c>
      <c r="I12" s="71">
        <v>3.7242631653031061E-3</v>
      </c>
      <c r="J12" s="71">
        <v>7.742496580265385E-3</v>
      </c>
      <c r="K12" s="71">
        <v>2.1092446228371492E-3</v>
      </c>
      <c r="L12" s="71">
        <v>0</v>
      </c>
      <c r="M12" s="70" cm="1">
        <f t="array" ref="M12">Rsolve18(E12,10,D12,E12,F12,$N$4,$N$3,$N$2)</f>
        <v>2.0974775933835267E-3</v>
      </c>
      <c r="N12" s="70" cm="1">
        <f t="array" ref="N12">Rsolve18(K12,10,J12,K12,L12,$N$4,$N$3,$N$2)</f>
        <v>2.0928676680247141E-3</v>
      </c>
      <c r="O12" s="70">
        <f t="shared" si="0"/>
        <v>3.888228191523488E-4</v>
      </c>
      <c r="P12" s="70">
        <f t="shared" si="1"/>
        <v>3.883816255649651E-4</v>
      </c>
      <c r="Q12" s="88">
        <f t="shared" si="2"/>
        <v>0.16880903099141051</v>
      </c>
      <c r="R12" s="88">
        <f t="shared" si="3"/>
        <v>7.6477388081454753E-2</v>
      </c>
    </row>
    <row r="14" spans="1:25">
      <c r="Q14" s="88">
        <f>AVERAGE(Q6:Q12)</f>
        <v>0.18325645634287266</v>
      </c>
      <c r="R14" s="88">
        <f>AVERAGE(R6:R12)</f>
        <v>9.0490249769565087E-2</v>
      </c>
    </row>
    <row r="15" spans="1:25">
      <c r="Q15" s="88">
        <f>STDEV(Q6:Q12)</f>
        <v>4.1096294725866948E-2</v>
      </c>
      <c r="R15" s="88">
        <f>STDEV(R6:R12)</f>
        <v>4.1283674266355812E-2</v>
      </c>
    </row>
  </sheetData>
  <mergeCells count="2">
    <mergeCell ref="A4:F4"/>
    <mergeCell ref="G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S36"/>
  <sheetViews>
    <sheetView tabSelected="1" workbookViewId="0">
      <selection activeCell="G44" sqref="G44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9">
      <c r="A1" s="1" t="s">
        <v>146</v>
      </c>
      <c r="B1" s="82"/>
      <c r="C1" s="82"/>
      <c r="D1" s="82"/>
      <c r="L1" s="83"/>
      <c r="M1" s="83"/>
      <c r="N1" s="83"/>
    </row>
    <row r="2" spans="1:19">
      <c r="A2" t="s">
        <v>147</v>
      </c>
      <c r="B2" s="84">
        <f>R12</f>
        <v>0.4623614635092998</v>
      </c>
      <c r="C2" s="82" t="s">
        <v>148</v>
      </c>
      <c r="D2" s="84">
        <f>S12</f>
        <v>0.10975712247295455</v>
      </c>
      <c r="F2" t="s">
        <v>163</v>
      </c>
      <c r="G2" s="50">
        <f>1/B2</f>
        <v>2.1628100067208269</v>
      </c>
      <c r="H2" t="s">
        <v>162</v>
      </c>
      <c r="L2" s="83"/>
      <c r="M2" s="83"/>
      <c r="N2" s="83"/>
      <c r="O2" s="8"/>
    </row>
    <row r="3" spans="1:19">
      <c r="A3" t="s">
        <v>149</v>
      </c>
      <c r="B3" s="84">
        <f>R13</f>
        <v>8.0186890671505306E-3</v>
      </c>
      <c r="C3" s="82"/>
      <c r="D3" s="84">
        <f>S13</f>
        <v>0.30903560626553517</v>
      </c>
      <c r="L3" s="83"/>
      <c r="M3" s="83"/>
      <c r="N3" s="83"/>
      <c r="O3" s="8"/>
    </row>
    <row r="4" spans="1:19">
      <c r="A4" t="s">
        <v>150</v>
      </c>
      <c r="B4" s="84">
        <v>1.026</v>
      </c>
      <c r="C4" s="82"/>
      <c r="E4" s="82" t="s">
        <v>151</v>
      </c>
      <c r="F4">
        <v>0.99819999999999998</v>
      </c>
      <c r="H4" s="82" t="s">
        <v>152</v>
      </c>
      <c r="I4">
        <v>1.002</v>
      </c>
      <c r="L4" s="85"/>
      <c r="M4" s="86"/>
      <c r="N4" s="85"/>
      <c r="O4" s="85"/>
      <c r="P4" s="87"/>
      <c r="Q4" s="87"/>
    </row>
    <row r="5" spans="1:19">
      <c r="A5" t="s">
        <v>153</v>
      </c>
      <c r="B5" s="88">
        <f>1/B4</f>
        <v>0.97465886939571145</v>
      </c>
      <c r="C5" s="82"/>
      <c r="E5" s="82" t="s">
        <v>154</v>
      </c>
      <c r="F5" s="88">
        <f>1/F4</f>
        <v>1.0018032458425166</v>
      </c>
      <c r="H5" s="82" t="s">
        <v>155</v>
      </c>
      <c r="I5" s="88">
        <f>1/I4</f>
        <v>0.99800399201596801</v>
      </c>
      <c r="L5" s="85"/>
      <c r="M5" s="89"/>
      <c r="N5" s="85"/>
      <c r="O5" s="85"/>
      <c r="P5" s="85"/>
      <c r="Q5" s="90"/>
      <c r="R5" s="85"/>
    </row>
    <row r="6" spans="1:19">
      <c r="A6" t="s">
        <v>156</v>
      </c>
      <c r="B6" s="91">
        <f>B5/1000</f>
        <v>9.7465886939571145E-4</v>
      </c>
      <c r="C6" s="82"/>
      <c r="E6" s="82" t="s">
        <v>157</v>
      </c>
      <c r="F6" s="91">
        <f>F5/1000</f>
        <v>1.0018032458425166E-3</v>
      </c>
      <c r="H6" s="82" t="s">
        <v>158</v>
      </c>
      <c r="I6" s="91">
        <f>I5/1000</f>
        <v>9.9800399201596798E-4</v>
      </c>
      <c r="L6" s="85"/>
      <c r="M6" s="92"/>
      <c r="N6" s="92"/>
      <c r="O6" s="85"/>
      <c r="P6" s="85"/>
      <c r="Q6" s="90"/>
    </row>
    <row r="7" spans="1:19">
      <c r="L7" s="85"/>
      <c r="M7" s="93"/>
      <c r="N7" s="85"/>
    </row>
    <row r="8" spans="1:19" ht="18">
      <c r="L8" s="85"/>
      <c r="M8" s="94"/>
      <c r="N8" s="85"/>
    </row>
    <row r="9" spans="1:19">
      <c r="M9" s="95"/>
      <c r="N9" s="85"/>
    </row>
    <row r="10" spans="1:19">
      <c r="A10" s="96" t="s">
        <v>213</v>
      </c>
      <c r="B10" s="96"/>
      <c r="C10" s="96"/>
      <c r="D10" s="97"/>
      <c r="E10" s="98"/>
      <c r="G10" s="99"/>
      <c r="H10" s="99"/>
      <c r="I10" s="100"/>
      <c r="M10" s="95"/>
      <c r="N10" s="85"/>
    </row>
    <row r="11" spans="1:19">
      <c r="R11" s="1" t="s">
        <v>159</v>
      </c>
      <c r="S11" s="1" t="s">
        <v>160</v>
      </c>
    </row>
    <row r="12" spans="1:19">
      <c r="A12" s="1" t="s">
        <v>183</v>
      </c>
      <c r="B12" s="1" t="s">
        <v>184</v>
      </c>
      <c r="C12" s="1" t="s">
        <v>185</v>
      </c>
      <c r="D12" s="1" t="s">
        <v>165</v>
      </c>
      <c r="E12" s="1" t="s">
        <v>166</v>
      </c>
      <c r="F12" s="1" t="s">
        <v>186</v>
      </c>
      <c r="G12" s="1" t="s">
        <v>187</v>
      </c>
      <c r="H12" s="1" t="s">
        <v>188</v>
      </c>
      <c r="I12" s="1" t="s">
        <v>7</v>
      </c>
      <c r="J12" s="127" t="s">
        <v>147</v>
      </c>
      <c r="R12" s="81" cm="1">
        <f t="array" ref="R12:S16">LINEST(H13:H36,I13:I36,TRUE,TRUE)</f>
        <v>0.4623614635092998</v>
      </c>
      <c r="S12" s="81">
        <v>0.10975712247295455</v>
      </c>
    </row>
    <row r="13" spans="1:19">
      <c r="A13" s="128">
        <v>44232</v>
      </c>
      <c r="B13">
        <v>1</v>
      </c>
      <c r="C13" s="24" t="s">
        <v>189</v>
      </c>
      <c r="D13">
        <v>264</v>
      </c>
      <c r="E13">
        <v>110</v>
      </c>
      <c r="F13">
        <f t="shared" ref="F13" si="0">D13-E13</f>
        <v>154</v>
      </c>
      <c r="G13">
        <v>2.5</v>
      </c>
      <c r="H13">
        <f>F13/155*G13</f>
        <v>2.4838709677419355</v>
      </c>
      <c r="I13">
        <v>4.4359999999999999</v>
      </c>
      <c r="J13" s="50">
        <f>H13/I13</f>
        <v>0.5599348439454318</v>
      </c>
      <c r="Q13" s="1" t="s">
        <v>161</v>
      </c>
      <c r="R13" s="81">
        <v>8.0186890671505306E-3</v>
      </c>
      <c r="S13" s="81">
        <v>0.30903560626553517</v>
      </c>
    </row>
    <row r="14" spans="1:19">
      <c r="A14" s="128">
        <f t="shared" ref="A14:A24" si="1">A13</f>
        <v>44232</v>
      </c>
      <c r="B14">
        <v>2</v>
      </c>
      <c r="C14" s="24" t="s">
        <v>190</v>
      </c>
      <c r="D14">
        <v>262</v>
      </c>
      <c r="E14">
        <v>108</v>
      </c>
      <c r="F14">
        <f>D14-E14</f>
        <v>154</v>
      </c>
      <c r="G14">
        <v>2.5</v>
      </c>
      <c r="H14">
        <f t="shared" ref="H14:H36" si="2">F14/155*G14</f>
        <v>2.4838709677419355</v>
      </c>
      <c r="I14">
        <v>5.0330000000000004</v>
      </c>
      <c r="J14" s="50">
        <f t="shared" ref="J14:J36" si="3">H14/I14</f>
        <v>0.49351698147068057</v>
      </c>
      <c r="R14">
        <v>0.99342642117731605</v>
      </c>
      <c r="S14">
        <v>0.96347094633189312</v>
      </c>
    </row>
    <row r="15" spans="1:19">
      <c r="A15" s="128">
        <f t="shared" si="1"/>
        <v>44232</v>
      </c>
      <c r="B15">
        <f t="shared" ref="B15:B24" si="4">B14+1</f>
        <v>3</v>
      </c>
      <c r="C15" s="24" t="s">
        <v>191</v>
      </c>
      <c r="D15">
        <v>264</v>
      </c>
      <c r="E15">
        <v>110</v>
      </c>
      <c r="F15">
        <f t="shared" ref="F15:F25" si="5">D15-E15</f>
        <v>154</v>
      </c>
      <c r="G15">
        <v>2.5</v>
      </c>
      <c r="H15">
        <f t="shared" si="2"/>
        <v>2.4838709677419355</v>
      </c>
      <c r="I15">
        <v>5.1760000000000002</v>
      </c>
      <c r="J15" s="50">
        <f t="shared" si="3"/>
        <v>0.47988233534426883</v>
      </c>
      <c r="R15">
        <v>3324.7309959200538</v>
      </c>
      <c r="S15">
        <v>22</v>
      </c>
    </row>
    <row r="16" spans="1:19">
      <c r="A16" s="128">
        <f t="shared" si="1"/>
        <v>44232</v>
      </c>
      <c r="B16">
        <f t="shared" si="4"/>
        <v>4</v>
      </c>
      <c r="C16" s="24" t="s">
        <v>192</v>
      </c>
      <c r="D16">
        <v>264</v>
      </c>
      <c r="E16">
        <v>109</v>
      </c>
      <c r="F16">
        <f t="shared" si="5"/>
        <v>155</v>
      </c>
      <c r="G16">
        <v>5</v>
      </c>
      <c r="H16">
        <f t="shared" si="2"/>
        <v>5</v>
      </c>
      <c r="I16">
        <v>9.7729999999999997</v>
      </c>
      <c r="J16" s="50">
        <f t="shared" si="3"/>
        <v>0.51161362938708688</v>
      </c>
      <c r="R16">
        <v>3086.2688691129169</v>
      </c>
      <c r="S16">
        <v>20.422077817364819</v>
      </c>
    </row>
    <row r="17" spans="1:10">
      <c r="A17" s="128">
        <f t="shared" si="1"/>
        <v>44232</v>
      </c>
      <c r="B17">
        <f t="shared" si="4"/>
        <v>5</v>
      </c>
      <c r="C17" s="24" t="s">
        <v>193</v>
      </c>
      <c r="D17">
        <v>264</v>
      </c>
      <c r="E17">
        <v>109</v>
      </c>
      <c r="F17">
        <f t="shared" si="5"/>
        <v>155</v>
      </c>
      <c r="G17">
        <v>5</v>
      </c>
      <c r="H17">
        <f t="shared" si="2"/>
        <v>5</v>
      </c>
      <c r="I17">
        <v>9.73</v>
      </c>
      <c r="J17" s="50">
        <f t="shared" si="3"/>
        <v>0.51387461459403905</v>
      </c>
    </row>
    <row r="18" spans="1:10">
      <c r="A18" s="128">
        <f t="shared" si="1"/>
        <v>44232</v>
      </c>
      <c r="B18">
        <f t="shared" si="4"/>
        <v>6</v>
      </c>
      <c r="C18" s="24" t="s">
        <v>194</v>
      </c>
      <c r="D18">
        <v>265</v>
      </c>
      <c r="E18">
        <v>110</v>
      </c>
      <c r="F18">
        <f t="shared" si="5"/>
        <v>155</v>
      </c>
      <c r="G18">
        <f>G19/2</f>
        <v>5</v>
      </c>
      <c r="H18">
        <f t="shared" si="2"/>
        <v>5</v>
      </c>
      <c r="I18">
        <v>10.257</v>
      </c>
      <c r="J18" s="50">
        <f t="shared" si="3"/>
        <v>0.4874719703617042</v>
      </c>
    </row>
    <row r="19" spans="1:10">
      <c r="A19" s="128">
        <f t="shared" si="1"/>
        <v>44232</v>
      </c>
      <c r="B19">
        <f t="shared" si="4"/>
        <v>7</v>
      </c>
      <c r="C19" s="24" t="s">
        <v>195</v>
      </c>
      <c r="D19">
        <v>258</v>
      </c>
      <c r="E19">
        <v>109</v>
      </c>
      <c r="F19">
        <f t="shared" si="5"/>
        <v>149</v>
      </c>
      <c r="G19">
        <v>10</v>
      </c>
      <c r="H19">
        <f t="shared" si="2"/>
        <v>9.612903225806452</v>
      </c>
      <c r="I19">
        <v>20.527999999999999</v>
      </c>
      <c r="J19" s="50">
        <f t="shared" si="3"/>
        <v>0.46828250320569237</v>
      </c>
    </row>
    <row r="20" spans="1:10">
      <c r="A20" s="128">
        <f t="shared" si="1"/>
        <v>44232</v>
      </c>
      <c r="B20">
        <f t="shared" si="4"/>
        <v>8</v>
      </c>
      <c r="C20" s="24" t="s">
        <v>196</v>
      </c>
      <c r="D20">
        <v>259</v>
      </c>
      <c r="E20">
        <v>109</v>
      </c>
      <c r="F20">
        <f t="shared" si="5"/>
        <v>150</v>
      </c>
      <c r="G20">
        <v>10</v>
      </c>
      <c r="H20">
        <f t="shared" si="2"/>
        <v>9.67741935483871</v>
      </c>
      <c r="I20">
        <v>20.356000000000002</v>
      </c>
      <c r="J20" s="50">
        <f t="shared" si="3"/>
        <v>0.47540869300642113</v>
      </c>
    </row>
    <row r="21" spans="1:10">
      <c r="A21" s="128">
        <v>44233</v>
      </c>
      <c r="B21">
        <f t="shared" si="4"/>
        <v>9</v>
      </c>
      <c r="C21" s="24" t="s">
        <v>197</v>
      </c>
      <c r="D21">
        <v>264</v>
      </c>
      <c r="E21">
        <v>109</v>
      </c>
      <c r="F21">
        <f t="shared" si="5"/>
        <v>155</v>
      </c>
      <c r="G21">
        <v>10</v>
      </c>
      <c r="H21">
        <f t="shared" si="2"/>
        <v>10</v>
      </c>
      <c r="I21">
        <v>20.91</v>
      </c>
      <c r="J21" s="50">
        <f t="shared" si="3"/>
        <v>0.47824007651841222</v>
      </c>
    </row>
    <row r="22" spans="1:10">
      <c r="A22" s="128">
        <f t="shared" si="1"/>
        <v>44233</v>
      </c>
      <c r="B22">
        <f t="shared" si="4"/>
        <v>10</v>
      </c>
      <c r="C22" s="24" t="s">
        <v>198</v>
      </c>
      <c r="D22">
        <v>262</v>
      </c>
      <c r="E22">
        <v>108</v>
      </c>
      <c r="F22">
        <f t="shared" si="5"/>
        <v>154</v>
      </c>
      <c r="G22">
        <v>20</v>
      </c>
      <c r="H22">
        <f t="shared" si="2"/>
        <v>19.870967741935484</v>
      </c>
      <c r="I22">
        <v>40.497</v>
      </c>
      <c r="J22" s="50">
        <f t="shared" si="3"/>
        <v>0.49067752529657715</v>
      </c>
    </row>
    <row r="23" spans="1:10">
      <c r="A23" s="128">
        <f t="shared" si="1"/>
        <v>44233</v>
      </c>
      <c r="B23">
        <f t="shared" si="4"/>
        <v>11</v>
      </c>
      <c r="C23" s="24" t="s">
        <v>199</v>
      </c>
      <c r="D23">
        <v>259</v>
      </c>
      <c r="E23">
        <v>109</v>
      </c>
      <c r="F23">
        <f t="shared" si="5"/>
        <v>150</v>
      </c>
      <c r="G23">
        <v>20</v>
      </c>
      <c r="H23">
        <f t="shared" si="2"/>
        <v>19.35483870967742</v>
      </c>
      <c r="I23">
        <v>39.363</v>
      </c>
      <c r="J23" s="50">
        <f t="shared" si="3"/>
        <v>0.49170131112154614</v>
      </c>
    </row>
    <row r="24" spans="1:10">
      <c r="A24" s="128">
        <f t="shared" si="1"/>
        <v>44233</v>
      </c>
      <c r="B24">
        <f t="shared" si="4"/>
        <v>12</v>
      </c>
      <c r="C24" s="24" t="s">
        <v>200</v>
      </c>
      <c r="D24">
        <v>263</v>
      </c>
      <c r="E24">
        <v>108</v>
      </c>
      <c r="F24">
        <f t="shared" si="5"/>
        <v>155</v>
      </c>
      <c r="G24">
        <v>20</v>
      </c>
      <c r="H24">
        <f t="shared" si="2"/>
        <v>20</v>
      </c>
      <c r="I24">
        <v>41.569000000000003</v>
      </c>
      <c r="J24" s="50">
        <f t="shared" si="3"/>
        <v>0.48112776347759145</v>
      </c>
    </row>
    <row r="25" spans="1:10">
      <c r="A25" s="128">
        <v>44248</v>
      </c>
      <c r="B25">
        <v>1</v>
      </c>
      <c r="C25" s="24" t="s">
        <v>201</v>
      </c>
      <c r="D25">
        <v>265</v>
      </c>
      <c r="E25">
        <v>111</v>
      </c>
      <c r="F25">
        <f t="shared" si="5"/>
        <v>154</v>
      </c>
      <c r="G25">
        <v>5</v>
      </c>
      <c r="H25">
        <f t="shared" si="2"/>
        <v>4.967741935483871</v>
      </c>
      <c r="I25">
        <v>9.9049999999999994</v>
      </c>
      <c r="J25" s="50">
        <f t="shared" si="3"/>
        <v>0.50153881226490371</v>
      </c>
    </row>
    <row r="26" spans="1:10">
      <c r="A26" s="128">
        <v>44249</v>
      </c>
      <c r="B26">
        <v>2</v>
      </c>
      <c r="C26" s="24" t="s">
        <v>202</v>
      </c>
      <c r="D26">
        <v>264</v>
      </c>
      <c r="E26">
        <v>111</v>
      </c>
      <c r="F26">
        <f>D26-E26</f>
        <v>153</v>
      </c>
      <c r="G26">
        <v>5</v>
      </c>
      <c r="H26">
        <f t="shared" si="2"/>
        <v>4.935483870967742</v>
      </c>
      <c r="I26">
        <v>10.589</v>
      </c>
      <c r="J26" s="50">
        <f t="shared" si="3"/>
        <v>0.46609536981468902</v>
      </c>
    </row>
    <row r="27" spans="1:10">
      <c r="A27" s="128">
        <v>44250</v>
      </c>
      <c r="B27">
        <f t="shared" ref="B27:B36" si="6">B26+1</f>
        <v>3</v>
      </c>
      <c r="C27" s="24" t="s">
        <v>203</v>
      </c>
      <c r="D27">
        <v>264</v>
      </c>
      <c r="E27">
        <v>109</v>
      </c>
      <c r="F27">
        <f t="shared" ref="F27:F36" si="7">D27-E27</f>
        <v>155</v>
      </c>
      <c r="G27">
        <v>5</v>
      </c>
      <c r="H27">
        <f t="shared" si="2"/>
        <v>5</v>
      </c>
      <c r="I27">
        <v>11.387</v>
      </c>
      <c r="J27" s="50">
        <f t="shared" si="3"/>
        <v>0.43909721612364977</v>
      </c>
    </row>
    <row r="28" spans="1:10">
      <c r="A28" s="128">
        <v>44251</v>
      </c>
      <c r="B28">
        <f t="shared" si="6"/>
        <v>4</v>
      </c>
      <c r="C28" s="24" t="s">
        <v>204</v>
      </c>
      <c r="D28">
        <v>263</v>
      </c>
      <c r="E28">
        <v>109</v>
      </c>
      <c r="F28">
        <f t="shared" si="7"/>
        <v>154</v>
      </c>
      <c r="G28">
        <v>10</v>
      </c>
      <c r="H28">
        <f t="shared" si="2"/>
        <v>9.935483870967742</v>
      </c>
      <c r="I28">
        <v>23.463999999999999</v>
      </c>
      <c r="J28" s="50">
        <f t="shared" si="3"/>
        <v>0.42343521441219495</v>
      </c>
    </row>
    <row r="29" spans="1:10">
      <c r="A29" s="128">
        <v>44252</v>
      </c>
      <c r="B29">
        <f t="shared" si="6"/>
        <v>5</v>
      </c>
      <c r="C29" s="24" t="s">
        <v>205</v>
      </c>
      <c r="D29">
        <v>264</v>
      </c>
      <c r="E29">
        <v>111</v>
      </c>
      <c r="F29">
        <f t="shared" si="7"/>
        <v>153</v>
      </c>
      <c r="G29">
        <v>10</v>
      </c>
      <c r="H29">
        <f t="shared" si="2"/>
        <v>9.870967741935484</v>
      </c>
      <c r="I29">
        <v>22.53</v>
      </c>
      <c r="J29" s="50">
        <f t="shared" si="3"/>
        <v>0.43812551007259137</v>
      </c>
    </row>
    <row r="30" spans="1:10">
      <c r="A30" s="128">
        <v>44253</v>
      </c>
      <c r="B30">
        <f t="shared" si="6"/>
        <v>6</v>
      </c>
      <c r="C30" s="24" t="s">
        <v>206</v>
      </c>
      <c r="D30">
        <v>263</v>
      </c>
      <c r="E30">
        <v>109</v>
      </c>
      <c r="F30">
        <f t="shared" si="7"/>
        <v>154</v>
      </c>
      <c r="G30">
        <v>10</v>
      </c>
      <c r="H30">
        <f t="shared" si="2"/>
        <v>9.935483870967742</v>
      </c>
      <c r="I30">
        <v>22.491</v>
      </c>
      <c r="J30" s="50">
        <f t="shared" si="3"/>
        <v>0.44175376243687442</v>
      </c>
    </row>
    <row r="31" spans="1:10">
      <c r="A31" s="128">
        <v>44254</v>
      </c>
      <c r="B31">
        <f t="shared" si="6"/>
        <v>7</v>
      </c>
      <c r="C31" s="24" t="s">
        <v>207</v>
      </c>
      <c r="D31">
        <v>259</v>
      </c>
      <c r="E31">
        <v>107</v>
      </c>
      <c r="F31">
        <f t="shared" si="7"/>
        <v>152</v>
      </c>
      <c r="G31">
        <v>20</v>
      </c>
      <c r="H31">
        <f t="shared" si="2"/>
        <v>19.612903225806452</v>
      </c>
      <c r="I31">
        <v>45.164999999999999</v>
      </c>
      <c r="J31" s="50">
        <f t="shared" si="3"/>
        <v>0.43425004374640658</v>
      </c>
    </row>
    <row r="32" spans="1:10">
      <c r="A32" s="128">
        <v>44255</v>
      </c>
      <c r="B32">
        <f t="shared" si="6"/>
        <v>8</v>
      </c>
      <c r="C32" s="24" t="s">
        <v>208</v>
      </c>
      <c r="D32">
        <v>263</v>
      </c>
      <c r="E32">
        <v>109</v>
      </c>
      <c r="F32">
        <f t="shared" si="7"/>
        <v>154</v>
      </c>
      <c r="G32">
        <v>20</v>
      </c>
      <c r="H32">
        <f t="shared" si="2"/>
        <v>19.870967741935484</v>
      </c>
      <c r="I32">
        <v>43.104999999999997</v>
      </c>
      <c r="J32" s="50">
        <f t="shared" si="3"/>
        <v>0.46098985597808806</v>
      </c>
    </row>
    <row r="33" spans="1:10">
      <c r="A33" s="128">
        <v>44256</v>
      </c>
      <c r="B33">
        <f t="shared" si="6"/>
        <v>9</v>
      </c>
      <c r="C33" s="24" t="s">
        <v>209</v>
      </c>
      <c r="D33">
        <v>259</v>
      </c>
      <c r="E33">
        <v>108</v>
      </c>
      <c r="F33">
        <f t="shared" si="7"/>
        <v>151</v>
      </c>
      <c r="G33">
        <v>20</v>
      </c>
      <c r="H33">
        <f t="shared" si="2"/>
        <v>19.483870967741936</v>
      </c>
      <c r="I33">
        <v>44.793999999999997</v>
      </c>
      <c r="J33" s="50">
        <f t="shared" si="3"/>
        <v>0.43496608848823365</v>
      </c>
    </row>
    <row r="34" spans="1:10">
      <c r="A34" s="128">
        <v>44257</v>
      </c>
      <c r="B34">
        <f t="shared" si="6"/>
        <v>10</v>
      </c>
      <c r="C34" s="24" t="s">
        <v>210</v>
      </c>
      <c r="D34">
        <v>258</v>
      </c>
      <c r="E34">
        <v>106</v>
      </c>
      <c r="F34">
        <f t="shared" si="7"/>
        <v>152</v>
      </c>
      <c r="G34">
        <v>40</v>
      </c>
      <c r="H34">
        <f>F34/155*G34</f>
        <v>39.225806451612904</v>
      </c>
      <c r="I34">
        <v>80.105000000000004</v>
      </c>
      <c r="J34" s="50">
        <f t="shared" si="3"/>
        <v>0.48967987580816308</v>
      </c>
    </row>
    <row r="35" spans="1:10">
      <c r="A35" s="128">
        <v>44258</v>
      </c>
      <c r="B35">
        <f t="shared" si="6"/>
        <v>11</v>
      </c>
      <c r="C35" s="24" t="s">
        <v>211</v>
      </c>
      <c r="D35">
        <v>263</v>
      </c>
      <c r="E35">
        <v>109</v>
      </c>
      <c r="F35">
        <f t="shared" si="7"/>
        <v>154</v>
      </c>
      <c r="G35">
        <v>40</v>
      </c>
      <c r="H35">
        <f t="shared" si="2"/>
        <v>39.741935483870968</v>
      </c>
      <c r="I35">
        <v>83.078000000000003</v>
      </c>
      <c r="J35" s="50">
        <f t="shared" si="3"/>
        <v>0.47836894826393228</v>
      </c>
    </row>
    <row r="36" spans="1:10">
      <c r="A36" s="128">
        <v>44259</v>
      </c>
      <c r="B36">
        <f t="shared" si="6"/>
        <v>12</v>
      </c>
      <c r="C36" s="24" t="s">
        <v>212</v>
      </c>
      <c r="D36">
        <v>261</v>
      </c>
      <c r="E36">
        <v>110</v>
      </c>
      <c r="F36">
        <f t="shared" si="7"/>
        <v>151</v>
      </c>
      <c r="G36">
        <v>40</v>
      </c>
      <c r="H36">
        <f t="shared" si="2"/>
        <v>38.967741935483872</v>
      </c>
      <c r="I36">
        <v>89.230999999999995</v>
      </c>
      <c r="J36" s="50">
        <f t="shared" si="3"/>
        <v>0.43670632331234521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2022-06-27T21:24:42Z</dcterms:modified>
</cp:coreProperties>
</file>