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kemske/Desktop/ckemske46.github.io/1-Self-Study/LBO-Model/"/>
    </mc:Choice>
  </mc:AlternateContent>
  <xr:revisionPtr revIDLastSave="0" documentId="13_ncr:1_{D9BF3757-F3B3-DB4B-B1B0-71F326008C52}" xr6:coauthVersionLast="47" xr6:coauthVersionMax="47" xr10:uidLastSave="{00000000-0000-0000-0000-000000000000}"/>
  <bookViews>
    <workbookView xWindow="-38480" yWindow="-1960" windowWidth="38400" windowHeight="21100" xr2:uid="{3C677161-EF21-A54A-996C-D3E6B4C69C5F}"/>
  </bookViews>
  <sheets>
    <sheet name="Assumptions" sheetId="5" r:id="rId1"/>
    <sheet name="Sourcing" sheetId="1" r:id="rId2"/>
    <sheet name="Debt-Schedule" sheetId="4" r:id="rId3"/>
    <sheet name="Projection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4" i="3" l="1"/>
  <c r="X12" i="3"/>
  <c r="X13" i="3"/>
  <c r="X14" i="3"/>
  <c r="X11" i="3"/>
  <c r="X7" i="3"/>
  <c r="X8" i="3"/>
  <c r="X9" i="3"/>
  <c r="W12" i="3"/>
  <c r="W13" i="3"/>
  <c r="W14" i="3"/>
  <c r="W11" i="3"/>
  <c r="W7" i="3"/>
  <c r="W8" i="3"/>
  <c r="W9" i="3"/>
  <c r="X6" i="3"/>
  <c r="W6" i="3"/>
  <c r="G15" i="3"/>
  <c r="I15" i="3" s="1"/>
  <c r="K13" i="1"/>
  <c r="K15" i="3" l="1"/>
  <c r="J15" i="3"/>
  <c r="H15" i="3"/>
  <c r="L15" i="3"/>
  <c r="K28" i="3"/>
  <c r="L28" i="3"/>
  <c r="J13" i="4"/>
  <c r="K13" i="4"/>
  <c r="G13" i="4"/>
  <c r="F15" i="4"/>
  <c r="H5" i="3"/>
  <c r="H25" i="3" s="1"/>
  <c r="G8" i="4"/>
  <c r="G10" i="4" s="1"/>
  <c r="H8" i="4" s="1"/>
  <c r="H10" i="4" s="1"/>
  <c r="I8" i="4" s="1"/>
  <c r="I10" i="4" s="1"/>
  <c r="J8" i="4" s="1"/>
  <c r="J10" i="4" s="1"/>
  <c r="K8" i="4" s="1"/>
  <c r="K10" i="4" s="1"/>
  <c r="G7" i="3"/>
  <c r="G6" i="3"/>
  <c r="J5" i="1" s="1"/>
  <c r="E15" i="1" s="1"/>
  <c r="J30" i="4" s="1"/>
  <c r="K28" i="4" s="1"/>
  <c r="J8" i="1"/>
  <c r="G8" i="3" l="1"/>
  <c r="G11" i="3" s="1"/>
  <c r="I30" i="4"/>
  <c r="J28" i="4" s="1"/>
  <c r="H30" i="4"/>
  <c r="I28" i="4" s="1"/>
  <c r="G30" i="4"/>
  <c r="H28" i="4" s="1"/>
  <c r="H22" i="3"/>
  <c r="H23" i="3" s="1"/>
  <c r="I5" i="3"/>
  <c r="H6" i="3"/>
  <c r="H7" i="3"/>
  <c r="H21" i="3" s="1"/>
  <c r="F30" i="4"/>
  <c r="G28" i="4" s="1"/>
  <c r="K30" i="4"/>
  <c r="K32" i="4" s="1"/>
  <c r="J7" i="1"/>
  <c r="J10" i="1" s="1"/>
  <c r="E5" i="1" s="1"/>
  <c r="E6" i="1" s="1"/>
  <c r="E14" i="1"/>
  <c r="F22" i="4" s="1"/>
  <c r="G20" i="4" s="1"/>
  <c r="J32" i="4" l="1"/>
  <c r="H39" i="3"/>
  <c r="G10" i="3"/>
  <c r="G12" i="3" s="1"/>
  <c r="G32" i="4"/>
  <c r="H32" i="4"/>
  <c r="I32" i="4"/>
  <c r="J5" i="3"/>
  <c r="I6" i="3"/>
  <c r="I22" i="3"/>
  <c r="I23" i="3" s="1"/>
  <c r="I25" i="3"/>
  <c r="I7" i="3"/>
  <c r="I21" i="3" s="1"/>
  <c r="H8" i="3"/>
  <c r="H11" i="3" s="1"/>
  <c r="H34" i="3"/>
  <c r="H37" i="3" s="1"/>
  <c r="G21" i="4"/>
  <c r="H26" i="3" s="1"/>
  <c r="E7" i="1"/>
  <c r="E8" i="1" s="1"/>
  <c r="E16" i="1" s="1"/>
  <c r="H40" i="3" l="1"/>
  <c r="I34" i="3"/>
  <c r="I37" i="3" s="1"/>
  <c r="I8" i="3"/>
  <c r="I11" i="3" s="1"/>
  <c r="K5" i="3"/>
  <c r="J6" i="3"/>
  <c r="J22" i="3"/>
  <c r="J23" i="3" s="1"/>
  <c r="J25" i="3"/>
  <c r="J7" i="3"/>
  <c r="J21" i="3" s="1"/>
  <c r="E17" i="1"/>
  <c r="L41" i="3"/>
  <c r="H41" i="3"/>
  <c r="K41" i="3"/>
  <c r="I41" i="3"/>
  <c r="J41" i="3"/>
  <c r="G22" i="4"/>
  <c r="H43" i="3" l="1"/>
  <c r="J34" i="3"/>
  <c r="J37" i="3" s="1"/>
  <c r="J8" i="3"/>
  <c r="J11" i="3" s="1"/>
  <c r="K7" i="3"/>
  <c r="K21" i="3" s="1"/>
  <c r="L5" i="3"/>
  <c r="K6" i="3"/>
  <c r="K22" i="3"/>
  <c r="K23" i="3" s="1"/>
  <c r="K25" i="3"/>
  <c r="H20" i="4"/>
  <c r="G25" i="4"/>
  <c r="K34" i="3" l="1"/>
  <c r="K37" i="3" s="1"/>
  <c r="K8" i="3"/>
  <c r="L7" i="3"/>
  <c r="L21" i="3" s="1"/>
  <c r="L25" i="3"/>
  <c r="L22" i="3"/>
  <c r="L23" i="3" s="1"/>
  <c r="L6" i="3"/>
  <c r="H21" i="4"/>
  <c r="I26" i="3" s="1"/>
  <c r="L8" i="3" l="1"/>
  <c r="L34" i="3"/>
  <c r="L37" i="3" s="1"/>
  <c r="K11" i="3"/>
  <c r="K10" i="3"/>
  <c r="H22" i="4"/>
  <c r="K12" i="3" l="1"/>
  <c r="K20" i="3" s="1"/>
  <c r="K24" i="3" s="1"/>
  <c r="L10" i="3"/>
  <c r="L11" i="3"/>
  <c r="I20" i="4"/>
  <c r="H25" i="4"/>
  <c r="L12" i="3" l="1"/>
  <c r="L20" i="3" s="1"/>
  <c r="L24" i="3" s="1"/>
  <c r="I21" i="4"/>
  <c r="J26" i="3" s="1"/>
  <c r="I22" i="4" l="1"/>
  <c r="J20" i="4" l="1"/>
  <c r="I25" i="4"/>
  <c r="J21" i="4" l="1"/>
  <c r="J22" i="4" s="1"/>
  <c r="K39" i="3"/>
  <c r="K40" i="3" s="1"/>
  <c r="K26" i="3" l="1"/>
  <c r="K27" i="3" s="1"/>
  <c r="K29" i="3" s="1"/>
  <c r="K43" i="3"/>
  <c r="K44" i="3"/>
  <c r="K20" i="4"/>
  <c r="J25" i="4"/>
  <c r="J35" i="4" s="1"/>
  <c r="K21" i="4" l="1"/>
  <c r="K22" i="4" s="1"/>
  <c r="K25" i="4" s="1"/>
  <c r="K35" i="4" s="1"/>
  <c r="L39" i="3"/>
  <c r="L40" i="3" s="1"/>
  <c r="J10" i="3"/>
  <c r="J12" i="3" s="1"/>
  <c r="J20" i="3" s="1"/>
  <c r="J24" i="3" s="1"/>
  <c r="J27" i="3" s="1"/>
  <c r="I10" i="3"/>
  <c r="I12" i="3" s="1"/>
  <c r="I20" i="3" s="1"/>
  <c r="I24" i="3" s="1"/>
  <c r="I27" i="3" s="1"/>
  <c r="H14" i="4" s="1"/>
  <c r="I28" i="3" s="1"/>
  <c r="H10" i="3"/>
  <c r="H12" i="3" s="1"/>
  <c r="H20" i="3" s="1"/>
  <c r="H24" i="3" s="1"/>
  <c r="H27" i="3" s="1"/>
  <c r="G14" i="4" s="1"/>
  <c r="L26" i="3" l="1"/>
  <c r="L27" i="3" s="1"/>
  <c r="L29" i="3" s="1"/>
  <c r="L43" i="3"/>
  <c r="L44" i="3"/>
  <c r="G15" i="4"/>
  <c r="H28" i="3"/>
  <c r="H13" i="4" l="1"/>
  <c r="G17" i="4"/>
  <c r="G35" i="4" s="1"/>
  <c r="H15" i="4" l="1"/>
  <c r="H17" i="4" s="1"/>
  <c r="H35" i="4" s="1"/>
  <c r="I39" i="3"/>
  <c r="I40" i="3" s="1"/>
  <c r="I13" i="4" l="1"/>
  <c r="I17" i="4"/>
  <c r="I35" i="4" s="1"/>
  <c r="I43" i="3"/>
  <c r="I44" i="3"/>
  <c r="I14" i="4"/>
  <c r="J28" i="3" s="1"/>
  <c r="J29" i="3" s="1"/>
  <c r="J39" i="3"/>
  <c r="J40" i="3" s="1"/>
  <c r="J43" i="3" l="1"/>
  <c r="J44" i="3"/>
</calcChain>
</file>

<file path=xl/sharedStrings.xml><?xml version="1.0" encoding="utf-8"?>
<sst xmlns="http://schemas.openxmlformats.org/spreadsheetml/2006/main" count="195" uniqueCount="109">
  <si>
    <t>x</t>
  </si>
  <si>
    <t>Equity Buyout</t>
  </si>
  <si>
    <t>Financing Fees</t>
  </si>
  <si>
    <t>Transaction Fees</t>
  </si>
  <si>
    <t>Valuation Multiples</t>
  </si>
  <si>
    <t>LTM EBITDA</t>
  </si>
  <si>
    <t>EV / EBITDA</t>
  </si>
  <si>
    <t>Enterprise Value</t>
  </si>
  <si>
    <t>(-) Debt</t>
  </si>
  <si>
    <t xml:space="preserve">(+) Cash </t>
  </si>
  <si>
    <t xml:space="preserve">Equity Value </t>
  </si>
  <si>
    <t>Sourcing Leveraged Buyout</t>
  </si>
  <si>
    <t xml:space="preserve">Revolving Credit Facility </t>
  </si>
  <si>
    <t xml:space="preserve">Term Loan </t>
  </si>
  <si>
    <t>Senior Note</t>
  </si>
  <si>
    <t xml:space="preserve">Remaining Equity </t>
  </si>
  <si>
    <t>Total Sourcing</t>
  </si>
  <si>
    <t>Revenue Assumptions</t>
  </si>
  <si>
    <t xml:space="preserve">Revenue Growth per year </t>
  </si>
  <si>
    <t xml:space="preserve">Initial Cash Balance </t>
  </si>
  <si>
    <t xml:space="preserve">LBO Model Workbook (Sourcing): all values in mm. </t>
  </si>
  <si>
    <t>Capital Expenditure per year (% of rev.)</t>
  </si>
  <si>
    <t>Net Working Capital change per year (% of rev.)</t>
  </si>
  <si>
    <t>Initial Net Working Capital</t>
  </si>
  <si>
    <t>2x</t>
  </si>
  <si>
    <t xml:space="preserve">LBO Model Workbook (Projections): all values in mm. </t>
  </si>
  <si>
    <t xml:space="preserve">Income Statement Projections </t>
  </si>
  <si>
    <t xml:space="preserve">Revenue </t>
  </si>
  <si>
    <t>EBITDA</t>
  </si>
  <si>
    <t>D &amp; A</t>
  </si>
  <si>
    <t>EBIT</t>
  </si>
  <si>
    <t>Interest Payment</t>
  </si>
  <si>
    <t>EBT</t>
  </si>
  <si>
    <t>Taxes</t>
  </si>
  <si>
    <t xml:space="preserve">Net Income </t>
  </si>
  <si>
    <t>Margin Analysis</t>
  </si>
  <si>
    <t>Tax Rate</t>
  </si>
  <si>
    <t>Cash Flow Statement</t>
  </si>
  <si>
    <t>Net Income</t>
  </si>
  <si>
    <t>(+) D &amp; A</t>
  </si>
  <si>
    <t>NWC</t>
  </si>
  <si>
    <t>(-) Change in NWC</t>
  </si>
  <si>
    <t xml:space="preserve">Cash Flow from Ops. </t>
  </si>
  <si>
    <t>(-) Cap. Ex.</t>
  </si>
  <si>
    <t>Pre-revolver FCF</t>
  </si>
  <si>
    <t>FCF</t>
  </si>
  <si>
    <t>(-) Mand. Amort. on debt</t>
  </si>
  <si>
    <t>Return Analysis</t>
  </si>
  <si>
    <t>Exit Year</t>
  </si>
  <si>
    <t>EV / EBITDA @ Exit</t>
  </si>
  <si>
    <t>(+) Cash</t>
  </si>
  <si>
    <t xml:space="preserve">Initial Equity </t>
  </si>
  <si>
    <t>MOIC</t>
  </si>
  <si>
    <t>IRR</t>
  </si>
  <si>
    <t>D &amp; A (of rev.)</t>
  </si>
  <si>
    <t>EBITDA Margin (of rev.)</t>
  </si>
  <si>
    <t>(-) Revolver Payment</t>
  </si>
  <si>
    <t>5x</t>
  </si>
  <si>
    <t>1x</t>
  </si>
  <si>
    <t xml:space="preserve">LBO Model Workbook (Assumptions): all values in mm. </t>
  </si>
  <si>
    <t>Debt and Cash Schedule</t>
  </si>
  <si>
    <t>LIBOR</t>
  </si>
  <si>
    <t>Cash</t>
  </si>
  <si>
    <t>Increase/Decrease</t>
  </si>
  <si>
    <t>Revolving Credit Facility</t>
  </si>
  <si>
    <t>Spread</t>
  </si>
  <si>
    <t>Interest</t>
  </si>
  <si>
    <t>Term Loan</t>
  </si>
  <si>
    <t>BB</t>
  </si>
  <si>
    <t>EB</t>
  </si>
  <si>
    <t xml:space="preserve">Mand. Amort. </t>
  </si>
  <si>
    <t>Repayment</t>
  </si>
  <si>
    <t>Coupon</t>
  </si>
  <si>
    <t>Total Interest</t>
  </si>
  <si>
    <t>Enterprise Value @ Exit</t>
  </si>
  <si>
    <t>Equity Value @ Exit</t>
  </si>
  <si>
    <t xml:space="preserve">LBO Model Workbook (Debt Schedule): all values in mm. </t>
  </si>
  <si>
    <t>-</t>
  </si>
  <si>
    <t>Term Loan is 2x EBTIDA, Senior Note is 1x EBITDA, Revolving Credit Facility is 1x EBITDA</t>
  </si>
  <si>
    <t>Enterprise Value is 5x EBITDA</t>
  </si>
  <si>
    <t xml:space="preserve">x </t>
  </si>
  <si>
    <t xml:space="preserve">LIBOR is set at 1% for the entire projection </t>
  </si>
  <si>
    <t>Tax rate is 21% through entire projection</t>
  </si>
  <si>
    <t xml:space="preserve">EBITDA Margin is 40% of revenue, D&amp;A is 20% of revenue </t>
  </si>
  <si>
    <t>Mandatory Amortization on the Term Loan is 10% through entire projection</t>
  </si>
  <si>
    <t>Base</t>
  </si>
  <si>
    <t>Optimistic</t>
  </si>
  <si>
    <t>Dynamic Toggle (Revenue)</t>
  </si>
  <si>
    <t xml:space="preserve">Choose </t>
  </si>
  <si>
    <t>Conservative</t>
  </si>
  <si>
    <t>Choose</t>
  </si>
  <si>
    <t>Conservative (1)</t>
  </si>
  <si>
    <t>Base (2)</t>
  </si>
  <si>
    <t>Optimistic (3)</t>
  </si>
  <si>
    <t>Dynamic Toggle (EBITDA Margin)</t>
  </si>
  <si>
    <t>Revenue</t>
  </si>
  <si>
    <t>Margin</t>
  </si>
  <si>
    <t>MOIC Above "Base"</t>
  </si>
  <si>
    <t>IRR Above "Base"</t>
  </si>
  <si>
    <t>Sensitivity Analysis (Exit @ Year 5)</t>
  </si>
  <si>
    <t>Set to purchase "Alpha Chip Manufacturing" with the intended exit after 5 years of holding</t>
  </si>
  <si>
    <t>Revenue is expected to grow at 4% per  year</t>
  </si>
  <si>
    <t>Sourcing the acquisition with "Term Loan, Senior Note, and Revolving Credit Facility" and remaining with Equity</t>
  </si>
  <si>
    <t>Transactions fees is 2% of Enterprise Value, Financing fees is 3% of Enterprise Value</t>
  </si>
  <si>
    <t xml:space="preserve">Zero intital cash balance on the companies balance sheet </t>
  </si>
  <si>
    <t>Net Working Capital in initial year is 15 mm, grows at 4% of revenue per year</t>
  </si>
  <si>
    <t xml:space="preserve">Coupon on the Senior Note is 5%, Spread on Revolving Credit Facility and Term Loan is 3% for entire projection </t>
  </si>
  <si>
    <t>Capital Expenditure is 10% of total revenue per year</t>
  </si>
  <si>
    <t>Total Equity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</si>
</sst>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0" xfId="0" applyFill="1" applyBorder="1"/>
    <xf numFmtId="9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0" fillId="2" borderId="1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Border="1"/>
    <xf numFmtId="0" fontId="0" fillId="0" borderId="3" xfId="0" applyFill="1" applyBorder="1" applyAlignment="1">
      <alignment horizontal="left"/>
    </xf>
    <xf numFmtId="44" fontId="0" fillId="0" borderId="0" xfId="0" applyNumberFormat="1"/>
    <xf numFmtId="44" fontId="0" fillId="0" borderId="0" xfId="1" applyFont="1"/>
    <xf numFmtId="164" fontId="0" fillId="0" borderId="0" xfId="0" applyNumberFormat="1"/>
    <xf numFmtId="164" fontId="0" fillId="0" borderId="0" xfId="1" applyNumberFormat="1" applyFont="1"/>
    <xf numFmtId="0" fontId="4" fillId="0" borderId="0" xfId="0" applyFont="1" applyFill="1" applyBorder="1" applyAlignment="1">
      <alignment horizontal="right"/>
    </xf>
    <xf numFmtId="0" fontId="2" fillId="0" borderId="1" xfId="0" applyFont="1" applyBorder="1"/>
    <xf numFmtId="164" fontId="0" fillId="0" borderId="0" xfId="0" applyNumberFormat="1" applyFill="1"/>
    <xf numFmtId="0" fontId="0" fillId="0" borderId="4" xfId="0" applyFill="1" applyBorder="1" applyAlignment="1">
      <alignment horizontal="left"/>
    </xf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9" fontId="0" fillId="0" borderId="1" xfId="2" applyFont="1" applyBorder="1"/>
    <xf numFmtId="9" fontId="0" fillId="0" borderId="6" xfId="2" applyFont="1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  <xf numFmtId="9" fontId="0" fillId="0" borderId="0" xfId="0" applyNumberFormat="1" applyAlignment="1">
      <alignment horizontal="center"/>
    </xf>
    <xf numFmtId="9" fontId="0" fillId="0" borderId="1" xfId="1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5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6FC3-DAE4-E147-97C3-B31A171D4DFB}">
  <dimension ref="A1:E18"/>
  <sheetViews>
    <sheetView showGridLines="0" tabSelected="1" workbookViewId="0">
      <selection activeCell="B19" sqref="B19"/>
    </sheetView>
  </sheetViews>
  <sheetFormatPr baseColWidth="10" defaultRowHeight="16" x14ac:dyDescent="0.2"/>
  <cols>
    <col min="1" max="1" width="2.83203125" customWidth="1"/>
    <col min="4" max="4" width="13.1640625" customWidth="1"/>
  </cols>
  <sheetData>
    <row r="1" spans="1:5" x14ac:dyDescent="0.2">
      <c r="A1" s="37" t="s">
        <v>59</v>
      </c>
      <c r="B1" s="37"/>
      <c r="C1" s="37"/>
      <c r="D1" s="37"/>
      <c r="E1" s="37"/>
    </row>
    <row r="2" spans="1:5" ht="29" customHeight="1" x14ac:dyDescent="0.2">
      <c r="A2" s="37"/>
      <c r="B2" s="37"/>
      <c r="C2" s="37"/>
      <c r="D2" s="37"/>
      <c r="E2" s="37"/>
    </row>
    <row r="5" spans="1:5" ht="20" customHeight="1" x14ac:dyDescent="0.2">
      <c r="A5" t="s">
        <v>0</v>
      </c>
      <c r="B5" t="s">
        <v>100</v>
      </c>
    </row>
    <row r="6" spans="1:5" ht="20" customHeight="1" x14ac:dyDescent="0.2">
      <c r="A6" t="s">
        <v>0</v>
      </c>
      <c r="B6" t="s">
        <v>101</v>
      </c>
    </row>
    <row r="7" spans="1:5" ht="20" customHeight="1" x14ac:dyDescent="0.2">
      <c r="A7" t="s">
        <v>0</v>
      </c>
      <c r="B7" t="s">
        <v>102</v>
      </c>
    </row>
    <row r="8" spans="1:5" ht="20" customHeight="1" x14ac:dyDescent="0.2">
      <c r="A8" t="s">
        <v>0</v>
      </c>
      <c r="B8" t="s">
        <v>78</v>
      </c>
    </row>
    <row r="9" spans="1:5" ht="20" customHeight="1" x14ac:dyDescent="0.2">
      <c r="A9" t="s">
        <v>0</v>
      </c>
      <c r="B9" t="s">
        <v>79</v>
      </c>
    </row>
    <row r="10" spans="1:5" ht="20" customHeight="1" x14ac:dyDescent="0.2">
      <c r="A10" t="s">
        <v>80</v>
      </c>
      <c r="B10" t="s">
        <v>103</v>
      </c>
    </row>
    <row r="11" spans="1:5" ht="20" customHeight="1" x14ac:dyDescent="0.2">
      <c r="A11" t="s">
        <v>80</v>
      </c>
      <c r="B11" t="s">
        <v>104</v>
      </c>
    </row>
    <row r="12" spans="1:5" ht="20" customHeight="1" x14ac:dyDescent="0.2">
      <c r="A12" t="s">
        <v>0</v>
      </c>
      <c r="B12" t="s">
        <v>105</v>
      </c>
    </row>
    <row r="13" spans="1:5" ht="20" customHeight="1" x14ac:dyDescent="0.2">
      <c r="A13" t="s">
        <v>0</v>
      </c>
      <c r="B13" t="s">
        <v>81</v>
      </c>
    </row>
    <row r="14" spans="1:5" ht="20" customHeight="1" x14ac:dyDescent="0.2">
      <c r="A14" t="s">
        <v>0</v>
      </c>
      <c r="B14" t="s">
        <v>106</v>
      </c>
    </row>
    <row r="15" spans="1:5" ht="20" customHeight="1" x14ac:dyDescent="0.2">
      <c r="A15" t="s">
        <v>0</v>
      </c>
      <c r="B15" t="s">
        <v>107</v>
      </c>
    </row>
    <row r="16" spans="1:5" ht="20" customHeight="1" x14ac:dyDescent="0.2">
      <c r="A16" t="s">
        <v>0</v>
      </c>
      <c r="B16" t="s">
        <v>82</v>
      </c>
    </row>
    <row r="17" spans="1:2" ht="20" customHeight="1" x14ac:dyDescent="0.2">
      <c r="A17" t="s">
        <v>0</v>
      </c>
      <c r="B17" t="s">
        <v>83</v>
      </c>
    </row>
    <row r="18" spans="1:2" ht="20" customHeight="1" x14ac:dyDescent="0.2">
      <c r="A18" t="s">
        <v>0</v>
      </c>
      <c r="B18" t="s">
        <v>84</v>
      </c>
    </row>
  </sheetData>
  <mergeCells count="1">
    <mergeCell ref="A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F8D58-E76A-2648-B1A9-D448F0CC6779}">
  <dimension ref="A1:K17"/>
  <sheetViews>
    <sheetView showGridLines="0" workbookViewId="0">
      <selection activeCell="B9" sqref="B9"/>
    </sheetView>
  </sheetViews>
  <sheetFormatPr baseColWidth="10" defaultRowHeight="16" x14ac:dyDescent="0.2"/>
  <cols>
    <col min="1" max="1" width="2.83203125" customWidth="1"/>
    <col min="4" max="4" width="10.83203125" customWidth="1"/>
    <col min="5" max="5" width="13.33203125" customWidth="1"/>
  </cols>
  <sheetData>
    <row r="1" spans="1:11" x14ac:dyDescent="0.2">
      <c r="A1" s="37" t="s">
        <v>20</v>
      </c>
      <c r="B1" s="37"/>
      <c r="C1" s="37"/>
      <c r="D1" s="37"/>
      <c r="E1" s="37"/>
    </row>
    <row r="2" spans="1:11" ht="29" customHeight="1" x14ac:dyDescent="0.2">
      <c r="A2" s="37"/>
      <c r="B2" s="37"/>
      <c r="C2" s="37"/>
      <c r="D2" s="37"/>
      <c r="E2" s="37"/>
    </row>
    <row r="4" spans="1:11" x14ac:dyDescent="0.2">
      <c r="A4" t="s">
        <v>0</v>
      </c>
      <c r="B4" s="1" t="s">
        <v>1</v>
      </c>
      <c r="C4" s="1"/>
      <c r="D4" s="1"/>
      <c r="E4" s="1"/>
      <c r="G4" s="1" t="s">
        <v>4</v>
      </c>
      <c r="H4" s="1"/>
      <c r="I4" s="1"/>
      <c r="J4" s="1"/>
    </row>
    <row r="5" spans="1:11" x14ac:dyDescent="0.2">
      <c r="B5" t="s">
        <v>1</v>
      </c>
      <c r="E5" s="12">
        <f>J10</f>
        <v>1500</v>
      </c>
      <c r="G5" t="s">
        <v>5</v>
      </c>
      <c r="J5">
        <f>ABS(Projections!G6)</f>
        <v>300</v>
      </c>
    </row>
    <row r="6" spans="1:11" x14ac:dyDescent="0.2">
      <c r="B6" t="s">
        <v>2</v>
      </c>
      <c r="D6" s="3">
        <v>0.03</v>
      </c>
      <c r="E6" s="12">
        <f>$E$5*D6</f>
        <v>45</v>
      </c>
      <c r="G6" t="s">
        <v>6</v>
      </c>
      <c r="J6" s="4" t="s">
        <v>57</v>
      </c>
    </row>
    <row r="7" spans="1:11" x14ac:dyDescent="0.2">
      <c r="B7" t="s">
        <v>3</v>
      </c>
      <c r="D7" s="3">
        <v>0.02</v>
      </c>
      <c r="E7" s="12">
        <f>$E$5*D7</f>
        <v>30</v>
      </c>
      <c r="G7" t="s">
        <v>7</v>
      </c>
      <c r="J7">
        <f>J5*5</f>
        <v>1500</v>
      </c>
    </row>
    <row r="8" spans="1:11" x14ac:dyDescent="0.2">
      <c r="B8" t="s">
        <v>108</v>
      </c>
      <c r="E8" s="12">
        <f>SUM(E5:E7)</f>
        <v>1575</v>
      </c>
      <c r="G8" t="s">
        <v>8</v>
      </c>
      <c r="J8">
        <f>0</f>
        <v>0</v>
      </c>
    </row>
    <row r="9" spans="1:11" x14ac:dyDescent="0.2">
      <c r="G9" t="s">
        <v>9</v>
      </c>
      <c r="J9">
        <v>0</v>
      </c>
    </row>
    <row r="10" spans="1:11" x14ac:dyDescent="0.2">
      <c r="G10" t="s">
        <v>10</v>
      </c>
      <c r="J10">
        <f>J7+(J8+J9)</f>
        <v>1500</v>
      </c>
    </row>
    <row r="12" spans="1:11" x14ac:dyDescent="0.2">
      <c r="A12" t="s">
        <v>0</v>
      </c>
      <c r="B12" s="1" t="s">
        <v>11</v>
      </c>
      <c r="C12" s="1"/>
      <c r="D12" s="1"/>
      <c r="E12" s="1"/>
      <c r="G12" s="1" t="s">
        <v>17</v>
      </c>
      <c r="H12" s="1"/>
      <c r="I12" s="1"/>
      <c r="J12" s="1"/>
      <c r="K12" s="1"/>
    </row>
    <row r="13" spans="1:11" x14ac:dyDescent="0.2">
      <c r="B13" t="s">
        <v>12</v>
      </c>
      <c r="D13" s="4" t="s">
        <v>58</v>
      </c>
      <c r="E13" s="12">
        <v>300</v>
      </c>
      <c r="G13" s="2" t="s">
        <v>18</v>
      </c>
      <c r="K13" s="3">
        <f>CHOOSE(Projections!Q7,Projections!O6,Projections!P6,Projections!Q6)</f>
        <v>0.04</v>
      </c>
    </row>
    <row r="14" spans="1:11" x14ac:dyDescent="0.2">
      <c r="B14" t="s">
        <v>13</v>
      </c>
      <c r="D14" s="4" t="s">
        <v>24</v>
      </c>
      <c r="E14" s="12">
        <f>J5*2</f>
        <v>600</v>
      </c>
      <c r="G14" s="2" t="s">
        <v>23</v>
      </c>
      <c r="K14">
        <v>15</v>
      </c>
    </row>
    <row r="15" spans="1:11" x14ac:dyDescent="0.2">
      <c r="B15" t="s">
        <v>14</v>
      </c>
      <c r="D15" s="4" t="s">
        <v>58</v>
      </c>
      <c r="E15" s="12">
        <f>J5*1</f>
        <v>300</v>
      </c>
      <c r="G15" s="2" t="s">
        <v>22</v>
      </c>
      <c r="K15" s="3">
        <v>0.04</v>
      </c>
    </row>
    <row r="16" spans="1:11" x14ac:dyDescent="0.2">
      <c r="B16" t="s">
        <v>15</v>
      </c>
      <c r="E16" s="12">
        <f>E8-(SUM(E13:E15))</f>
        <v>375</v>
      </c>
      <c r="G16" s="2" t="s">
        <v>21</v>
      </c>
      <c r="K16" s="3">
        <v>0.1</v>
      </c>
    </row>
    <row r="17" spans="2:11" x14ac:dyDescent="0.2">
      <c r="B17" t="s">
        <v>16</v>
      </c>
      <c r="E17" s="12">
        <f>SUM(E13:E16)</f>
        <v>1575</v>
      </c>
      <c r="G17" s="2" t="s">
        <v>19</v>
      </c>
      <c r="K17" s="5">
        <v>0</v>
      </c>
    </row>
  </sheetData>
  <mergeCells count="1">
    <mergeCell ref="A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A6B6-E13F-7443-A382-8A9C443DDDED}">
  <dimension ref="A1:K35"/>
  <sheetViews>
    <sheetView showGridLines="0" workbookViewId="0">
      <selection activeCell="G35" sqref="G35"/>
    </sheetView>
  </sheetViews>
  <sheetFormatPr baseColWidth="10" defaultRowHeight="16" x14ac:dyDescent="0.2"/>
  <cols>
    <col min="1" max="1" width="2.83203125" customWidth="1"/>
    <col min="2" max="2" width="13.83203125" customWidth="1"/>
    <col min="4" max="4" width="13.1640625" customWidth="1"/>
  </cols>
  <sheetData>
    <row r="1" spans="1:11" x14ac:dyDescent="0.2">
      <c r="A1" s="37" t="s">
        <v>76</v>
      </c>
      <c r="B1" s="37"/>
      <c r="C1" s="37"/>
      <c r="D1" s="37"/>
      <c r="E1" s="37"/>
    </row>
    <row r="2" spans="1:11" ht="29" customHeight="1" x14ac:dyDescent="0.2">
      <c r="A2" s="37"/>
      <c r="B2" s="37"/>
      <c r="C2" s="37"/>
      <c r="D2" s="37"/>
      <c r="E2" s="37"/>
    </row>
    <row r="4" spans="1:11" x14ac:dyDescent="0.2">
      <c r="A4" t="s">
        <v>0</v>
      </c>
      <c r="B4" s="1" t="s">
        <v>60</v>
      </c>
      <c r="C4" s="1"/>
      <c r="D4" s="1"/>
      <c r="E4" s="1"/>
      <c r="F4" s="1">
        <v>2022</v>
      </c>
      <c r="G4" s="6">
        <v>2023</v>
      </c>
      <c r="H4" s="6">
        <v>2024</v>
      </c>
      <c r="I4" s="6">
        <v>2025</v>
      </c>
      <c r="J4" s="6">
        <v>2026</v>
      </c>
      <c r="K4" s="6">
        <v>2027</v>
      </c>
    </row>
    <row r="5" spans="1:11" x14ac:dyDescent="0.2">
      <c r="B5" t="s">
        <v>61</v>
      </c>
      <c r="G5" s="3">
        <v>0.01</v>
      </c>
      <c r="H5" s="3">
        <v>0.01</v>
      </c>
      <c r="I5" s="3">
        <v>0.01</v>
      </c>
      <c r="J5" s="3">
        <v>0.01</v>
      </c>
      <c r="K5" s="3">
        <v>0.01</v>
      </c>
    </row>
    <row r="7" spans="1:11" x14ac:dyDescent="0.2">
      <c r="B7" s="1" t="s">
        <v>62</v>
      </c>
      <c r="F7" s="1">
        <v>2022</v>
      </c>
      <c r="G7" s="6">
        <v>2023</v>
      </c>
      <c r="H7" s="6">
        <v>2024</v>
      </c>
      <c r="I7" s="6">
        <v>2025</v>
      </c>
      <c r="J7" s="6">
        <v>2026</v>
      </c>
      <c r="K7" s="6">
        <v>2027</v>
      </c>
    </row>
    <row r="8" spans="1:11" x14ac:dyDescent="0.2">
      <c r="B8" t="s">
        <v>68</v>
      </c>
      <c r="F8" s="12"/>
      <c r="G8" s="12">
        <f>F10</f>
        <v>0</v>
      </c>
      <c r="H8" s="12">
        <f t="shared" ref="H8:K8" si="0">G10</f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</row>
    <row r="9" spans="1:11" x14ac:dyDescent="0.2">
      <c r="B9" t="s">
        <v>63</v>
      </c>
      <c r="F9" s="12"/>
      <c r="G9" s="12"/>
      <c r="H9" s="12"/>
      <c r="I9" s="12"/>
      <c r="J9" s="12"/>
      <c r="K9" s="12"/>
    </row>
    <row r="10" spans="1:11" x14ac:dyDescent="0.2">
      <c r="B10" t="s">
        <v>69</v>
      </c>
      <c r="F10" s="12">
        <v>0</v>
      </c>
      <c r="G10" s="12">
        <f>SUM(G8:G9)</f>
        <v>0</v>
      </c>
      <c r="H10" s="12">
        <f t="shared" ref="H10:K10" si="1">SUM(H8:H9)</f>
        <v>0</v>
      </c>
      <c r="I10" s="12">
        <f t="shared" si="1"/>
        <v>0</v>
      </c>
      <c r="J10" s="12">
        <f t="shared" si="1"/>
        <v>0</v>
      </c>
      <c r="K10" s="12">
        <f t="shared" si="1"/>
        <v>0</v>
      </c>
    </row>
    <row r="12" spans="1:11" x14ac:dyDescent="0.2">
      <c r="B12" s="1" t="s">
        <v>64</v>
      </c>
      <c r="C12" s="1"/>
      <c r="F12" s="1">
        <v>2022</v>
      </c>
      <c r="G12" s="6">
        <v>2023</v>
      </c>
      <c r="H12" s="6">
        <v>2024</v>
      </c>
      <c r="I12" s="6">
        <v>2025</v>
      </c>
      <c r="J12" s="6">
        <v>2026</v>
      </c>
      <c r="K12" s="6">
        <v>2027</v>
      </c>
    </row>
    <row r="13" spans="1:11" x14ac:dyDescent="0.2">
      <c r="B13" s="2" t="s">
        <v>68</v>
      </c>
      <c r="F13" s="12"/>
      <c r="G13" s="12">
        <f>F15</f>
        <v>300</v>
      </c>
      <c r="H13" s="12">
        <f>G15</f>
        <v>174.95999999999998</v>
      </c>
      <c r="I13" s="12">
        <f>H15</f>
        <v>20.918399999999963</v>
      </c>
      <c r="J13" s="12" t="str">
        <f t="shared" ref="J13:K13" si="2">I15</f>
        <v>-</v>
      </c>
      <c r="K13" s="12" t="str">
        <f t="shared" si="2"/>
        <v>-</v>
      </c>
    </row>
    <row r="14" spans="1:11" x14ac:dyDescent="0.2">
      <c r="B14" s="2" t="s">
        <v>63</v>
      </c>
      <c r="F14" s="12"/>
      <c r="G14" s="12">
        <f>-(Projections!H27)</f>
        <v>-125.04000000000002</v>
      </c>
      <c r="H14" s="12">
        <f>-(Projections!I27)</f>
        <v>-154.04160000000002</v>
      </c>
      <c r="I14" s="12">
        <f>-(MIN(I13,Projections!J27))</f>
        <v>-20.918399999999963</v>
      </c>
      <c r="J14" s="12" t="s">
        <v>77</v>
      </c>
      <c r="K14" s="12" t="s">
        <v>77</v>
      </c>
    </row>
    <row r="15" spans="1:11" x14ac:dyDescent="0.2">
      <c r="B15" s="2" t="s">
        <v>69</v>
      </c>
      <c r="F15" s="12">
        <f>Sourcing!E13</f>
        <v>300</v>
      </c>
      <c r="G15" s="12">
        <f>SUM(G13:G14)</f>
        <v>174.95999999999998</v>
      </c>
      <c r="H15" s="12">
        <f>SUM(H13:H14)</f>
        <v>20.918399999999963</v>
      </c>
      <c r="I15" s="12" t="s">
        <v>77</v>
      </c>
      <c r="J15" s="12" t="s">
        <v>77</v>
      </c>
      <c r="K15" s="12" t="s">
        <v>77</v>
      </c>
    </row>
    <row r="16" spans="1:11" x14ac:dyDescent="0.2">
      <c r="B16" s="15" t="s">
        <v>65</v>
      </c>
      <c r="G16" s="3">
        <v>0.03</v>
      </c>
      <c r="H16" s="3">
        <v>0.03</v>
      </c>
      <c r="I16" s="3">
        <v>0.03</v>
      </c>
      <c r="J16" s="3">
        <v>0.03</v>
      </c>
      <c r="K16" s="3">
        <v>0.03</v>
      </c>
    </row>
    <row r="17" spans="2:11" x14ac:dyDescent="0.2">
      <c r="B17" s="15" t="s">
        <v>66</v>
      </c>
      <c r="G17" s="14">
        <f>(G16+G5)*AVERAGE(F15:G15)</f>
        <v>9.4992000000000001</v>
      </c>
      <c r="H17" s="14">
        <f>(H16+H5)*AVERAGE(G15:H15)</f>
        <v>3.9175679999999988</v>
      </c>
      <c r="I17" s="14">
        <f>(I16+I5)*AVERAGE(H15:I15)</f>
        <v>0.83673599999999848</v>
      </c>
      <c r="J17" s="12" t="s">
        <v>77</v>
      </c>
      <c r="K17" s="12" t="s">
        <v>77</v>
      </c>
    </row>
    <row r="19" spans="2:11" x14ac:dyDescent="0.2">
      <c r="B19" s="1" t="s">
        <v>67</v>
      </c>
      <c r="F19" s="1">
        <v>2022</v>
      </c>
      <c r="G19" s="6">
        <v>2023</v>
      </c>
      <c r="H19" s="6">
        <v>2024</v>
      </c>
      <c r="I19" s="6">
        <v>2025</v>
      </c>
      <c r="J19" s="6">
        <v>2026</v>
      </c>
      <c r="K19" s="6">
        <v>2027</v>
      </c>
    </row>
    <row r="20" spans="2:11" x14ac:dyDescent="0.2">
      <c r="B20" s="2" t="s">
        <v>68</v>
      </c>
      <c r="F20" s="12"/>
      <c r="G20" s="12">
        <f>F22</f>
        <v>600</v>
      </c>
      <c r="H20" s="12">
        <f>G22</f>
        <v>540</v>
      </c>
      <c r="I20" s="12">
        <f t="shared" ref="I20:K20" si="3">H22</f>
        <v>486</v>
      </c>
      <c r="J20" s="12">
        <f t="shared" si="3"/>
        <v>437.4</v>
      </c>
      <c r="K20" s="12">
        <f t="shared" si="3"/>
        <v>393.65999999999997</v>
      </c>
    </row>
    <row r="21" spans="2:11" x14ac:dyDescent="0.2">
      <c r="B21" s="2" t="s">
        <v>70</v>
      </c>
      <c r="F21" s="12"/>
      <c r="G21" s="12">
        <f>-(G24*G20)</f>
        <v>-60</v>
      </c>
      <c r="H21" s="12">
        <f>-(H24*H20)</f>
        <v>-54</v>
      </c>
      <c r="I21" s="12">
        <f t="shared" ref="I21:K21" si="4">-(I24*I20)</f>
        <v>-48.6</v>
      </c>
      <c r="J21" s="12">
        <f t="shared" si="4"/>
        <v>-43.74</v>
      </c>
      <c r="K21" s="12">
        <f t="shared" si="4"/>
        <v>-39.366</v>
      </c>
    </row>
    <row r="22" spans="2:11" x14ac:dyDescent="0.2">
      <c r="B22" s="2" t="s">
        <v>69</v>
      </c>
      <c r="F22" s="12">
        <f>Sourcing!E14</f>
        <v>600</v>
      </c>
      <c r="G22" s="12">
        <f>SUM(G20:G21)</f>
        <v>540</v>
      </c>
      <c r="H22" s="12">
        <f>SUM(H20:H21)</f>
        <v>486</v>
      </c>
      <c r="I22" s="12">
        <f t="shared" ref="I22:K22" si="5">SUM(I20:I21)</f>
        <v>437.4</v>
      </c>
      <c r="J22" s="12">
        <f t="shared" si="5"/>
        <v>393.65999999999997</v>
      </c>
      <c r="K22" s="12">
        <f t="shared" si="5"/>
        <v>354.29399999999998</v>
      </c>
    </row>
    <row r="23" spans="2:11" x14ac:dyDescent="0.2">
      <c r="B23" s="15" t="s">
        <v>65</v>
      </c>
      <c r="F23" s="3"/>
      <c r="G23" s="3">
        <v>0.03</v>
      </c>
      <c r="H23" s="3">
        <v>0.03</v>
      </c>
      <c r="I23" s="3">
        <v>0.03</v>
      </c>
      <c r="J23" s="3">
        <v>0.03</v>
      </c>
      <c r="K23" s="3">
        <v>0.03</v>
      </c>
    </row>
    <row r="24" spans="2:11" x14ac:dyDescent="0.2">
      <c r="B24" s="15" t="s">
        <v>70</v>
      </c>
      <c r="G24" s="3">
        <v>0.1</v>
      </c>
      <c r="H24" s="3">
        <v>0.1</v>
      </c>
      <c r="I24" s="3">
        <v>0.1</v>
      </c>
      <c r="J24" s="3">
        <v>0.1</v>
      </c>
      <c r="K24" s="3">
        <v>0.1</v>
      </c>
    </row>
    <row r="25" spans="2:11" x14ac:dyDescent="0.2">
      <c r="B25" s="15" t="s">
        <v>66</v>
      </c>
      <c r="G25" s="14">
        <f>(G23+G5)*AVERAGE(F22:G22)</f>
        <v>22.8</v>
      </c>
      <c r="H25" s="14">
        <f>(H23+H5)*AVERAGE(G22:H22)</f>
        <v>20.52</v>
      </c>
      <c r="I25" s="14">
        <f>(I23+I5)*AVERAGE(H22:I22)</f>
        <v>18.468</v>
      </c>
      <c r="J25" s="14">
        <f>(J23+J5)*AVERAGE(I22:J22)</f>
        <v>16.621199999999998</v>
      </c>
      <c r="K25" s="14">
        <f>(K23+K5)*AVERAGE(J22:K22)</f>
        <v>14.95908</v>
      </c>
    </row>
    <row r="27" spans="2:11" x14ac:dyDescent="0.2">
      <c r="B27" s="1" t="s">
        <v>14</v>
      </c>
      <c r="F27" s="1">
        <v>2022</v>
      </c>
      <c r="G27" s="6">
        <v>2023</v>
      </c>
      <c r="H27" s="6">
        <v>2024</v>
      </c>
      <c r="I27" s="6">
        <v>2025</v>
      </c>
      <c r="J27" s="6">
        <v>2026</v>
      </c>
      <c r="K27" s="6">
        <v>2027</v>
      </c>
    </row>
    <row r="28" spans="2:11" x14ac:dyDescent="0.2">
      <c r="B28" s="2" t="s">
        <v>68</v>
      </c>
      <c r="F28" s="12"/>
      <c r="G28" s="12">
        <f>F30</f>
        <v>300</v>
      </c>
      <c r="H28" s="12">
        <f t="shared" ref="H28:K28" si="6">G30</f>
        <v>300</v>
      </c>
      <c r="I28" s="12">
        <f t="shared" si="6"/>
        <v>300</v>
      </c>
      <c r="J28" s="12">
        <f t="shared" si="6"/>
        <v>300</v>
      </c>
      <c r="K28" s="12">
        <f t="shared" si="6"/>
        <v>300</v>
      </c>
    </row>
    <row r="29" spans="2:11" x14ac:dyDescent="0.2">
      <c r="B29" s="2" t="s">
        <v>71</v>
      </c>
      <c r="F29" s="12"/>
      <c r="G29" s="12" t="s">
        <v>77</v>
      </c>
      <c r="H29" s="12" t="s">
        <v>77</v>
      </c>
      <c r="I29" s="12" t="s">
        <v>77</v>
      </c>
      <c r="J29" s="12" t="s">
        <v>77</v>
      </c>
      <c r="K29" s="12" t="s">
        <v>77</v>
      </c>
    </row>
    <row r="30" spans="2:11" x14ac:dyDescent="0.2">
      <c r="B30" s="2" t="s">
        <v>69</v>
      </c>
      <c r="F30" s="12">
        <f>Sourcing!$E$15</f>
        <v>300</v>
      </c>
      <c r="G30" s="12">
        <f>Sourcing!$E$15</f>
        <v>300</v>
      </c>
      <c r="H30" s="12">
        <f>Sourcing!$E$15</f>
        <v>300</v>
      </c>
      <c r="I30" s="12">
        <f>Sourcing!$E$15</f>
        <v>300</v>
      </c>
      <c r="J30" s="12">
        <f>Sourcing!$E$15</f>
        <v>300</v>
      </c>
      <c r="K30" s="12">
        <f>Sourcing!$E$15</f>
        <v>300</v>
      </c>
    </row>
    <row r="31" spans="2:11" x14ac:dyDescent="0.2">
      <c r="B31" s="15" t="s">
        <v>72</v>
      </c>
      <c r="G31" s="3">
        <v>0.05</v>
      </c>
      <c r="H31" s="3">
        <v>0.05</v>
      </c>
      <c r="I31" s="3">
        <v>0.05</v>
      </c>
      <c r="J31" s="3">
        <v>0.05</v>
      </c>
      <c r="K31" s="3">
        <v>0.05</v>
      </c>
    </row>
    <row r="32" spans="2:11" x14ac:dyDescent="0.2">
      <c r="B32" s="15" t="s">
        <v>66</v>
      </c>
      <c r="G32" s="12">
        <f>(G31+G5)*AVERAGE(F30:G30)</f>
        <v>18</v>
      </c>
      <c r="H32" s="12">
        <f>(H31+H5)*AVERAGE(G30:H30)</f>
        <v>18</v>
      </c>
      <c r="I32" s="12">
        <f>(I31+I5)*AVERAGE(H30:I30)</f>
        <v>18</v>
      </c>
      <c r="J32" s="12">
        <f>(J31+J5)*AVERAGE(I30:J30)</f>
        <v>18</v>
      </c>
      <c r="K32" s="12">
        <f>(K31+K5)*AVERAGE(J30:K30)</f>
        <v>18</v>
      </c>
    </row>
    <row r="34" spans="1:11" x14ac:dyDescent="0.2">
      <c r="A34" t="s">
        <v>0</v>
      </c>
      <c r="B34" s="16" t="s">
        <v>73</v>
      </c>
      <c r="C34" s="1"/>
      <c r="D34" s="1"/>
      <c r="E34" s="1"/>
      <c r="F34" s="1">
        <v>2022</v>
      </c>
      <c r="G34" s="6">
        <v>2023</v>
      </c>
      <c r="H34" s="6">
        <v>2024</v>
      </c>
      <c r="I34" s="6">
        <v>2025</v>
      </c>
      <c r="J34" s="6">
        <v>2026</v>
      </c>
      <c r="K34" s="6">
        <v>2027</v>
      </c>
    </row>
    <row r="35" spans="1:11" x14ac:dyDescent="0.2">
      <c r="G35" s="11">
        <f>SUM(G17,G25,G32)</f>
        <v>50.299199999999999</v>
      </c>
      <c r="H35" s="11">
        <f t="shared" ref="H35:K35" si="7">SUM(H17,H25,H32)</f>
        <v>42.437567999999999</v>
      </c>
      <c r="I35" s="11">
        <f t="shared" si="7"/>
        <v>37.304735999999998</v>
      </c>
      <c r="J35" s="11">
        <f t="shared" si="7"/>
        <v>34.621200000000002</v>
      </c>
      <c r="K35" s="11">
        <f t="shared" si="7"/>
        <v>32.95908</v>
      </c>
    </row>
  </sheetData>
  <mergeCells count="1">
    <mergeCell ref="A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2078-D7C5-BB44-A013-6EB1B33E6C2B}">
  <dimension ref="A1:X44"/>
  <sheetViews>
    <sheetView showGridLines="0" workbookViewId="0">
      <selection activeCell="Q21" sqref="Q21"/>
    </sheetView>
  </sheetViews>
  <sheetFormatPr baseColWidth="10" defaultRowHeight="16" x14ac:dyDescent="0.2"/>
  <cols>
    <col min="1" max="1" width="2.83203125" customWidth="1"/>
    <col min="2" max="2" width="21.5" customWidth="1"/>
    <col min="8" max="8" width="11.1640625" bestFit="1" customWidth="1"/>
    <col min="13" max="13" width="7.1640625" customWidth="1"/>
    <col min="14" max="14" width="5" customWidth="1"/>
    <col min="15" max="15" width="14" customWidth="1"/>
    <col min="17" max="17" width="13.5" customWidth="1"/>
    <col min="19" max="19" width="14.33203125" customWidth="1"/>
    <col min="20" max="20" width="15.6640625" customWidth="1"/>
    <col min="23" max="23" width="13" customWidth="1"/>
    <col min="24" max="24" width="12.5" customWidth="1"/>
  </cols>
  <sheetData>
    <row r="1" spans="1:24" x14ac:dyDescent="0.2">
      <c r="A1" s="37" t="s">
        <v>25</v>
      </c>
      <c r="B1" s="37"/>
      <c r="C1" s="37"/>
      <c r="D1" s="37"/>
      <c r="E1" s="37"/>
    </row>
    <row r="2" spans="1:24" ht="29" customHeight="1" x14ac:dyDescent="0.2">
      <c r="A2" s="37"/>
      <c r="B2" s="37"/>
      <c r="C2" s="37"/>
      <c r="D2" s="37"/>
      <c r="E2" s="37"/>
    </row>
    <row r="4" spans="1:24" x14ac:dyDescent="0.2">
      <c r="A4" t="s">
        <v>0</v>
      </c>
      <c r="B4" s="1" t="s">
        <v>26</v>
      </c>
      <c r="C4" s="1"/>
      <c r="D4" s="1"/>
      <c r="E4" s="1"/>
      <c r="F4" s="1"/>
      <c r="G4" s="1">
        <v>2022</v>
      </c>
      <c r="H4" s="6">
        <v>2023</v>
      </c>
      <c r="I4" s="6">
        <v>2024</v>
      </c>
      <c r="J4" s="6">
        <v>2025</v>
      </c>
      <c r="K4" s="6">
        <v>2026</v>
      </c>
      <c r="L4" s="6">
        <v>2027</v>
      </c>
      <c r="O4" s="38" t="s">
        <v>87</v>
      </c>
      <c r="P4" s="38"/>
      <c r="Q4" s="38"/>
      <c r="S4" s="38" t="s">
        <v>99</v>
      </c>
      <c r="T4" s="38"/>
      <c r="U4" s="38"/>
      <c r="V4" s="38"/>
      <c r="W4" s="38"/>
    </row>
    <row r="5" spans="1:24" ht="34" x14ac:dyDescent="0.2">
      <c r="B5" t="s">
        <v>27</v>
      </c>
      <c r="G5" s="14">
        <v>750</v>
      </c>
      <c r="H5" s="13">
        <f>G5*(1+Sourcing!$K$13)</f>
        <v>780</v>
      </c>
      <c r="I5" s="13">
        <f>H5*(1+Sourcing!$K$13)</f>
        <v>811.2</v>
      </c>
      <c r="J5" s="13">
        <f>I5*(1+Sourcing!$K$13)</f>
        <v>843.64800000000002</v>
      </c>
      <c r="K5" s="13">
        <f>J5*(1+Sourcing!$K$13)</f>
        <v>877.39392000000009</v>
      </c>
      <c r="L5" s="13">
        <f>K5*(1+Sourcing!$K$13)</f>
        <v>912.4896768000001</v>
      </c>
      <c r="O5" s="41" t="s">
        <v>91</v>
      </c>
      <c r="P5" s="41" t="s">
        <v>92</v>
      </c>
      <c r="Q5" s="41" t="s">
        <v>93</v>
      </c>
      <c r="S5" s="36" t="s">
        <v>95</v>
      </c>
      <c r="T5" s="36" t="s">
        <v>96</v>
      </c>
      <c r="U5" s="36" t="s">
        <v>52</v>
      </c>
      <c r="V5" s="36" t="s">
        <v>53</v>
      </c>
      <c r="W5" s="33" t="s">
        <v>97</v>
      </c>
      <c r="X5" s="33" t="s">
        <v>98</v>
      </c>
    </row>
    <row r="6" spans="1:24" x14ac:dyDescent="0.2">
      <c r="B6" t="s">
        <v>28</v>
      </c>
      <c r="G6" s="13">
        <f>G15*G5</f>
        <v>300</v>
      </c>
      <c r="H6" s="13">
        <f>H5*H15</f>
        <v>312</v>
      </c>
      <c r="I6" s="13">
        <f t="shared" ref="I6:L6" si="0">I5*I15</f>
        <v>324.48</v>
      </c>
      <c r="J6" s="13">
        <f t="shared" si="0"/>
        <v>337.45920000000001</v>
      </c>
      <c r="K6" s="13">
        <f t="shared" si="0"/>
        <v>350.95756800000004</v>
      </c>
      <c r="L6" s="13">
        <f t="shared" si="0"/>
        <v>364.99587072000008</v>
      </c>
      <c r="N6" s="12"/>
      <c r="O6" s="28">
        <v>0.03</v>
      </c>
      <c r="P6" s="28">
        <v>0.04</v>
      </c>
      <c r="Q6" s="28">
        <v>0.05</v>
      </c>
      <c r="R6" s="12"/>
      <c r="S6" s="30" t="s">
        <v>89</v>
      </c>
      <c r="T6" s="30" t="s">
        <v>89</v>
      </c>
      <c r="U6" s="24">
        <v>3.8</v>
      </c>
      <c r="V6" s="27">
        <v>0.31</v>
      </c>
      <c r="W6" s="34">
        <f>U6/$U$10</f>
        <v>1.2582781456953642</v>
      </c>
      <c r="X6" s="34">
        <f>V6/$V$10</f>
        <v>1.24</v>
      </c>
    </row>
    <row r="7" spans="1:24" x14ac:dyDescent="0.2">
      <c r="B7" t="s">
        <v>29</v>
      </c>
      <c r="G7" s="13">
        <f>-(G16*G5)</f>
        <v>-150</v>
      </c>
      <c r="H7" s="13">
        <f>-(H16*H5)</f>
        <v>-156</v>
      </c>
      <c r="I7" s="13">
        <f t="shared" ref="I7:L7" si="1">-(I16*I5)</f>
        <v>-162.24</v>
      </c>
      <c r="J7" s="13">
        <f t="shared" si="1"/>
        <v>-168.7296</v>
      </c>
      <c r="K7" s="13">
        <f t="shared" si="1"/>
        <v>-175.47878400000002</v>
      </c>
      <c r="L7" s="13">
        <f t="shared" si="1"/>
        <v>-182.49793536000004</v>
      </c>
      <c r="O7" s="40" t="s">
        <v>88</v>
      </c>
      <c r="P7" s="40"/>
      <c r="Q7" s="25">
        <v>2</v>
      </c>
      <c r="S7" s="30" t="s">
        <v>89</v>
      </c>
      <c r="T7" s="32" t="s">
        <v>85</v>
      </c>
      <c r="U7" s="24">
        <v>2.79</v>
      </c>
      <c r="V7" s="27">
        <v>0.23</v>
      </c>
      <c r="W7" s="34">
        <f t="shared" ref="W7:W14" si="2">U7/$U$10</f>
        <v>0.92384105960264906</v>
      </c>
      <c r="X7" s="34">
        <f t="shared" ref="X7:X14" si="3">V7/$V$10</f>
        <v>0.92</v>
      </c>
    </row>
    <row r="8" spans="1:24" x14ac:dyDescent="0.2">
      <c r="B8" t="s">
        <v>30</v>
      </c>
      <c r="G8" s="13">
        <f>SUM(G6:G7)</f>
        <v>150</v>
      </c>
      <c r="H8" s="13">
        <f t="shared" ref="H8:L8" si="4">SUM(H6:H7)</f>
        <v>156</v>
      </c>
      <c r="I8" s="13">
        <f t="shared" si="4"/>
        <v>162.24</v>
      </c>
      <c r="J8" s="13">
        <f t="shared" si="4"/>
        <v>168.7296</v>
      </c>
      <c r="K8" s="13">
        <f t="shared" si="4"/>
        <v>175.47878400000002</v>
      </c>
      <c r="L8" s="13">
        <f t="shared" si="4"/>
        <v>182.49793536000004</v>
      </c>
      <c r="S8" s="30" t="s">
        <v>89</v>
      </c>
      <c r="T8" s="31" t="s">
        <v>86</v>
      </c>
      <c r="U8" s="24">
        <v>2.4</v>
      </c>
      <c r="V8" s="27">
        <v>0.19</v>
      </c>
      <c r="W8" s="34">
        <f t="shared" si="2"/>
        <v>0.79470198675496684</v>
      </c>
      <c r="X8" s="34">
        <f t="shared" si="3"/>
        <v>0.76</v>
      </c>
    </row>
    <row r="9" spans="1:24" x14ac:dyDescent="0.2">
      <c r="B9" t="s">
        <v>31</v>
      </c>
      <c r="G9" s="17"/>
      <c r="H9" s="12" t="s">
        <v>77</v>
      </c>
      <c r="I9" s="12" t="s">
        <v>77</v>
      </c>
      <c r="J9" s="12" t="s">
        <v>77</v>
      </c>
      <c r="K9" s="12" t="s">
        <v>77</v>
      </c>
      <c r="L9" s="12" t="s">
        <v>77</v>
      </c>
      <c r="S9" s="32" t="s">
        <v>85</v>
      </c>
      <c r="T9" s="30" t="s">
        <v>89</v>
      </c>
      <c r="U9" s="24">
        <v>4.1100000000000003</v>
      </c>
      <c r="V9" s="27">
        <v>0.33</v>
      </c>
      <c r="W9" s="34">
        <f t="shared" si="2"/>
        <v>1.360927152317881</v>
      </c>
      <c r="X9" s="34">
        <f t="shared" si="3"/>
        <v>1.32</v>
      </c>
    </row>
    <row r="10" spans="1:24" x14ac:dyDescent="0.2">
      <c r="B10" t="s">
        <v>32</v>
      </c>
      <c r="G10" s="13">
        <f>SUM(G8:G9)</f>
        <v>150</v>
      </c>
      <c r="H10" s="13">
        <f t="shared" ref="H10:L10" si="5">SUM(H8:H9)</f>
        <v>156</v>
      </c>
      <c r="I10" s="13">
        <f t="shared" si="5"/>
        <v>162.24</v>
      </c>
      <c r="J10" s="13">
        <f t="shared" si="5"/>
        <v>168.7296</v>
      </c>
      <c r="K10" s="13">
        <f t="shared" si="5"/>
        <v>175.47878400000002</v>
      </c>
      <c r="L10" s="13">
        <f t="shared" si="5"/>
        <v>182.49793536000004</v>
      </c>
      <c r="S10" s="32" t="s">
        <v>85</v>
      </c>
      <c r="T10" s="32" t="s">
        <v>85</v>
      </c>
      <c r="U10" s="24">
        <v>3.02</v>
      </c>
      <c r="V10" s="27">
        <v>0.25</v>
      </c>
      <c r="W10" s="35" t="s">
        <v>77</v>
      </c>
      <c r="X10" s="34" t="s">
        <v>77</v>
      </c>
    </row>
    <row r="11" spans="1:24" x14ac:dyDescent="0.2">
      <c r="B11" t="s">
        <v>33</v>
      </c>
      <c r="G11" s="13">
        <f>-(G17*G8)</f>
        <v>-31.5</v>
      </c>
      <c r="H11" s="13">
        <f t="shared" ref="H11:L11" si="6">-(H17*H8)</f>
        <v>-32.76</v>
      </c>
      <c r="I11" s="13">
        <f t="shared" si="6"/>
        <v>-34.070399999999999</v>
      </c>
      <c r="J11" s="13">
        <f t="shared" si="6"/>
        <v>-35.433216000000002</v>
      </c>
      <c r="K11" s="13">
        <f t="shared" si="6"/>
        <v>-36.850544640000003</v>
      </c>
      <c r="L11" s="13">
        <f t="shared" si="6"/>
        <v>-38.324566425600004</v>
      </c>
      <c r="O11" s="38" t="s">
        <v>94</v>
      </c>
      <c r="P11" s="38"/>
      <c r="Q11" s="38"/>
      <c r="S11" s="32" t="s">
        <v>85</v>
      </c>
      <c r="T11" s="31" t="s">
        <v>86</v>
      </c>
      <c r="U11" s="24">
        <v>2.6</v>
      </c>
      <c r="V11" s="27">
        <v>0.21</v>
      </c>
      <c r="W11" s="34">
        <f t="shared" si="2"/>
        <v>0.86092715231788086</v>
      </c>
      <c r="X11" s="34">
        <f t="shared" si="3"/>
        <v>0.84</v>
      </c>
    </row>
    <row r="12" spans="1:24" x14ac:dyDescent="0.2">
      <c r="B12" t="s">
        <v>34</v>
      </c>
      <c r="G12" s="13">
        <f>SUM(G10:G11)</f>
        <v>118.5</v>
      </c>
      <c r="H12" s="13">
        <f t="shared" ref="H12:L12" si="7">SUM(H10:H11)</f>
        <v>123.24000000000001</v>
      </c>
      <c r="I12" s="13">
        <f t="shared" si="7"/>
        <v>128.1696</v>
      </c>
      <c r="J12" s="13">
        <f t="shared" si="7"/>
        <v>133.29638399999999</v>
      </c>
      <c r="K12" s="13">
        <f t="shared" si="7"/>
        <v>138.62823936000001</v>
      </c>
      <c r="L12" s="13">
        <f t="shared" si="7"/>
        <v>144.17336893440003</v>
      </c>
      <c r="O12" s="24" t="s">
        <v>91</v>
      </c>
      <c r="P12" s="24" t="s">
        <v>92</v>
      </c>
      <c r="Q12" s="24" t="s">
        <v>93</v>
      </c>
      <c r="S12" s="31" t="s">
        <v>86</v>
      </c>
      <c r="T12" s="30" t="s">
        <v>89</v>
      </c>
      <c r="U12" s="24">
        <v>4.4400000000000004</v>
      </c>
      <c r="V12" s="27">
        <v>0.35</v>
      </c>
      <c r="W12" s="34">
        <f t="shared" si="2"/>
        <v>1.4701986754966889</v>
      </c>
      <c r="X12" s="34">
        <f t="shared" si="3"/>
        <v>1.4</v>
      </c>
    </row>
    <row r="13" spans="1:24" x14ac:dyDescent="0.2">
      <c r="O13" s="29">
        <v>0.3</v>
      </c>
      <c r="P13" s="29">
        <v>0.4</v>
      </c>
      <c r="Q13" s="29">
        <v>0.5</v>
      </c>
      <c r="S13" s="31" t="s">
        <v>86</v>
      </c>
      <c r="T13" s="32" t="s">
        <v>85</v>
      </c>
      <c r="U13" s="24">
        <v>3.26</v>
      </c>
      <c r="V13" s="27">
        <v>0.27</v>
      </c>
      <c r="W13" s="34">
        <f t="shared" si="2"/>
        <v>1.0794701986754967</v>
      </c>
      <c r="X13" s="34">
        <f t="shared" si="3"/>
        <v>1.08</v>
      </c>
    </row>
    <row r="14" spans="1:24" x14ac:dyDescent="0.2">
      <c r="A14" t="s">
        <v>0</v>
      </c>
      <c r="B14" s="1" t="s">
        <v>35</v>
      </c>
      <c r="C14" s="1"/>
      <c r="D14" s="1"/>
      <c r="E14" s="1"/>
      <c r="F14" s="1"/>
      <c r="G14" s="1">
        <v>2022</v>
      </c>
      <c r="H14" s="6">
        <v>2023</v>
      </c>
      <c r="I14" s="6">
        <v>2024</v>
      </c>
      <c r="J14" s="6">
        <v>2025</v>
      </c>
      <c r="K14" s="6">
        <v>2026</v>
      </c>
      <c r="L14" s="6">
        <v>2027</v>
      </c>
      <c r="O14" s="39" t="s">
        <v>90</v>
      </c>
      <c r="P14" s="39"/>
      <c r="Q14" s="25">
        <v>2</v>
      </c>
      <c r="R14" s="26"/>
      <c r="S14" s="31" t="s">
        <v>86</v>
      </c>
      <c r="T14" s="31" t="s">
        <v>86</v>
      </c>
      <c r="U14" s="24">
        <v>2.81</v>
      </c>
      <c r="V14" s="27">
        <v>0.23</v>
      </c>
      <c r="W14" s="34">
        <f t="shared" si="2"/>
        <v>0.93046357615894038</v>
      </c>
      <c r="X14" s="34">
        <f t="shared" si="3"/>
        <v>0.92</v>
      </c>
    </row>
    <row r="15" spans="1:24" x14ac:dyDescent="0.2">
      <c r="B15" s="2" t="s">
        <v>55</v>
      </c>
      <c r="G15" s="3">
        <f>CHOOSE(Q14,O13,P13,Q13)</f>
        <v>0.4</v>
      </c>
      <c r="H15" s="3">
        <f>$G$15</f>
        <v>0.4</v>
      </c>
      <c r="I15" s="3">
        <f t="shared" ref="I15:L15" si="8">$G$15</f>
        <v>0.4</v>
      </c>
      <c r="J15" s="3">
        <f t="shared" si="8"/>
        <v>0.4</v>
      </c>
      <c r="K15" s="3">
        <f t="shared" si="8"/>
        <v>0.4</v>
      </c>
      <c r="L15" s="3">
        <f t="shared" si="8"/>
        <v>0.4</v>
      </c>
    </row>
    <row r="16" spans="1:24" x14ac:dyDescent="0.2">
      <c r="B16" s="2" t="s">
        <v>54</v>
      </c>
      <c r="G16" s="3">
        <v>0.2</v>
      </c>
      <c r="H16" s="3">
        <v>0.2</v>
      </c>
      <c r="I16" s="3">
        <v>0.2</v>
      </c>
      <c r="J16" s="3">
        <v>0.2</v>
      </c>
      <c r="K16" s="3">
        <v>0.2</v>
      </c>
      <c r="L16" s="3">
        <v>0.2</v>
      </c>
    </row>
    <row r="17" spans="1:20" x14ac:dyDescent="0.2">
      <c r="B17" s="2" t="s">
        <v>36</v>
      </c>
      <c r="G17" s="3">
        <v>0.21</v>
      </c>
      <c r="H17" s="3">
        <v>0.21</v>
      </c>
      <c r="I17" s="3">
        <v>0.21</v>
      </c>
      <c r="J17" s="3">
        <v>0.21</v>
      </c>
      <c r="K17" s="3">
        <v>0.21</v>
      </c>
      <c r="L17" s="3">
        <v>0.21</v>
      </c>
      <c r="S17" s="24"/>
      <c r="T17" s="24"/>
    </row>
    <row r="19" spans="1:20" x14ac:dyDescent="0.2">
      <c r="A19" t="s">
        <v>0</v>
      </c>
      <c r="B19" s="1" t="s">
        <v>37</v>
      </c>
      <c r="C19" s="1"/>
      <c r="D19" s="1"/>
      <c r="E19" s="1"/>
      <c r="F19" s="1"/>
      <c r="G19" s="1">
        <v>2022</v>
      </c>
      <c r="H19" s="6">
        <v>2023</v>
      </c>
      <c r="I19" s="6">
        <v>2024</v>
      </c>
      <c r="J19" s="6">
        <v>2025</v>
      </c>
      <c r="K19" s="6">
        <v>2026</v>
      </c>
      <c r="L19" s="6">
        <v>2027</v>
      </c>
    </row>
    <row r="20" spans="1:20" x14ac:dyDescent="0.2">
      <c r="B20" s="7" t="s">
        <v>38</v>
      </c>
      <c r="G20" s="13"/>
      <c r="H20" s="13">
        <f>H12</f>
        <v>123.24000000000001</v>
      </c>
      <c r="I20" s="13">
        <f t="shared" ref="I20:L20" si="9">I12</f>
        <v>128.1696</v>
      </c>
      <c r="J20" s="13">
        <f t="shared" si="9"/>
        <v>133.29638399999999</v>
      </c>
      <c r="K20" s="13">
        <f t="shared" si="9"/>
        <v>138.62823936000001</v>
      </c>
      <c r="L20" s="13">
        <f t="shared" si="9"/>
        <v>144.17336893440003</v>
      </c>
    </row>
    <row r="21" spans="1:20" x14ac:dyDescent="0.2">
      <c r="B21" s="7" t="s">
        <v>39</v>
      </c>
      <c r="G21" s="13"/>
      <c r="H21" s="13">
        <f>ABS(H7)</f>
        <v>156</v>
      </c>
      <c r="I21" s="13">
        <f t="shared" ref="I21:L21" si="10">ABS(I7)</f>
        <v>162.24</v>
      </c>
      <c r="J21" s="13">
        <f t="shared" si="10"/>
        <v>168.7296</v>
      </c>
      <c r="K21" s="13">
        <f t="shared" si="10"/>
        <v>175.47878400000002</v>
      </c>
      <c r="L21" s="13">
        <f t="shared" si="10"/>
        <v>182.49793536000004</v>
      </c>
    </row>
    <row r="22" spans="1:20" x14ac:dyDescent="0.2">
      <c r="B22" s="7" t="s">
        <v>40</v>
      </c>
      <c r="G22" s="14">
        <v>15</v>
      </c>
      <c r="H22" s="14">
        <f>Projections!H5*Sourcing!$K$15</f>
        <v>31.2</v>
      </c>
      <c r="I22" s="14">
        <f>Projections!I5*Sourcing!$K$15</f>
        <v>32.448</v>
      </c>
      <c r="J22" s="14">
        <f>Projections!J5*Sourcing!$K$15</f>
        <v>33.745919999999998</v>
      </c>
      <c r="K22" s="14">
        <f>Projections!K5*Sourcing!$K$15</f>
        <v>35.095756800000004</v>
      </c>
      <c r="L22" s="14">
        <f>Projections!L5*Sourcing!$K$15</f>
        <v>36.499587072000004</v>
      </c>
    </row>
    <row r="23" spans="1:20" x14ac:dyDescent="0.2">
      <c r="B23" s="7" t="s">
        <v>41</v>
      </c>
      <c r="G23" s="14"/>
      <c r="H23" s="14">
        <f>-(H22-G22)</f>
        <v>-16.2</v>
      </c>
      <c r="I23" s="14">
        <f t="shared" ref="I23:L23" si="11">-(I22-H22)</f>
        <v>-1.2480000000000011</v>
      </c>
      <c r="J23" s="14">
        <f t="shared" si="11"/>
        <v>-1.2979199999999977</v>
      </c>
      <c r="K23" s="14">
        <f t="shared" si="11"/>
        <v>-1.3498368000000056</v>
      </c>
      <c r="L23" s="14">
        <f t="shared" si="11"/>
        <v>-1.4038302720000004</v>
      </c>
    </row>
    <row r="24" spans="1:20" x14ac:dyDescent="0.2">
      <c r="B24" s="7" t="s">
        <v>42</v>
      </c>
      <c r="G24" s="13"/>
      <c r="H24" s="13">
        <f>SUM(H20:H21,H23)</f>
        <v>263.04000000000002</v>
      </c>
      <c r="I24" s="13">
        <f t="shared" ref="I24:L24" si="12">SUM(I20:I21,I23)</f>
        <v>289.16160000000002</v>
      </c>
      <c r="J24" s="13">
        <f t="shared" si="12"/>
        <v>300.72806400000002</v>
      </c>
      <c r="K24" s="13">
        <f t="shared" si="12"/>
        <v>312.75718656000004</v>
      </c>
      <c r="L24" s="13">
        <f t="shared" si="12"/>
        <v>325.26747402240011</v>
      </c>
    </row>
    <row r="25" spans="1:20" x14ac:dyDescent="0.2">
      <c r="B25" s="7" t="s">
        <v>43</v>
      </c>
      <c r="G25" s="12"/>
      <c r="H25" s="12">
        <f>-(H5*Sourcing!$K$16)</f>
        <v>-78</v>
      </c>
      <c r="I25" s="12">
        <f>-(I5*Sourcing!$K$16)</f>
        <v>-81.12</v>
      </c>
      <c r="J25" s="12">
        <f>-(J5*Sourcing!$K$16)</f>
        <v>-84.364800000000002</v>
      </c>
      <c r="K25" s="12">
        <f>-(K5*Sourcing!$K$16)</f>
        <v>-87.739392000000009</v>
      </c>
      <c r="L25" s="12">
        <f>-(L5*Sourcing!$K$16)</f>
        <v>-91.248967680000021</v>
      </c>
    </row>
    <row r="26" spans="1:20" x14ac:dyDescent="0.2">
      <c r="B26" s="7" t="s">
        <v>46</v>
      </c>
      <c r="H26" s="12">
        <f>'Debt-Schedule'!G21</f>
        <v>-60</v>
      </c>
      <c r="I26" s="12">
        <f>'Debt-Schedule'!H21</f>
        <v>-54</v>
      </c>
      <c r="J26" s="12">
        <f>'Debt-Schedule'!I21</f>
        <v>-48.6</v>
      </c>
      <c r="K26" s="12">
        <f>'Debt-Schedule'!J21</f>
        <v>-43.74</v>
      </c>
      <c r="L26" s="12">
        <f>'Debt-Schedule'!K21</f>
        <v>-39.366</v>
      </c>
    </row>
    <row r="27" spans="1:20" x14ac:dyDescent="0.2">
      <c r="B27" s="7" t="s">
        <v>44</v>
      </c>
      <c r="G27" s="13"/>
      <c r="H27" s="13">
        <f>SUM(H24:H26)</f>
        <v>125.04000000000002</v>
      </c>
      <c r="I27" s="13">
        <f t="shared" ref="I27:L27" si="13">SUM(I24:I26)</f>
        <v>154.04160000000002</v>
      </c>
      <c r="J27" s="13">
        <f t="shared" si="13"/>
        <v>167.76326400000002</v>
      </c>
      <c r="K27" s="13">
        <f t="shared" si="13"/>
        <v>181.27779456000002</v>
      </c>
      <c r="L27" s="13">
        <f t="shared" si="13"/>
        <v>194.6525063424001</v>
      </c>
    </row>
    <row r="28" spans="1:20" x14ac:dyDescent="0.2">
      <c r="B28" s="7" t="s">
        <v>56</v>
      </c>
      <c r="H28" s="17">
        <f>'Debt-Schedule'!G14</f>
        <v>-125.04000000000002</v>
      </c>
      <c r="I28" s="17">
        <f>'Debt-Schedule'!H14</f>
        <v>-154.04160000000002</v>
      </c>
      <c r="J28" s="17">
        <f>'Debt-Schedule'!I14</f>
        <v>-20.918399999999963</v>
      </c>
      <c r="K28" s="17" t="str">
        <f>'Debt-Schedule'!J14</f>
        <v>-</v>
      </c>
      <c r="L28" s="17" t="str">
        <f>'Debt-Schedule'!K14</f>
        <v>-</v>
      </c>
    </row>
    <row r="29" spans="1:20" x14ac:dyDescent="0.2">
      <c r="B29" s="7" t="s">
        <v>45</v>
      </c>
      <c r="G29" s="13"/>
      <c r="H29" s="13" t="s">
        <v>77</v>
      </c>
      <c r="I29" s="13" t="s">
        <v>77</v>
      </c>
      <c r="J29" s="13">
        <f>SUM(J27:J28)</f>
        <v>146.84486400000006</v>
      </c>
      <c r="K29" s="13">
        <f t="shared" ref="K29:L29" si="14">SUM(K27:K28)</f>
        <v>181.27779456000002</v>
      </c>
      <c r="L29" s="13">
        <f t="shared" si="14"/>
        <v>194.6525063424001</v>
      </c>
    </row>
    <row r="31" spans="1:20" x14ac:dyDescent="0.2">
      <c r="A31" s="9" t="s">
        <v>0</v>
      </c>
      <c r="B31" s="8" t="s">
        <v>47</v>
      </c>
      <c r="C31" s="1"/>
      <c r="D31" s="1"/>
      <c r="E31" s="1"/>
      <c r="F31" s="1"/>
      <c r="G31" s="1">
        <v>2022</v>
      </c>
      <c r="H31" s="6">
        <v>2023</v>
      </c>
      <c r="I31" s="6">
        <v>2024</v>
      </c>
      <c r="J31" s="6">
        <v>2025</v>
      </c>
      <c r="K31" s="6">
        <v>2026</v>
      </c>
      <c r="L31" s="6">
        <v>2027</v>
      </c>
    </row>
    <row r="32" spans="1:20" x14ac:dyDescent="0.2">
      <c r="B32" s="7" t="s">
        <v>48</v>
      </c>
      <c r="H32">
        <v>1</v>
      </c>
      <c r="I32">
        <v>2</v>
      </c>
      <c r="J32">
        <v>3</v>
      </c>
      <c r="K32">
        <v>4</v>
      </c>
      <c r="L32">
        <v>5</v>
      </c>
    </row>
    <row r="34" spans="2:12" x14ac:dyDescent="0.2">
      <c r="B34" s="7" t="s">
        <v>28</v>
      </c>
      <c r="H34" s="13">
        <f>H6</f>
        <v>312</v>
      </c>
      <c r="I34" s="13">
        <f t="shared" ref="I34:L34" si="15">I6</f>
        <v>324.48</v>
      </c>
      <c r="J34" s="13">
        <f t="shared" si="15"/>
        <v>337.45920000000001</v>
      </c>
      <c r="K34" s="13">
        <f t="shared" si="15"/>
        <v>350.95756800000004</v>
      </c>
      <c r="L34" s="13">
        <f t="shared" si="15"/>
        <v>364.99587072000008</v>
      </c>
    </row>
    <row r="35" spans="2:12" x14ac:dyDescent="0.2">
      <c r="B35" s="7" t="s">
        <v>49</v>
      </c>
      <c r="H35" t="s">
        <v>57</v>
      </c>
      <c r="I35" t="s">
        <v>57</v>
      </c>
      <c r="J35" t="s">
        <v>57</v>
      </c>
      <c r="K35" t="s">
        <v>57</v>
      </c>
      <c r="L35" t="s">
        <v>57</v>
      </c>
    </row>
    <row r="37" spans="2:12" x14ac:dyDescent="0.2">
      <c r="B37" s="7" t="s">
        <v>74</v>
      </c>
      <c r="H37" s="13">
        <f>H34*5</f>
        <v>1560</v>
      </c>
      <c r="I37" s="13">
        <f t="shared" ref="I37:L37" si="16">I34*5</f>
        <v>1622.4</v>
      </c>
      <c r="J37" s="13">
        <f t="shared" si="16"/>
        <v>1687.296</v>
      </c>
      <c r="K37" s="13">
        <f t="shared" si="16"/>
        <v>1754.7878400000002</v>
      </c>
      <c r="L37" s="13">
        <f t="shared" si="16"/>
        <v>1824.9793536000004</v>
      </c>
    </row>
    <row r="38" spans="2:12" x14ac:dyDescent="0.2">
      <c r="B38" s="7" t="s">
        <v>50</v>
      </c>
      <c r="H38" s="13" t="s">
        <v>77</v>
      </c>
      <c r="I38" s="13" t="s">
        <v>77</v>
      </c>
      <c r="J38" s="13" t="s">
        <v>77</v>
      </c>
      <c r="K38" s="13" t="s">
        <v>77</v>
      </c>
      <c r="L38" s="13" t="s">
        <v>77</v>
      </c>
    </row>
    <row r="39" spans="2:12" x14ac:dyDescent="0.2">
      <c r="B39" s="7" t="s">
        <v>8</v>
      </c>
      <c r="H39" s="11">
        <f>-(SUM('Debt-Schedule'!G13,'Debt-Schedule'!G20,'Debt-Schedule'!G28))</f>
        <v>-1200</v>
      </c>
      <c r="I39" s="11">
        <f>-(SUM('Debt-Schedule'!H13,'Debt-Schedule'!H20,'Debt-Schedule'!H28))</f>
        <v>-1014.96</v>
      </c>
      <c r="J39" s="11">
        <f>-(SUM('Debt-Schedule'!I13,'Debt-Schedule'!I20,'Debt-Schedule'!I28))</f>
        <v>-806.91840000000002</v>
      </c>
      <c r="K39" s="11">
        <f>-(SUM('Debt-Schedule'!J13,'Debt-Schedule'!J20,'Debt-Schedule'!J28))</f>
        <v>-737.4</v>
      </c>
      <c r="L39" s="11">
        <f>-(SUM('Debt-Schedule'!K13,'Debt-Schedule'!K20,'Debt-Schedule'!K28))</f>
        <v>-693.66</v>
      </c>
    </row>
    <row r="40" spans="2:12" x14ac:dyDescent="0.2">
      <c r="B40" s="7" t="s">
        <v>75</v>
      </c>
      <c r="H40" s="13">
        <f>SUM(H37:H39)</f>
        <v>360</v>
      </c>
      <c r="I40" s="13">
        <f t="shared" ref="I40:L40" si="17">SUM(I37:I39)</f>
        <v>607.44000000000005</v>
      </c>
      <c r="J40" s="13">
        <f t="shared" si="17"/>
        <v>880.37760000000003</v>
      </c>
      <c r="K40" s="13">
        <f t="shared" si="17"/>
        <v>1017.3878400000002</v>
      </c>
      <c r="L40" s="13">
        <f t="shared" si="17"/>
        <v>1131.3193536000003</v>
      </c>
    </row>
    <row r="41" spans="2:12" x14ac:dyDescent="0.2">
      <c r="B41" s="7" t="s">
        <v>51</v>
      </c>
      <c r="H41" s="12">
        <f>Sourcing!$E$16</f>
        <v>375</v>
      </c>
      <c r="I41" s="12">
        <f>Sourcing!$E$16</f>
        <v>375</v>
      </c>
      <c r="J41" s="12">
        <f>Sourcing!$E$16</f>
        <v>375</v>
      </c>
      <c r="K41" s="12">
        <f>Sourcing!$E$16</f>
        <v>375</v>
      </c>
      <c r="L41" s="12">
        <f>Sourcing!$E$16</f>
        <v>375</v>
      </c>
    </row>
    <row r="43" spans="2:12" x14ac:dyDescent="0.2">
      <c r="B43" s="18" t="s">
        <v>52</v>
      </c>
      <c r="C43" s="19"/>
      <c r="D43" s="19"/>
      <c r="E43" s="19"/>
      <c r="F43" s="19"/>
      <c r="G43" s="19"/>
      <c r="H43" s="20">
        <f>H40/H41</f>
        <v>0.96</v>
      </c>
      <c r="I43" s="20">
        <f>I40/I41</f>
        <v>1.6198400000000002</v>
      </c>
      <c r="J43" s="20">
        <f>J40/J41</f>
        <v>2.3476736000000002</v>
      </c>
      <c r="K43" s="20">
        <f>K40/K41</f>
        <v>2.7130342400000007</v>
      </c>
      <c r="L43" s="21">
        <f>L40/L41</f>
        <v>3.0168516096000011</v>
      </c>
    </row>
    <row r="44" spans="2:12" x14ac:dyDescent="0.2">
      <c r="B44" s="10" t="s">
        <v>53</v>
      </c>
      <c r="C44" s="1"/>
      <c r="D44" s="1"/>
      <c r="E44" s="1"/>
      <c r="F44" s="1"/>
      <c r="G44" s="1"/>
      <c r="H44" s="22">
        <f>(H40/H41)^(1/H32)-1</f>
        <v>-4.0000000000000036E-2</v>
      </c>
      <c r="I44" s="22">
        <f t="shared" ref="I44:L44" si="18">(I40/I41)^(1/I32)-1</f>
        <v>0.27272935064765447</v>
      </c>
      <c r="J44" s="22">
        <f t="shared" si="18"/>
        <v>0.3290640332872643</v>
      </c>
      <c r="K44" s="22">
        <f t="shared" si="18"/>
        <v>0.28340527124749193</v>
      </c>
      <c r="L44" s="23">
        <f t="shared" si="18"/>
        <v>0.24712731041508462</v>
      </c>
    </row>
  </sheetData>
  <mergeCells count="6">
    <mergeCell ref="O11:Q11"/>
    <mergeCell ref="O14:P14"/>
    <mergeCell ref="S4:W4"/>
    <mergeCell ref="A1:E2"/>
    <mergeCell ref="O4:Q4"/>
    <mergeCell ref="O7:P7"/>
  </mergeCells>
  <conditionalFormatting sqref="W6:W9 W11:W14">
    <cfRule type="cellIs" dxfId="1" priority="2" operator="greaterThan">
      <formula>1</formula>
    </cfRule>
  </conditionalFormatting>
  <conditionalFormatting sqref="X6:X9 X11:X14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Sourcing</vt:lpstr>
      <vt:lpstr>Debt-Schedule</vt:lpstr>
      <vt:lpstr>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Kemske</dc:creator>
  <cp:lastModifiedBy>Cameron Kemske</cp:lastModifiedBy>
  <dcterms:created xsi:type="dcterms:W3CDTF">2022-03-16T17:46:23Z</dcterms:created>
  <dcterms:modified xsi:type="dcterms:W3CDTF">2022-03-18T01:52:18Z</dcterms:modified>
</cp:coreProperties>
</file>