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kemske/Desktop/Portfolio/_1_DCF-Model /"/>
    </mc:Choice>
  </mc:AlternateContent>
  <xr:revisionPtr revIDLastSave="0" documentId="13_ncr:1_{CD9EE89D-79A2-9643-880A-AF3A04E48560}" xr6:coauthVersionLast="47" xr6:coauthVersionMax="47" xr10:uidLastSave="{00000000-0000-0000-0000-000000000000}"/>
  <bookViews>
    <workbookView xWindow="0" yWindow="500" windowWidth="28800" windowHeight="17500" activeTab="3" xr2:uid="{41B88528-909D-FE43-A8AF-B083A808B75A}"/>
  </bookViews>
  <sheets>
    <sheet name="Income Statements" sheetId="8" r:id="rId1"/>
    <sheet name="Balance Sheet" sheetId="10" r:id="rId2"/>
    <sheet name="WACC &amp; TGR" sheetId="7" r:id="rId3"/>
    <sheet name="DCF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7" l="1"/>
  <c r="C6" i="6"/>
  <c r="E24" i="7"/>
  <c r="D24" i="7"/>
  <c r="E23" i="7"/>
  <c r="D23" i="7"/>
  <c r="D21" i="7"/>
  <c r="D25" i="7" s="1"/>
  <c r="C21" i="7"/>
  <c r="E5" i="7"/>
  <c r="E4" i="7" s="1"/>
  <c r="E21" i="7" s="1"/>
  <c r="E25" i="7" s="1"/>
  <c r="D5" i="7"/>
  <c r="D4" i="7" s="1"/>
  <c r="E12" i="7"/>
  <c r="E13" i="7"/>
  <c r="E14" i="7"/>
  <c r="E15" i="7"/>
  <c r="E11" i="7"/>
  <c r="D12" i="7"/>
  <c r="D13" i="7"/>
  <c r="D14" i="7"/>
  <c r="D15" i="7"/>
  <c r="D11" i="7"/>
  <c r="G46" i="6"/>
  <c r="H45" i="6"/>
  <c r="H46" i="6" s="1"/>
  <c r="H31" i="6"/>
  <c r="I31" i="6"/>
  <c r="J31" i="6"/>
  <c r="K31" i="6"/>
  <c r="L31" i="6"/>
  <c r="G31" i="6"/>
  <c r="E31" i="6"/>
  <c r="D31" i="6"/>
  <c r="O58" i="6"/>
  <c r="H13" i="6"/>
  <c r="I13" i="6" s="1"/>
  <c r="H34" i="6"/>
  <c r="I34" i="6"/>
  <c r="J34" i="6"/>
  <c r="K34" i="6"/>
  <c r="L34" i="6"/>
  <c r="M34" i="6"/>
  <c r="N34" i="6"/>
  <c r="O34" i="6"/>
  <c r="G34" i="6"/>
  <c r="I14" i="6"/>
  <c r="J14" i="6" s="1"/>
  <c r="K14" i="6" s="1"/>
  <c r="L14" i="6" s="1"/>
  <c r="M14" i="6" s="1"/>
  <c r="N14" i="6" s="1"/>
  <c r="O14" i="6" s="1"/>
  <c r="H14" i="6"/>
  <c r="G43" i="6"/>
  <c r="G44" i="6"/>
  <c r="H37" i="6"/>
  <c r="K37" i="6"/>
  <c r="O40" i="6"/>
  <c r="H40" i="6"/>
  <c r="I40" i="6"/>
  <c r="J40" i="6"/>
  <c r="K40" i="6"/>
  <c r="L40" i="6"/>
  <c r="M40" i="6"/>
  <c r="N40" i="6"/>
  <c r="G40" i="6"/>
  <c r="H38" i="6"/>
  <c r="I38" i="6"/>
  <c r="J38" i="6"/>
  <c r="K38" i="6"/>
  <c r="L38" i="6"/>
  <c r="L37" i="6" s="1"/>
  <c r="M38" i="6"/>
  <c r="M37" i="6" s="1"/>
  <c r="N38" i="6"/>
  <c r="N37" i="6" s="1"/>
  <c r="O38" i="6"/>
  <c r="G38" i="6"/>
  <c r="G37" i="6" s="1"/>
  <c r="H32" i="6"/>
  <c r="I32" i="6"/>
  <c r="J32" i="6"/>
  <c r="K32" i="6"/>
  <c r="L32" i="6"/>
  <c r="M32" i="6"/>
  <c r="M31" i="6" s="1"/>
  <c r="N32" i="6"/>
  <c r="N31" i="6" s="1"/>
  <c r="O32" i="6"/>
  <c r="O31" i="6" s="1"/>
  <c r="G32" i="6"/>
  <c r="L23" i="6"/>
  <c r="M23" i="6"/>
  <c r="N23" i="6"/>
  <c r="H26" i="6"/>
  <c r="I26" i="6"/>
  <c r="J26" i="6"/>
  <c r="K26" i="6"/>
  <c r="L26" i="6"/>
  <c r="M26" i="6"/>
  <c r="N26" i="6"/>
  <c r="O26" i="6"/>
  <c r="G26" i="6"/>
  <c r="H24" i="6"/>
  <c r="H23" i="6" s="1"/>
  <c r="I24" i="6"/>
  <c r="I23" i="6" s="1"/>
  <c r="J24" i="6"/>
  <c r="J23" i="6" s="1"/>
  <c r="K24" i="6"/>
  <c r="K23" i="6" s="1"/>
  <c r="L24" i="6"/>
  <c r="M24" i="6"/>
  <c r="N24" i="6"/>
  <c r="O24" i="6"/>
  <c r="O23" i="6" s="1"/>
  <c r="G24" i="6"/>
  <c r="G23" i="6" s="1"/>
  <c r="H20" i="6"/>
  <c r="I20" i="6"/>
  <c r="J20" i="6"/>
  <c r="K20" i="6"/>
  <c r="L20" i="6"/>
  <c r="M20" i="6"/>
  <c r="N20" i="6"/>
  <c r="O20" i="6"/>
  <c r="G20" i="6"/>
  <c r="H18" i="6"/>
  <c r="I18" i="6"/>
  <c r="J18" i="6"/>
  <c r="K18" i="6"/>
  <c r="L18" i="6"/>
  <c r="M18" i="6"/>
  <c r="N18" i="6"/>
  <c r="O18" i="6"/>
  <c r="G18" i="6"/>
  <c r="G11" i="6"/>
  <c r="G12" i="6"/>
  <c r="E42" i="6"/>
  <c r="E43" i="6" s="1"/>
  <c r="D42" i="6"/>
  <c r="D43" i="6" s="1"/>
  <c r="C42" i="6"/>
  <c r="F36" i="6"/>
  <c r="F31" i="6" s="1"/>
  <c r="F22" i="6"/>
  <c r="D22" i="6"/>
  <c r="E22" i="6"/>
  <c r="C22" i="6"/>
  <c r="F16" i="6"/>
  <c r="F17" i="6" s="1"/>
  <c r="E16" i="6"/>
  <c r="D16" i="6"/>
  <c r="D17" i="6" s="1"/>
  <c r="C16" i="6"/>
  <c r="F10" i="6"/>
  <c r="E10" i="6"/>
  <c r="E37" i="6" s="1"/>
  <c r="D10" i="6"/>
  <c r="D37" i="6" s="1"/>
  <c r="C10" i="6"/>
  <c r="C16" i="7"/>
  <c r="C22" i="7"/>
  <c r="C20" i="7"/>
  <c r="C4" i="7"/>
  <c r="C24" i="7"/>
  <c r="B28" i="10"/>
  <c r="B24" i="10"/>
  <c r="B20" i="10"/>
  <c r="B22" i="10"/>
  <c r="B23" i="10"/>
  <c r="B26" i="10"/>
  <c r="B27" i="10"/>
  <c r="B19" i="10"/>
  <c r="B18" i="10"/>
  <c r="F22" i="10"/>
  <c r="F23" i="10"/>
  <c r="F24" i="10"/>
  <c r="F26" i="10"/>
  <c r="F27" i="10"/>
  <c r="F28" i="10"/>
  <c r="F19" i="10"/>
  <c r="F20" i="10"/>
  <c r="F18" i="10"/>
  <c r="C28" i="10"/>
  <c r="C24" i="10"/>
  <c r="C20" i="10"/>
  <c r="C18" i="10"/>
  <c r="D28" i="10"/>
  <c r="D20" i="10"/>
  <c r="D24" i="10"/>
  <c r="D22" i="10"/>
  <c r="D18" i="10"/>
  <c r="E28" i="10"/>
  <c r="E22" i="10"/>
  <c r="E24" i="10" s="1"/>
  <c r="E18" i="10"/>
  <c r="E20" i="10" s="1"/>
  <c r="D14" i="10"/>
  <c r="E14" i="10"/>
  <c r="D10" i="10"/>
  <c r="E10" i="10"/>
  <c r="C14" i="10"/>
  <c r="C10" i="10"/>
  <c r="D6" i="10"/>
  <c r="E6" i="10"/>
  <c r="C6" i="10"/>
  <c r="B5" i="8"/>
  <c r="B6" i="8"/>
  <c r="B7" i="8"/>
  <c r="B8" i="8"/>
  <c r="B9" i="8"/>
  <c r="B10" i="8"/>
  <c r="B11" i="8"/>
  <c r="B12" i="8"/>
  <c r="B13" i="8"/>
  <c r="B14" i="8"/>
  <c r="B4" i="8"/>
  <c r="B19" i="8"/>
  <c r="B20" i="8"/>
  <c r="B21" i="8"/>
  <c r="B22" i="8"/>
  <c r="B23" i="8"/>
  <c r="B24" i="8"/>
  <c r="B25" i="8"/>
  <c r="B26" i="8"/>
  <c r="B27" i="8"/>
  <c r="B28" i="8" s="1"/>
  <c r="B18" i="8"/>
  <c r="F19" i="8"/>
  <c r="F20" i="8"/>
  <c r="F21" i="8"/>
  <c r="F22" i="8"/>
  <c r="F23" i="8"/>
  <c r="F24" i="8"/>
  <c r="F25" i="8"/>
  <c r="F26" i="8"/>
  <c r="F18" i="8"/>
  <c r="D28" i="8"/>
  <c r="E28" i="8"/>
  <c r="C28" i="8"/>
  <c r="D25" i="8"/>
  <c r="E25" i="8"/>
  <c r="C25" i="8"/>
  <c r="D22" i="8"/>
  <c r="E22" i="8"/>
  <c r="C22" i="8"/>
  <c r="D20" i="8"/>
  <c r="C20" i="8"/>
  <c r="E20" i="8"/>
  <c r="E6" i="8"/>
  <c r="E8" i="8" s="1"/>
  <c r="E11" i="8" s="1"/>
  <c r="E14" i="8" s="1"/>
  <c r="D6" i="8"/>
  <c r="D8" i="8" s="1"/>
  <c r="D11" i="8" s="1"/>
  <c r="D14" i="8" s="1"/>
  <c r="C6" i="8"/>
  <c r="C8" i="8" s="1"/>
  <c r="C11" i="8" s="1"/>
  <c r="C14" i="8" s="1"/>
  <c r="C29" i="7"/>
  <c r="C28" i="7"/>
  <c r="C30" i="7" s="1"/>
  <c r="D16" i="7" l="1"/>
  <c r="E16" i="7"/>
  <c r="J13" i="6"/>
  <c r="K13" i="6" s="1"/>
  <c r="L13" i="6" s="1"/>
  <c r="M13" i="6" s="1"/>
  <c r="N13" i="6" s="1"/>
  <c r="O13" i="6" s="1"/>
  <c r="I12" i="6"/>
  <c r="I11" i="6" s="1"/>
  <c r="J37" i="6"/>
  <c r="I37" i="6"/>
  <c r="O37" i="6"/>
  <c r="I45" i="6"/>
  <c r="H12" i="6"/>
  <c r="H11" i="6" s="1"/>
  <c r="H44" i="6"/>
  <c r="H43" i="6" s="1"/>
  <c r="J12" i="6"/>
  <c r="J11" i="6"/>
  <c r="I44" i="6"/>
  <c r="I43" i="6" s="1"/>
  <c r="E17" i="6"/>
  <c r="G17" i="6" s="1"/>
  <c r="H17" i="6" s="1"/>
  <c r="I17" i="6" s="1"/>
  <c r="J17" i="6" s="1"/>
  <c r="K17" i="6" s="1"/>
  <c r="L17" i="6" s="1"/>
  <c r="M17" i="6" s="1"/>
  <c r="N17" i="6" s="1"/>
  <c r="O17" i="6" s="1"/>
  <c r="D23" i="6"/>
  <c r="F37" i="6"/>
  <c r="G36" i="6" s="1"/>
  <c r="G30" i="6" s="1"/>
  <c r="F23" i="6"/>
  <c r="G22" i="6"/>
  <c r="H22" i="6" s="1"/>
  <c r="I22" i="6" s="1"/>
  <c r="J22" i="6" s="1"/>
  <c r="K22" i="6" s="1"/>
  <c r="L22" i="6" s="1"/>
  <c r="M22" i="6" s="1"/>
  <c r="N22" i="6" s="1"/>
  <c r="O22" i="6" s="1"/>
  <c r="F28" i="6"/>
  <c r="E23" i="6"/>
  <c r="C25" i="7"/>
  <c r="F42" i="6"/>
  <c r="F43" i="6" s="1"/>
  <c r="D11" i="6"/>
  <c r="E11" i="6"/>
  <c r="C28" i="6"/>
  <c r="C48" i="6" s="1"/>
  <c r="D28" i="6"/>
  <c r="D48" i="6" s="1"/>
  <c r="E28" i="6"/>
  <c r="E48" i="6" s="1"/>
  <c r="F11" i="6"/>
  <c r="G10" i="6" s="1"/>
  <c r="J45" i="6" l="1"/>
  <c r="I46" i="6"/>
  <c r="H36" i="6"/>
  <c r="K12" i="6"/>
  <c r="K11" i="6" s="1"/>
  <c r="G42" i="6"/>
  <c r="H10" i="6"/>
  <c r="G16" i="6"/>
  <c r="G28" i="6" s="1"/>
  <c r="F48" i="6"/>
  <c r="J46" i="6" l="1"/>
  <c r="K45" i="6"/>
  <c r="J44" i="6"/>
  <c r="J43" i="6" s="1"/>
  <c r="I36" i="6"/>
  <c r="H30" i="6"/>
  <c r="G48" i="6"/>
  <c r="G49" i="6" s="1"/>
  <c r="L12" i="6"/>
  <c r="L11" i="6" s="1"/>
  <c r="H42" i="6"/>
  <c r="I10" i="6"/>
  <c r="H16" i="6"/>
  <c r="H28" i="6" s="1"/>
  <c r="K46" i="6" l="1"/>
  <c r="K44" i="6"/>
  <c r="K43" i="6" s="1"/>
  <c r="L45" i="6"/>
  <c r="J36" i="6"/>
  <c r="I30" i="6"/>
  <c r="H48" i="6"/>
  <c r="H49" i="6" s="1"/>
  <c r="M12" i="6"/>
  <c r="M11" i="6" s="1"/>
  <c r="I42" i="6"/>
  <c r="J10" i="6"/>
  <c r="I16" i="6"/>
  <c r="I28" i="6" s="1"/>
  <c r="L46" i="6" l="1"/>
  <c r="L44" i="6"/>
  <c r="L43" i="6" s="1"/>
  <c r="M45" i="6"/>
  <c r="K36" i="6"/>
  <c r="J30" i="6"/>
  <c r="N12" i="6"/>
  <c r="N11" i="6" s="1"/>
  <c r="I48" i="6"/>
  <c r="I49" i="6" s="1"/>
  <c r="J42" i="6"/>
  <c r="K10" i="6"/>
  <c r="J16" i="6"/>
  <c r="J28" i="6" s="1"/>
  <c r="M46" i="6" l="1"/>
  <c r="N45" i="6"/>
  <c r="M44" i="6"/>
  <c r="M43" i="6" s="1"/>
  <c r="L36" i="6"/>
  <c r="K30" i="6"/>
  <c r="O12" i="6"/>
  <c r="O11" i="6"/>
  <c r="J48" i="6"/>
  <c r="J49" i="6" s="1"/>
  <c r="K42" i="6"/>
  <c r="L10" i="6"/>
  <c r="K16" i="6"/>
  <c r="K28" i="6" s="1"/>
  <c r="N46" i="6" l="1"/>
  <c r="N44" i="6"/>
  <c r="N43" i="6" s="1"/>
  <c r="O45" i="6"/>
  <c r="M36" i="6"/>
  <c r="L30" i="6"/>
  <c r="K48" i="6"/>
  <c r="K49" i="6" s="1"/>
  <c r="L42" i="6"/>
  <c r="M10" i="6"/>
  <c r="L16" i="6"/>
  <c r="L28" i="6" s="1"/>
  <c r="O43" i="6" l="1"/>
  <c r="O46" i="6"/>
  <c r="O44" i="6"/>
  <c r="N36" i="6"/>
  <c r="M30" i="6"/>
  <c r="L48" i="6"/>
  <c r="L49" i="6" s="1"/>
  <c r="M42" i="6"/>
  <c r="N10" i="6"/>
  <c r="M16" i="6"/>
  <c r="M28" i="6" s="1"/>
  <c r="O36" i="6" l="1"/>
  <c r="O30" i="6" s="1"/>
  <c r="N30" i="6"/>
  <c r="M48" i="6"/>
  <c r="M49" i="6" s="1"/>
  <c r="N42" i="6"/>
  <c r="O10" i="6"/>
  <c r="N16" i="6"/>
  <c r="N28" i="6" s="1"/>
  <c r="N48" i="6" l="1"/>
  <c r="N49" i="6" s="1"/>
  <c r="O16" i="6"/>
  <c r="O28" i="6" s="1"/>
  <c r="O42" i="6"/>
  <c r="O48" i="6" l="1"/>
  <c r="O51" i="6" l="1"/>
  <c r="O52" i="6" s="1"/>
  <c r="O49" i="6"/>
  <c r="O54" i="6" s="1"/>
  <c r="O57" i="6" s="1"/>
  <c r="O5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Kemske</author>
  </authors>
  <commentList>
    <comment ref="B3" authorId="0" shapeId="0" xr:uid="{0A288D47-4B42-5D4E-802D-E60CB5A1A968}">
      <text>
        <r>
          <rPr>
            <b/>
            <sz val="10"/>
            <color rgb="FF000000"/>
            <rFont val="Tahoma"/>
            <family val="2"/>
          </rPr>
          <t>Cameron Kemske: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Summation of all quarters from 2021 table</t>
        </r>
      </text>
    </comment>
    <comment ref="B17" authorId="0" shapeId="0" xr:uid="{BBB4D4D4-9ED2-D244-A6CF-E64BB30E4D64}">
      <text>
        <r>
          <rPr>
            <b/>
            <sz val="10"/>
            <color rgb="FF000000"/>
            <rFont val="Tahoma"/>
            <family val="2"/>
          </rPr>
          <t>Cameron Kemske: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Forecasted using average growth rate fro Q1 - Q3</t>
        </r>
      </text>
    </comment>
    <comment ref="F27" authorId="0" shapeId="0" xr:uid="{2B205400-4B74-7A45-AE41-25E1D28EB459}">
      <text>
        <r>
          <rPr>
            <b/>
            <sz val="10"/>
            <color rgb="FF000000"/>
            <rFont val="Tahoma"/>
            <family val="2"/>
          </rPr>
          <t>Cameron Kemske: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rate isn't tanigble with this tax expense . Analyst assumption used. 
</t>
        </r>
      </text>
    </comment>
  </commentList>
</comments>
</file>

<file path=xl/sharedStrings.xml><?xml version="1.0" encoding="utf-8"?>
<sst xmlns="http://schemas.openxmlformats.org/spreadsheetml/2006/main" count="151" uniqueCount="91">
  <si>
    <t>Current assets</t>
  </si>
  <si>
    <t>Revenues</t>
  </si>
  <si>
    <t xml:space="preserve">Assumptions </t>
  </si>
  <si>
    <t xml:space="preserve">Ticker </t>
  </si>
  <si>
    <t>WACC</t>
  </si>
  <si>
    <t>Terminal Growth Rate</t>
  </si>
  <si>
    <t xml:space="preserve">DCF </t>
  </si>
  <si>
    <t xml:space="preserve">Expected Return </t>
  </si>
  <si>
    <t xml:space="preserve">Risk-free Rate </t>
  </si>
  <si>
    <t>Beta</t>
  </si>
  <si>
    <t xml:space="preserve">Expected Market Return </t>
  </si>
  <si>
    <t xml:space="preserve"> </t>
  </si>
  <si>
    <t xml:space="preserve">Equity </t>
  </si>
  <si>
    <t>Cost of Equity (CAPM)</t>
  </si>
  <si>
    <t xml:space="preserve">Debt </t>
  </si>
  <si>
    <t xml:space="preserve">Cost of Debt </t>
  </si>
  <si>
    <t xml:space="preserve">1 - Tax Rate </t>
  </si>
  <si>
    <t xml:space="preserve">Inflation </t>
  </si>
  <si>
    <t xml:space="preserve">GDP </t>
  </si>
  <si>
    <t xml:space="preserve">TGR </t>
  </si>
  <si>
    <t xml:space="preserve">Revenue </t>
  </si>
  <si>
    <t>Tax Exp. (-)</t>
  </si>
  <si>
    <t xml:space="preserve">Earnings After Tax Expense </t>
  </si>
  <si>
    <t xml:space="preserve">% of Revenue </t>
  </si>
  <si>
    <t>Depreciation &amp; Amortization (+)</t>
  </si>
  <si>
    <t>Capital Exp. (-)</t>
  </si>
  <si>
    <t>Non Cash. Net Working Capital (-)</t>
  </si>
  <si>
    <t>-</t>
  </si>
  <si>
    <t>Operating Income</t>
  </si>
  <si>
    <t>% of growth rate</t>
  </si>
  <si>
    <t xml:space="preserve">Unlevered FCF </t>
  </si>
  <si>
    <t>BEPC</t>
  </si>
  <si>
    <t>Direct operating costs</t>
  </si>
  <si>
    <t>Management service costs</t>
  </si>
  <si>
    <t>Interest expense.</t>
  </si>
  <si>
    <t>Depreciation</t>
  </si>
  <si>
    <t>Remeasurement of BEPC exchangeable and BEPC class B shares</t>
  </si>
  <si>
    <t xml:space="preserve">Income tax recovery (expense) </t>
  </si>
  <si>
    <t>Net (loss) income</t>
  </si>
  <si>
    <t xml:space="preserve">Operating Income </t>
  </si>
  <si>
    <t>Data pulled from Brookfields Annual Reports (Value is in the millions)</t>
  </si>
  <si>
    <t>EBITDA</t>
  </si>
  <si>
    <t>EBIT</t>
  </si>
  <si>
    <t>Q4</t>
  </si>
  <si>
    <t>Q3</t>
  </si>
  <si>
    <t>Q2</t>
  </si>
  <si>
    <t>Q1</t>
  </si>
  <si>
    <t>Average Growth Rate</t>
  </si>
  <si>
    <t>Plant, property, and equipment, at fair value</t>
  </si>
  <si>
    <t xml:space="preserve">Total assets </t>
  </si>
  <si>
    <t xml:space="preserve">BEPC exchnagbale shares and class B shares </t>
  </si>
  <si>
    <t xml:space="preserve">Total liabilties </t>
  </si>
  <si>
    <t xml:space="preserve">Deferred income tax liabilties </t>
  </si>
  <si>
    <t>Non-recourse borrowings</t>
  </si>
  <si>
    <t xml:space="preserve">Total equity in net assets </t>
  </si>
  <si>
    <t xml:space="preserve">Average Growth Rate </t>
  </si>
  <si>
    <t xml:space="preserve">Series 8 </t>
  </si>
  <si>
    <t xml:space="preserve">Series 7 </t>
  </si>
  <si>
    <t>Series 6</t>
  </si>
  <si>
    <t>Series 5</t>
  </si>
  <si>
    <t>Series 4</t>
  </si>
  <si>
    <t xml:space="preserve">Average Rate </t>
  </si>
  <si>
    <t>Base Case</t>
  </si>
  <si>
    <t>Optimistic Case</t>
  </si>
  <si>
    <t>Conservative Case</t>
  </si>
  <si>
    <t>Select Growth Rate Case</t>
  </si>
  <si>
    <t xml:space="preserve">Conservative </t>
  </si>
  <si>
    <t>Base</t>
  </si>
  <si>
    <t xml:space="preserve">Optimistic </t>
  </si>
  <si>
    <t>CAPM (Equity)</t>
  </si>
  <si>
    <t>Medium Term Notes (Debt)</t>
  </si>
  <si>
    <t xml:space="preserve">Present Value of FCF </t>
  </si>
  <si>
    <t xml:space="preserve">Terminal Value </t>
  </si>
  <si>
    <t xml:space="preserve">Present Value of Enterprise </t>
  </si>
  <si>
    <t>Cash (+)</t>
  </si>
  <si>
    <t>Debt (-)</t>
  </si>
  <si>
    <t xml:space="preserve">Equity Value </t>
  </si>
  <si>
    <t xml:space="preserve">Shares Outstanding </t>
  </si>
  <si>
    <t xml:space="preserve">Current Share Price </t>
  </si>
  <si>
    <t>% of Cap Ex.</t>
  </si>
  <si>
    <t>Conservative</t>
  </si>
  <si>
    <t xml:space="preserve">Base </t>
  </si>
  <si>
    <t>Con.</t>
  </si>
  <si>
    <t>Opt.</t>
  </si>
  <si>
    <t xml:space="preserve">Con. </t>
  </si>
  <si>
    <t xml:space="preserve">Opt. </t>
  </si>
  <si>
    <t>Variables</t>
  </si>
  <si>
    <t>Select WACC Case</t>
  </si>
  <si>
    <t>Optimistic</t>
  </si>
  <si>
    <t>Brookfield Renewable Energy Corp. (all values in mil.)</t>
  </si>
  <si>
    <t>Enterprise Value of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</si>
</sst>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Helvetica"/>
      <family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9" fontId="0" fillId="0" borderId="5" xfId="1" applyFont="1" applyBorder="1"/>
    <xf numFmtId="9" fontId="0" fillId="0" borderId="0" xfId="1" applyFont="1"/>
    <xf numFmtId="44" fontId="0" fillId="0" borderId="5" xfId="2" applyFont="1" applyBorder="1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0" fillId="0" borderId="0" xfId="0" applyFont="1" applyBorder="1"/>
    <xf numFmtId="164" fontId="0" fillId="0" borderId="0" xfId="0" applyNumberFormat="1" applyBorder="1"/>
    <xf numFmtId="164" fontId="6" fillId="0" borderId="0" xfId="2" applyNumberFormat="1" applyFont="1" applyBorder="1"/>
    <xf numFmtId="164" fontId="0" fillId="0" borderId="0" xfId="2" applyNumberFormat="1" applyFont="1" applyBorder="1"/>
    <xf numFmtId="164" fontId="0" fillId="0" borderId="0" xfId="0" applyNumberFormat="1" applyFont="1" applyBorder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0" fontId="0" fillId="0" borderId="0" xfId="0" applyFont="1" applyBorder="1" applyAlignment="1">
      <alignment horizontal="left"/>
    </xf>
    <xf numFmtId="164" fontId="0" fillId="0" borderId="1" xfId="0" applyNumberFormat="1" applyBorder="1"/>
    <xf numFmtId="164" fontId="6" fillId="0" borderId="1" xfId="2" applyNumberFormat="1" applyFont="1" applyBorder="1"/>
    <xf numFmtId="164" fontId="0" fillId="0" borderId="1" xfId="2" applyNumberFormat="1" applyFont="1" applyBorder="1"/>
    <xf numFmtId="0" fontId="0" fillId="0" borderId="1" xfId="0" applyFont="1" applyBorder="1" applyAlignment="1">
      <alignment horizontal="left"/>
    </xf>
    <xf numFmtId="9" fontId="6" fillId="0" borderId="1" xfId="1" applyFont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1" applyNumberFormat="1" applyFont="1"/>
    <xf numFmtId="1" fontId="0" fillId="0" borderId="0" xfId="0" applyNumberFormat="1"/>
    <xf numFmtId="10" fontId="0" fillId="0" borderId="5" xfId="0" applyNumberFormat="1" applyBorder="1"/>
    <xf numFmtId="9" fontId="0" fillId="0" borderId="5" xfId="0" applyNumberFormat="1" applyBorder="1"/>
    <xf numFmtId="9" fontId="0" fillId="2" borderId="5" xfId="1" applyFont="1" applyFill="1" applyBorder="1"/>
    <xf numFmtId="1" fontId="0" fillId="0" borderId="5" xfId="0" applyNumberFormat="1" applyBorder="1"/>
    <xf numFmtId="0" fontId="0" fillId="0" borderId="5" xfId="0" applyFill="1" applyBorder="1"/>
    <xf numFmtId="10" fontId="0" fillId="2" borderId="5" xfId="0" applyNumberFormat="1" applyFill="1" applyBorder="1"/>
    <xf numFmtId="9" fontId="0" fillId="2" borderId="5" xfId="1" applyFont="1" applyFill="1" applyBorder="1" applyAlignment="1">
      <alignment horizontal="right"/>
    </xf>
    <xf numFmtId="164" fontId="0" fillId="0" borderId="5" xfId="2" applyNumberFormat="1" applyFont="1" applyBorder="1"/>
    <xf numFmtId="0" fontId="0" fillId="0" borderId="5" xfId="0" applyFont="1" applyBorder="1" applyAlignment="1">
      <alignment horizontal="center"/>
    </xf>
    <xf numFmtId="9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/>
    <xf numFmtId="44" fontId="0" fillId="0" borderId="0" xfId="2" applyFont="1" applyBorder="1"/>
    <xf numFmtId="0" fontId="0" fillId="0" borderId="10" xfId="0" applyBorder="1"/>
    <xf numFmtId="44" fontId="0" fillId="0" borderId="5" xfId="0" applyNumberFormat="1" applyBorder="1"/>
    <xf numFmtId="0" fontId="0" fillId="0" borderId="11" xfId="0" applyBorder="1"/>
    <xf numFmtId="44" fontId="0" fillId="0" borderId="12" xfId="0" applyNumberFormat="1" applyBorder="1"/>
    <xf numFmtId="44" fontId="0" fillId="0" borderId="9" xfId="0" applyNumberFormat="1" applyBorder="1"/>
    <xf numFmtId="44" fontId="0" fillId="0" borderId="0" xfId="0" applyNumberFormat="1" applyBorder="1"/>
    <xf numFmtId="0" fontId="0" fillId="0" borderId="2" xfId="0" applyBorder="1"/>
    <xf numFmtId="0" fontId="0" fillId="0" borderId="3" xfId="0" applyBorder="1"/>
    <xf numFmtId="44" fontId="0" fillId="0" borderId="4" xfId="0" applyNumberFormat="1" applyBorder="1"/>
    <xf numFmtId="0" fontId="0" fillId="0" borderId="13" xfId="0" applyBorder="1"/>
    <xf numFmtId="44" fontId="0" fillId="0" borderId="14" xfId="2" applyFont="1" applyBorder="1"/>
    <xf numFmtId="44" fontId="0" fillId="0" borderId="9" xfId="2" applyFont="1" applyBorder="1"/>
    <xf numFmtId="44" fontId="0" fillId="0" borderId="14" xfId="0" applyNumberFormat="1" applyBorder="1"/>
    <xf numFmtId="1" fontId="0" fillId="0" borderId="9" xfId="0" applyNumberFormat="1" applyBorder="1"/>
    <xf numFmtId="44" fontId="2" fillId="0" borderId="9" xfId="0" applyNumberFormat="1" applyFont="1" applyBorder="1"/>
    <xf numFmtId="0" fontId="0" fillId="0" borderId="13" xfId="0" applyBorder="1" applyAlignment="1">
      <alignment horizontal="center"/>
    </xf>
    <xf numFmtId="164" fontId="0" fillId="0" borderId="14" xfId="2" applyNumberFormat="1" applyFont="1" applyBorder="1"/>
    <xf numFmtId="0" fontId="0" fillId="0" borderId="13" xfId="0" applyBorder="1" applyAlignment="1">
      <alignment horizontal="right"/>
    </xf>
    <xf numFmtId="9" fontId="0" fillId="0" borderId="0" xfId="1" applyFont="1" applyBorder="1"/>
    <xf numFmtId="9" fontId="0" fillId="0" borderId="0" xfId="0" applyNumberFormat="1" applyBorder="1"/>
    <xf numFmtId="9" fontId="0" fillId="0" borderId="14" xfId="0" applyNumberFormat="1" applyBorder="1"/>
    <xf numFmtId="9" fontId="0" fillId="6" borderId="0" xfId="0" applyNumberFormat="1" applyFill="1" applyBorder="1"/>
    <xf numFmtId="9" fontId="0" fillId="6" borderId="14" xfId="0" applyNumberFormat="1" applyFill="1" applyBorder="1"/>
    <xf numFmtId="9" fontId="0" fillId="5" borderId="0" xfId="0" applyNumberFormat="1" applyFill="1" applyBorder="1"/>
    <xf numFmtId="9" fontId="0" fillId="5" borderId="14" xfId="0" applyNumberFormat="1" applyFill="1" applyBorder="1"/>
    <xf numFmtId="9" fontId="0" fillId="4" borderId="0" xfId="0" applyNumberFormat="1" applyFill="1" applyBorder="1"/>
    <xf numFmtId="9" fontId="0" fillId="4" borderId="14" xfId="0" applyNumberFormat="1" applyFill="1" applyBorder="1"/>
    <xf numFmtId="0" fontId="0" fillId="0" borderId="14" xfId="0" applyBorder="1"/>
    <xf numFmtId="9" fontId="0" fillId="6" borderId="0" xfId="1" applyFont="1" applyFill="1" applyBorder="1"/>
    <xf numFmtId="9" fontId="0" fillId="6" borderId="14" xfId="1" applyFont="1" applyFill="1" applyBorder="1"/>
    <xf numFmtId="9" fontId="0" fillId="5" borderId="0" xfId="1" applyFont="1" applyFill="1" applyBorder="1"/>
    <xf numFmtId="9" fontId="0" fillId="5" borderId="14" xfId="1" applyFont="1" applyFill="1" applyBorder="1"/>
    <xf numFmtId="9" fontId="0" fillId="4" borderId="0" xfId="1" applyFont="1" applyFill="1" applyBorder="1"/>
    <xf numFmtId="9" fontId="0" fillId="4" borderId="14" xfId="1" applyFont="1" applyFill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6" borderId="0" xfId="1" applyNumberFormat="1" applyFont="1" applyFill="1" applyBorder="1"/>
    <xf numFmtId="165" fontId="0" fillId="6" borderId="14" xfId="1" applyNumberFormat="1" applyFont="1" applyFill="1" applyBorder="1"/>
    <xf numFmtId="165" fontId="0" fillId="5" borderId="0" xfId="1" applyNumberFormat="1" applyFont="1" applyFill="1" applyBorder="1"/>
    <xf numFmtId="165" fontId="0" fillId="5" borderId="14" xfId="1" applyNumberFormat="1" applyFont="1" applyFill="1" applyBorder="1"/>
    <xf numFmtId="165" fontId="0" fillId="4" borderId="0" xfId="1" applyNumberFormat="1" applyFont="1" applyFill="1" applyBorder="1"/>
    <xf numFmtId="165" fontId="0" fillId="4" borderId="14" xfId="1" applyNumberFormat="1" applyFont="1" applyFill="1" applyBorder="1"/>
    <xf numFmtId="9" fontId="0" fillId="0" borderId="0" xfId="1" applyNumberFormat="1" applyFont="1" applyBorder="1"/>
    <xf numFmtId="0" fontId="2" fillId="0" borderId="5" xfId="0" applyFont="1" applyBorder="1"/>
    <xf numFmtId="166" fontId="0" fillId="0" borderId="5" xfId="0" applyNumberFormat="1" applyBorder="1"/>
    <xf numFmtId="0" fontId="0" fillId="0" borderId="5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86C9-2E88-2547-AB17-3FB55517689F}">
  <dimension ref="A1:T28"/>
  <sheetViews>
    <sheetView zoomScaleNormal="100" workbookViewId="0">
      <selection sqref="A1:D2"/>
    </sheetView>
  </sheetViews>
  <sheetFormatPr baseColWidth="10" defaultRowHeight="16" x14ac:dyDescent="0.2"/>
  <cols>
    <col min="1" max="1" width="62" bestFit="1" customWidth="1"/>
    <col min="2" max="2" width="20" customWidth="1"/>
    <col min="3" max="3" width="16.33203125" customWidth="1"/>
    <col min="4" max="4" width="20.1640625" customWidth="1"/>
    <col min="5" max="5" width="16.83203125" customWidth="1"/>
    <col min="6" max="6" width="24.1640625" customWidth="1"/>
  </cols>
  <sheetData>
    <row r="1" spans="1:20" x14ac:dyDescent="0.2">
      <c r="A1" s="94" t="s">
        <v>40</v>
      </c>
      <c r="B1" s="94"/>
      <c r="C1" s="94"/>
      <c r="D1" s="94"/>
    </row>
    <row r="2" spans="1:20" x14ac:dyDescent="0.2">
      <c r="A2" s="94"/>
      <c r="B2" s="94"/>
      <c r="C2" s="94"/>
      <c r="D2" s="94"/>
    </row>
    <row r="3" spans="1:20" s="8" customFormat="1" ht="19" x14ac:dyDescent="0.25">
      <c r="B3" s="8">
        <v>2021</v>
      </c>
      <c r="C3" s="8">
        <v>2020</v>
      </c>
      <c r="D3" s="8">
        <v>2019</v>
      </c>
      <c r="E3" s="8">
        <v>2018</v>
      </c>
    </row>
    <row r="4" spans="1:20" x14ac:dyDescent="0.2">
      <c r="A4" s="10" t="s">
        <v>1</v>
      </c>
      <c r="B4" s="11">
        <f>B18+C18+D18+E18</f>
        <v>3251.6481028151775</v>
      </c>
      <c r="C4" s="12">
        <v>3087</v>
      </c>
      <c r="D4" s="13">
        <v>3226</v>
      </c>
      <c r="E4" s="13">
        <v>2979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2" customFormat="1" x14ac:dyDescent="0.2">
      <c r="A5" s="9" t="s">
        <v>32</v>
      </c>
      <c r="B5" s="19">
        <f t="shared" ref="B5:B14" si="0">B19+C19+D19+E19</f>
        <v>-1052.1064257028113</v>
      </c>
      <c r="C5" s="20">
        <v>-1061</v>
      </c>
      <c r="D5" s="21">
        <v>-1053</v>
      </c>
      <c r="E5" s="21">
        <v>-1053</v>
      </c>
    </row>
    <row r="6" spans="1:20" s="2" customFormat="1" x14ac:dyDescent="0.2">
      <c r="A6" s="10" t="s">
        <v>39</v>
      </c>
      <c r="B6" s="11">
        <f t="shared" si="0"/>
        <v>2197.5563380281692</v>
      </c>
      <c r="C6" s="14">
        <f>C4+C5</f>
        <v>2026</v>
      </c>
      <c r="D6" s="14">
        <f>D4+D5</f>
        <v>2173</v>
      </c>
      <c r="E6" s="14">
        <f>E4+E5</f>
        <v>1926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2" customFormat="1" x14ac:dyDescent="0.2">
      <c r="A7" s="9" t="s">
        <v>33</v>
      </c>
      <c r="B7" s="19">
        <f t="shared" si="0"/>
        <v>-187.17021276595744</v>
      </c>
      <c r="C7" s="20">
        <v>-152</v>
      </c>
      <c r="D7" s="21">
        <v>-109</v>
      </c>
      <c r="E7" s="21">
        <v>-71</v>
      </c>
    </row>
    <row r="8" spans="1:20" s="2" customFormat="1" x14ac:dyDescent="0.2">
      <c r="A8" s="10" t="s">
        <v>41</v>
      </c>
      <c r="B8" s="11">
        <f t="shared" si="0"/>
        <v>2010.4923224568138</v>
      </c>
      <c r="C8" s="12">
        <f>C6+C7</f>
        <v>1874</v>
      </c>
      <c r="D8" s="12">
        <f t="shared" ref="D8:E8" si="1">D6+D7</f>
        <v>2064</v>
      </c>
      <c r="E8" s="12">
        <f t="shared" si="1"/>
        <v>1855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0" t="s">
        <v>35</v>
      </c>
      <c r="B9" s="11">
        <f t="shared" si="0"/>
        <v>-1092.6636363636364</v>
      </c>
      <c r="C9" s="12">
        <v>-1065</v>
      </c>
      <c r="D9" s="13">
        <v>-983</v>
      </c>
      <c r="E9" s="13">
        <v>-862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s="2" customFormat="1" x14ac:dyDescent="0.2">
      <c r="A10" s="9" t="s">
        <v>36</v>
      </c>
      <c r="B10" s="19">
        <f t="shared" si="0"/>
        <v>1279.6311239193083</v>
      </c>
      <c r="C10" s="21">
        <v>-2561</v>
      </c>
      <c r="D10" s="21">
        <v>0</v>
      </c>
      <c r="E10" s="21">
        <v>0</v>
      </c>
    </row>
    <row r="11" spans="1:20" s="2" customFormat="1" x14ac:dyDescent="0.2">
      <c r="A11" s="10" t="s">
        <v>42</v>
      </c>
      <c r="B11" s="11">
        <f t="shared" si="0"/>
        <v>2222.3191489361702</v>
      </c>
      <c r="C11" s="14">
        <f>C8+(C9+C10)</f>
        <v>-1752</v>
      </c>
      <c r="D11" s="14">
        <f t="shared" ref="D11:E11" si="2">D8+(D9+D10)</f>
        <v>1081</v>
      </c>
      <c r="E11" s="14">
        <f t="shared" si="2"/>
        <v>993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0" t="s">
        <v>34</v>
      </c>
      <c r="B12" s="11">
        <f t="shared" si="0"/>
        <v>-907.5</v>
      </c>
      <c r="C12" s="12">
        <v>-816</v>
      </c>
      <c r="D12" s="13">
        <v>-701</v>
      </c>
      <c r="E12" s="13">
        <v>-670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2" customFormat="1" x14ac:dyDescent="0.2">
      <c r="A13" s="9" t="s">
        <v>37</v>
      </c>
      <c r="B13" s="19">
        <f t="shared" si="0"/>
        <v>-358.5</v>
      </c>
      <c r="C13" s="20">
        <v>73</v>
      </c>
      <c r="D13" s="21">
        <v>-67</v>
      </c>
      <c r="E13" s="21">
        <v>312</v>
      </c>
    </row>
    <row r="14" spans="1:20" x14ac:dyDescent="0.2">
      <c r="A14" s="10" t="s">
        <v>38</v>
      </c>
      <c r="B14" s="11">
        <f t="shared" si="0"/>
        <v>956.31914893617022</v>
      </c>
      <c r="C14" s="12">
        <f>C11+C12+C13</f>
        <v>-2495</v>
      </c>
      <c r="D14" s="12">
        <f t="shared" ref="D14:E14" si="3">D11+D12+D13</f>
        <v>313</v>
      </c>
      <c r="E14" s="12">
        <f t="shared" si="3"/>
        <v>635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B15" s="7"/>
    </row>
    <row r="16" spans="1:20" x14ac:dyDescent="0.2">
      <c r="A16" s="95">
        <v>2021</v>
      </c>
      <c r="B16" s="95"/>
      <c r="C16" s="95"/>
      <c r="D16" s="95"/>
      <c r="E16" s="95"/>
      <c r="F16" s="95"/>
    </row>
    <row r="17" spans="1:6" x14ac:dyDescent="0.2">
      <c r="A17" s="15"/>
      <c r="B17" s="16" t="s">
        <v>43</v>
      </c>
      <c r="C17" s="15" t="s">
        <v>44</v>
      </c>
      <c r="D17" s="15" t="s">
        <v>45</v>
      </c>
      <c r="E17" s="15" t="s">
        <v>46</v>
      </c>
      <c r="F17" s="15" t="s">
        <v>47</v>
      </c>
    </row>
    <row r="18" spans="1:6" x14ac:dyDescent="0.2">
      <c r="A18" s="18" t="s">
        <v>1</v>
      </c>
      <c r="B18" s="24">
        <f>(C18*F18)+C18</f>
        <v>789.64810281517748</v>
      </c>
      <c r="C18" s="24">
        <v>806</v>
      </c>
      <c r="D18" s="24">
        <v>817</v>
      </c>
      <c r="E18" s="24">
        <v>839</v>
      </c>
      <c r="F18" s="17">
        <f>(((D18-E18)/D18)+((C18-D18)/C18))/2</f>
        <v>-2.0287713628812064E-2</v>
      </c>
    </row>
    <row r="19" spans="1:6" s="2" customFormat="1" x14ac:dyDescent="0.2">
      <c r="A19" s="22" t="s">
        <v>32</v>
      </c>
      <c r="B19" s="25">
        <f t="shared" ref="B19:B27" si="4">(C19*F19)+C19</f>
        <v>-211.10642570281124</v>
      </c>
      <c r="C19" s="25">
        <v>-254</v>
      </c>
      <c r="D19" s="25">
        <v>-249</v>
      </c>
      <c r="E19" s="25">
        <v>-338</v>
      </c>
      <c r="F19" s="23">
        <f t="shared" ref="F19:F26" si="5">(((D19-E19)/D19)+((C19-D19)/C19))/2</f>
        <v>-0.16887233975271163</v>
      </c>
    </row>
    <row r="20" spans="1:6" x14ac:dyDescent="0.2">
      <c r="A20" s="18" t="s">
        <v>39</v>
      </c>
      <c r="B20" s="24">
        <f t="shared" si="4"/>
        <v>576.55633802816897</v>
      </c>
      <c r="C20" s="24">
        <f>C18+C19</f>
        <v>552</v>
      </c>
      <c r="D20" s="24">
        <f>D18+D19</f>
        <v>568</v>
      </c>
      <c r="E20" s="24">
        <f>E18+E19</f>
        <v>501</v>
      </c>
      <c r="F20" s="17">
        <f t="shared" si="5"/>
        <v>4.448611961624821E-2</v>
      </c>
    </row>
    <row r="21" spans="1:6" s="2" customFormat="1" x14ac:dyDescent="0.2">
      <c r="A21" s="22" t="s">
        <v>33</v>
      </c>
      <c r="B21" s="25">
        <f t="shared" si="4"/>
        <v>-40.170212765957444</v>
      </c>
      <c r="C21" s="25">
        <v>-45</v>
      </c>
      <c r="D21" s="25">
        <v>-47</v>
      </c>
      <c r="E21" s="25">
        <v>-55</v>
      </c>
      <c r="F21" s="23">
        <f t="shared" si="5"/>
        <v>-0.10732860520094563</v>
      </c>
    </row>
    <row r="22" spans="1:6" x14ac:dyDescent="0.2">
      <c r="A22" s="18" t="s">
        <v>41</v>
      </c>
      <c r="B22" s="24">
        <f t="shared" si="4"/>
        <v>536.49232245681378</v>
      </c>
      <c r="C22" s="24">
        <f>C20+C21</f>
        <v>507</v>
      </c>
      <c r="D22" s="24">
        <f t="shared" ref="D22:E22" si="6">D20+D21</f>
        <v>521</v>
      </c>
      <c r="E22" s="24">
        <f t="shared" si="6"/>
        <v>446</v>
      </c>
      <c r="F22" s="17">
        <f t="shared" si="5"/>
        <v>5.8170261256043035E-2</v>
      </c>
    </row>
    <row r="23" spans="1:6" x14ac:dyDescent="0.2">
      <c r="A23" s="18" t="s">
        <v>35</v>
      </c>
      <c r="B23" s="24">
        <f t="shared" si="4"/>
        <v>-258.66363636363639</v>
      </c>
      <c r="C23" s="24">
        <v>-269</v>
      </c>
      <c r="D23" s="24">
        <v>-275</v>
      </c>
      <c r="E23" s="24">
        <v>-290</v>
      </c>
      <c r="F23" s="17">
        <f t="shared" si="5"/>
        <v>-3.8425143629604593E-2</v>
      </c>
    </row>
    <row r="24" spans="1:6" s="2" customFormat="1" x14ac:dyDescent="0.2">
      <c r="A24" s="22" t="s">
        <v>36</v>
      </c>
      <c r="B24" s="25">
        <f t="shared" si="4"/>
        <v>205.63112391930832</v>
      </c>
      <c r="C24" s="25">
        <v>286</v>
      </c>
      <c r="D24" s="25">
        <v>694</v>
      </c>
      <c r="E24" s="25">
        <v>94</v>
      </c>
      <c r="F24" s="23">
        <f t="shared" si="5"/>
        <v>-0.28101005622619463</v>
      </c>
    </row>
    <row r="25" spans="1:6" x14ac:dyDescent="0.2">
      <c r="A25" s="18" t="s">
        <v>42</v>
      </c>
      <c r="B25" s="24">
        <f t="shared" si="4"/>
        <v>508.31914893617022</v>
      </c>
      <c r="C25" s="24">
        <f>C22+C23+C24</f>
        <v>524</v>
      </c>
      <c r="D25" s="24">
        <f t="shared" ref="D25:E25" si="7">D22+D23+D24</f>
        <v>940</v>
      </c>
      <c r="E25" s="24">
        <f t="shared" si="7"/>
        <v>250</v>
      </c>
      <c r="F25" s="17">
        <f t="shared" si="5"/>
        <v>-2.9925288289751495E-2</v>
      </c>
    </row>
    <row r="26" spans="1:6" x14ac:dyDescent="0.2">
      <c r="A26" s="18" t="s">
        <v>34</v>
      </c>
      <c r="B26" s="24">
        <f t="shared" si="4"/>
        <v>-236.5</v>
      </c>
      <c r="C26" s="24">
        <v>-231</v>
      </c>
      <c r="D26" s="24">
        <v>-220</v>
      </c>
      <c r="E26" s="24">
        <v>-220</v>
      </c>
      <c r="F26" s="17">
        <f t="shared" si="5"/>
        <v>2.3809523809523808E-2</v>
      </c>
    </row>
    <row r="27" spans="1:6" s="2" customFormat="1" x14ac:dyDescent="0.2">
      <c r="A27" s="22" t="s">
        <v>37</v>
      </c>
      <c r="B27" s="25">
        <f t="shared" si="4"/>
        <v>-181.5</v>
      </c>
      <c r="C27" s="25">
        <v>-165</v>
      </c>
      <c r="D27" s="25">
        <v>-16</v>
      </c>
      <c r="E27" s="25">
        <v>4</v>
      </c>
      <c r="F27" s="23">
        <v>0.1</v>
      </c>
    </row>
    <row r="28" spans="1:6" x14ac:dyDescent="0.2">
      <c r="A28" s="18" t="s">
        <v>38</v>
      </c>
      <c r="B28" s="24">
        <f>B25+B26+B27</f>
        <v>90.319148936170222</v>
      </c>
      <c r="C28" s="24">
        <f>C25+C26+C27</f>
        <v>128</v>
      </c>
      <c r="D28" s="24">
        <f t="shared" ref="D28:E28" si="8">D25+D26+D27</f>
        <v>704</v>
      </c>
      <c r="E28" s="24">
        <f t="shared" si="8"/>
        <v>34</v>
      </c>
      <c r="F28" s="15" t="s">
        <v>27</v>
      </c>
    </row>
  </sheetData>
  <mergeCells count="2">
    <mergeCell ref="A1:D2"/>
    <mergeCell ref="A16:F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C4FE-813F-1242-9AE1-30AB88EC36BE}">
  <dimension ref="A1:F28"/>
  <sheetViews>
    <sheetView workbookViewId="0">
      <selection activeCell="H17" sqref="H17"/>
    </sheetView>
  </sheetViews>
  <sheetFormatPr baseColWidth="10" defaultRowHeight="16" x14ac:dyDescent="0.2"/>
  <cols>
    <col min="1" max="1" width="37.33203125" customWidth="1"/>
    <col min="6" max="6" width="19.5" bestFit="1" customWidth="1"/>
  </cols>
  <sheetData>
    <row r="1" spans="1:6" x14ac:dyDescent="0.2">
      <c r="A1" s="94" t="s">
        <v>40</v>
      </c>
      <c r="B1" s="94"/>
      <c r="C1" s="94"/>
      <c r="D1" s="94"/>
      <c r="E1" s="94"/>
      <c r="F1" s="94"/>
    </row>
    <row r="2" spans="1:6" x14ac:dyDescent="0.2">
      <c r="A2" s="94"/>
      <c r="B2" s="94"/>
      <c r="C2" s="94"/>
      <c r="D2" s="94"/>
      <c r="E2" s="94"/>
      <c r="F2" s="94"/>
    </row>
    <row r="3" spans="1:6" x14ac:dyDescent="0.2">
      <c r="B3">
        <v>2021</v>
      </c>
      <c r="C3">
        <v>2020</v>
      </c>
      <c r="D3">
        <v>2019</v>
      </c>
      <c r="E3">
        <v>2018</v>
      </c>
    </row>
    <row r="4" spans="1:6" x14ac:dyDescent="0.2">
      <c r="A4" t="s">
        <v>0</v>
      </c>
      <c r="B4" s="27">
        <v>2278.2845998993457</v>
      </c>
      <c r="C4">
        <v>1584</v>
      </c>
      <c r="D4">
        <v>1363</v>
      </c>
      <c r="E4">
        <v>1390</v>
      </c>
    </row>
    <row r="5" spans="1:6" x14ac:dyDescent="0.2">
      <c r="A5" t="s">
        <v>48</v>
      </c>
      <c r="B5" s="27">
        <v>33483.448318149967</v>
      </c>
      <c r="C5">
        <v>36097</v>
      </c>
      <c r="D5">
        <v>32647</v>
      </c>
      <c r="E5">
        <v>30421</v>
      </c>
    </row>
    <row r="6" spans="1:6" x14ac:dyDescent="0.2">
      <c r="A6" t="s">
        <v>49</v>
      </c>
      <c r="B6" s="27">
        <v>35761.732918049311</v>
      </c>
      <c r="C6">
        <f>C4+C5</f>
        <v>37681</v>
      </c>
      <c r="D6">
        <f t="shared" ref="D6:E6" si="0">D4+D5</f>
        <v>34010</v>
      </c>
      <c r="E6">
        <f t="shared" si="0"/>
        <v>31811</v>
      </c>
    </row>
    <row r="7" spans="1:6" x14ac:dyDescent="0.2">
      <c r="B7" s="27"/>
    </row>
    <row r="8" spans="1:6" x14ac:dyDescent="0.2">
      <c r="A8" t="s">
        <v>53</v>
      </c>
      <c r="B8" s="27">
        <v>13223.255466225863</v>
      </c>
      <c r="C8">
        <v>12822</v>
      </c>
      <c r="D8">
        <v>11958</v>
      </c>
      <c r="E8">
        <v>11372</v>
      </c>
    </row>
    <row r="9" spans="1:6" x14ac:dyDescent="0.2">
      <c r="A9" t="s">
        <v>52</v>
      </c>
      <c r="B9" s="27">
        <v>4371.6398645258405</v>
      </c>
      <c r="C9">
        <v>4200</v>
      </c>
      <c r="D9">
        <v>3590</v>
      </c>
      <c r="E9">
        <v>3210</v>
      </c>
    </row>
    <row r="10" spans="1:6" x14ac:dyDescent="0.2">
      <c r="A10" t="s">
        <v>51</v>
      </c>
      <c r="B10" s="27">
        <v>17594.895330751704</v>
      </c>
      <c r="C10">
        <f>C8+C9</f>
        <v>17022</v>
      </c>
      <c r="D10">
        <f t="shared" ref="D10:E10" si="1">D8+D9</f>
        <v>15548</v>
      </c>
      <c r="E10">
        <f t="shared" si="1"/>
        <v>14582</v>
      </c>
    </row>
    <row r="11" spans="1:6" x14ac:dyDescent="0.2">
      <c r="B11" s="27"/>
    </row>
    <row r="12" spans="1:6" x14ac:dyDescent="0.2">
      <c r="A12" t="s">
        <v>12</v>
      </c>
      <c r="B12" s="27">
        <v>10973.40492834673</v>
      </c>
      <c r="C12">
        <v>11725</v>
      </c>
      <c r="D12">
        <v>17874</v>
      </c>
      <c r="E12">
        <v>17224</v>
      </c>
    </row>
    <row r="13" spans="1:6" x14ac:dyDescent="0.2">
      <c r="A13" t="s">
        <v>50</v>
      </c>
      <c r="B13" s="27">
        <v>5880.9415838602836</v>
      </c>
      <c r="C13">
        <v>7430</v>
      </c>
      <c r="D13">
        <v>0</v>
      </c>
      <c r="E13">
        <v>0</v>
      </c>
    </row>
    <row r="14" spans="1:6" x14ac:dyDescent="0.2">
      <c r="A14" t="s">
        <v>54</v>
      </c>
      <c r="B14" s="27">
        <v>16854.346512207012</v>
      </c>
      <c r="C14">
        <f>C12+C13</f>
        <v>19155</v>
      </c>
      <c r="D14">
        <f t="shared" ref="D14:E14" si="2">D12+D13</f>
        <v>17874</v>
      </c>
      <c r="E14">
        <f t="shared" si="2"/>
        <v>17224</v>
      </c>
    </row>
    <row r="16" spans="1:6" x14ac:dyDescent="0.2">
      <c r="A16" s="96">
        <v>2021</v>
      </c>
      <c r="B16" s="96"/>
      <c r="C16" s="96"/>
      <c r="D16" s="96"/>
      <c r="E16" s="96"/>
      <c r="F16" s="96"/>
    </row>
    <row r="17" spans="1:6" x14ac:dyDescent="0.2">
      <c r="B17" t="s">
        <v>43</v>
      </c>
      <c r="C17" t="s">
        <v>44</v>
      </c>
      <c r="D17" t="s">
        <v>45</v>
      </c>
      <c r="E17" t="s">
        <v>46</v>
      </c>
      <c r="F17" t="s">
        <v>55</v>
      </c>
    </row>
    <row r="18" spans="1:6" x14ac:dyDescent="0.2">
      <c r="A18" t="s">
        <v>0</v>
      </c>
      <c r="B18" s="27">
        <f>C18*(1+F18)</f>
        <v>2278.2845998993457</v>
      </c>
      <c r="C18">
        <f>2365+372</f>
        <v>2737</v>
      </c>
      <c r="D18">
        <f>798+2802+374</f>
        <v>3974</v>
      </c>
      <c r="E18">
        <f>773+2365+372</f>
        <v>3510</v>
      </c>
      <c r="F18" s="26">
        <f>(((D18-E18)/D18)+((C18-D18)/C18))/2</f>
        <v>-0.16759788092826244</v>
      </c>
    </row>
    <row r="19" spans="1:6" x14ac:dyDescent="0.2">
      <c r="A19" t="s">
        <v>48</v>
      </c>
      <c r="B19" s="27">
        <f t="shared" ref="B19:B27" si="3">C19*(1+F19)</f>
        <v>33483.448318149967</v>
      </c>
      <c r="C19">
        <v>33660</v>
      </c>
      <c r="D19">
        <v>34248</v>
      </c>
      <c r="E19">
        <v>34009</v>
      </c>
      <c r="F19" s="26">
        <f t="shared" ref="F19:F28" si="4">(((D19-E19)/D19)+((C19-D19)/C19))/2</f>
        <v>-5.2451480050515458E-3</v>
      </c>
    </row>
    <row r="20" spans="1:6" x14ac:dyDescent="0.2">
      <c r="A20" t="s">
        <v>49</v>
      </c>
      <c r="B20" s="27">
        <f>SUM(B18:B19)</f>
        <v>35761.732918049311</v>
      </c>
      <c r="C20">
        <f>SUM(C18:C19)</f>
        <v>36397</v>
      </c>
      <c r="D20">
        <f>D18+D19</f>
        <v>38222</v>
      </c>
      <c r="E20">
        <f>E18+E19</f>
        <v>37519</v>
      </c>
      <c r="F20" s="26">
        <f t="shared" si="4"/>
        <v>-1.5874473192142843E-2</v>
      </c>
    </row>
    <row r="21" spans="1:6" x14ac:dyDescent="0.2">
      <c r="B21" s="27"/>
      <c r="F21" s="26"/>
    </row>
    <row r="22" spans="1:6" x14ac:dyDescent="0.2">
      <c r="A22" t="s">
        <v>53</v>
      </c>
      <c r="B22" s="27">
        <f t="shared" si="3"/>
        <v>13223.255466225863</v>
      </c>
      <c r="C22">
        <v>13055</v>
      </c>
      <c r="D22">
        <f>12908+401</f>
        <v>13309</v>
      </c>
      <c r="E22">
        <f>12299+408</f>
        <v>12707</v>
      </c>
      <c r="F22" s="26">
        <f t="shared" si="4"/>
        <v>1.2888201166285883E-2</v>
      </c>
    </row>
    <row r="23" spans="1:6" x14ac:dyDescent="0.2">
      <c r="A23" t="s">
        <v>52</v>
      </c>
      <c r="B23" s="27">
        <f t="shared" si="3"/>
        <v>4371.6398645258405</v>
      </c>
      <c r="C23">
        <v>4247</v>
      </c>
      <c r="D23">
        <v>3986</v>
      </c>
      <c r="E23">
        <v>3997</v>
      </c>
      <c r="F23" s="26">
        <f t="shared" si="4"/>
        <v>2.934774300113973E-2</v>
      </c>
    </row>
    <row r="24" spans="1:6" x14ac:dyDescent="0.2">
      <c r="A24" t="s">
        <v>51</v>
      </c>
      <c r="B24" s="27">
        <f>SUM(B22:B23)</f>
        <v>17594.895330751704</v>
      </c>
      <c r="C24">
        <f>SUM(C22:C23)</f>
        <v>17302</v>
      </c>
      <c r="D24">
        <f>D22+D23</f>
        <v>17295</v>
      </c>
      <c r="E24">
        <f>E22+E23</f>
        <v>16704</v>
      </c>
      <c r="F24" s="26">
        <f t="shared" si="4"/>
        <v>1.7288151718920543E-2</v>
      </c>
    </row>
    <row r="25" spans="1:6" x14ac:dyDescent="0.2">
      <c r="B25" s="27"/>
      <c r="F25" s="26"/>
    </row>
    <row r="26" spans="1:6" x14ac:dyDescent="0.2">
      <c r="A26" t="s">
        <v>12</v>
      </c>
      <c r="B26" s="27">
        <f t="shared" si="3"/>
        <v>10973.40492834673</v>
      </c>
      <c r="C26">
        <v>10906</v>
      </c>
      <c r="D26">
        <v>11444</v>
      </c>
      <c r="E26">
        <v>10738</v>
      </c>
      <c r="F26" s="26">
        <f t="shared" si="4"/>
        <v>6.1805362503880336E-3</v>
      </c>
    </row>
    <row r="27" spans="1:6" x14ac:dyDescent="0.2">
      <c r="A27" t="s">
        <v>50</v>
      </c>
      <c r="B27" s="27">
        <f t="shared" si="3"/>
        <v>5880.9415838602836</v>
      </c>
      <c r="C27">
        <v>6356</v>
      </c>
      <c r="D27">
        <v>6642</v>
      </c>
      <c r="E27">
        <v>7336</v>
      </c>
      <c r="F27" s="26">
        <f t="shared" si="4"/>
        <v>-7.4741726894228588E-2</v>
      </c>
    </row>
    <row r="28" spans="1:6" x14ac:dyDescent="0.2">
      <c r="A28" t="s">
        <v>54</v>
      </c>
      <c r="B28" s="27">
        <f>SUM(B26:B27)</f>
        <v>16854.346512207012</v>
      </c>
      <c r="C28">
        <f>SUM(C26:C27)</f>
        <v>17262</v>
      </c>
      <c r="D28">
        <f>D26+D27</f>
        <v>18086</v>
      </c>
      <c r="E28">
        <f>E26+E27</f>
        <v>18074</v>
      </c>
      <c r="F28" s="26">
        <f t="shared" si="4"/>
        <v>-2.3535706210776091E-2</v>
      </c>
    </row>
  </sheetData>
  <mergeCells count="2">
    <mergeCell ref="A16:F16"/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08C9-33E3-854D-87F2-DA0821953A68}">
  <dimension ref="B2:I30"/>
  <sheetViews>
    <sheetView workbookViewId="0">
      <selection activeCell="C35" sqref="C35"/>
    </sheetView>
  </sheetViews>
  <sheetFormatPr baseColWidth="10" defaultRowHeight="16" x14ac:dyDescent="0.2"/>
  <cols>
    <col min="1" max="1" width="6.83203125" customWidth="1"/>
    <col min="2" max="2" width="21.83203125" customWidth="1"/>
    <col min="3" max="3" width="26.6640625" customWidth="1"/>
    <col min="5" max="5" width="12.5" customWidth="1"/>
  </cols>
  <sheetData>
    <row r="2" spans="2:9" x14ac:dyDescent="0.2">
      <c r="B2" s="99" t="s">
        <v>69</v>
      </c>
      <c r="C2" s="99"/>
      <c r="D2" s="99"/>
      <c r="E2" s="99"/>
    </row>
    <row r="3" spans="2:9" x14ac:dyDescent="0.2">
      <c r="B3" s="40" t="s">
        <v>86</v>
      </c>
      <c r="C3" s="40" t="s">
        <v>67</v>
      </c>
      <c r="D3" s="88" t="s">
        <v>84</v>
      </c>
      <c r="E3" s="88" t="s">
        <v>85</v>
      </c>
    </row>
    <row r="4" spans="2:9" x14ac:dyDescent="0.2">
      <c r="B4" s="3" t="s">
        <v>7</v>
      </c>
      <c r="C4" s="30">
        <f>C7+C6*(C7-C5)</f>
        <v>0.15942700000000001</v>
      </c>
      <c r="D4" s="30">
        <f t="shared" ref="D4:E4" si="0">D7+D6*(D7-D5)</f>
        <v>0.195047</v>
      </c>
      <c r="E4" s="30">
        <f t="shared" si="0"/>
        <v>0.123807</v>
      </c>
    </row>
    <row r="5" spans="2:9" x14ac:dyDescent="0.2">
      <c r="B5" s="3" t="s">
        <v>8</v>
      </c>
      <c r="C5" s="28">
        <v>1.6299999999999999E-2</v>
      </c>
      <c r="D5" s="89">
        <f>C5-0.002</f>
        <v>1.4299999999999998E-2</v>
      </c>
      <c r="E5" s="89">
        <f>C5+0.002</f>
        <v>1.8299999999999997E-2</v>
      </c>
      <c r="I5" s="39"/>
    </row>
    <row r="6" spans="2:9" x14ac:dyDescent="0.2">
      <c r="B6" s="3" t="s">
        <v>9</v>
      </c>
      <c r="C6" s="3">
        <v>0.71</v>
      </c>
      <c r="D6" s="3">
        <v>0.71</v>
      </c>
      <c r="E6" s="3">
        <v>0.71</v>
      </c>
    </row>
    <row r="7" spans="2:9" x14ac:dyDescent="0.2">
      <c r="B7" s="3" t="s">
        <v>10</v>
      </c>
      <c r="C7" s="29">
        <v>0.1</v>
      </c>
      <c r="D7" s="29">
        <v>0.12</v>
      </c>
      <c r="E7" s="29">
        <v>0.08</v>
      </c>
    </row>
    <row r="9" spans="2:9" x14ac:dyDescent="0.2">
      <c r="B9" s="99" t="s">
        <v>70</v>
      </c>
      <c r="C9" s="99"/>
      <c r="D9" s="99"/>
      <c r="E9" s="99"/>
    </row>
    <row r="10" spans="2:9" x14ac:dyDescent="0.2">
      <c r="B10" s="40" t="s">
        <v>86</v>
      </c>
      <c r="C10" s="40" t="s">
        <v>81</v>
      </c>
      <c r="D10" s="40" t="s">
        <v>82</v>
      </c>
      <c r="E10" s="40" t="s">
        <v>83</v>
      </c>
    </row>
    <row r="11" spans="2:9" x14ac:dyDescent="0.2">
      <c r="B11" s="3" t="s">
        <v>56</v>
      </c>
      <c r="C11" s="28">
        <v>4.7899999999999998E-2</v>
      </c>
      <c r="D11" s="28">
        <f>C11+0.01</f>
        <v>5.79E-2</v>
      </c>
      <c r="E11" s="28">
        <f>C11-0.01</f>
        <v>3.7899999999999996E-2</v>
      </c>
    </row>
    <row r="12" spans="2:9" x14ac:dyDescent="0.2">
      <c r="B12" s="3" t="s">
        <v>57</v>
      </c>
      <c r="C12" s="28">
        <v>5.1400000000000001E-2</v>
      </c>
      <c r="D12" s="28">
        <f t="shared" ref="D12:D15" si="1">C12+0.01</f>
        <v>6.1400000000000003E-2</v>
      </c>
      <c r="E12" s="28">
        <f t="shared" ref="E12:E15" si="2">C12-0.01</f>
        <v>4.1399999999999999E-2</v>
      </c>
    </row>
    <row r="13" spans="2:9" x14ac:dyDescent="0.2">
      <c r="B13" s="3" t="s">
        <v>58</v>
      </c>
      <c r="C13" s="28">
        <v>6.13E-2</v>
      </c>
      <c r="D13" s="28">
        <f t="shared" si="1"/>
        <v>7.1300000000000002E-2</v>
      </c>
      <c r="E13" s="28">
        <f t="shared" si="2"/>
        <v>5.1299999999999998E-2</v>
      </c>
    </row>
    <row r="14" spans="2:9" x14ac:dyDescent="0.2">
      <c r="B14" s="3" t="s">
        <v>59</v>
      </c>
      <c r="C14" s="28">
        <v>5.8400000000000001E-2</v>
      </c>
      <c r="D14" s="28">
        <f t="shared" si="1"/>
        <v>6.8400000000000002E-2</v>
      </c>
      <c r="E14" s="28">
        <f t="shared" si="2"/>
        <v>4.8399999999999999E-2</v>
      </c>
    </row>
    <row r="15" spans="2:9" x14ac:dyDescent="0.2">
      <c r="B15" s="3" t="s">
        <v>60</v>
      </c>
      <c r="C15" s="28">
        <v>5.2499999999999998E-2</v>
      </c>
      <c r="D15" s="28">
        <f t="shared" si="1"/>
        <v>6.25E-2</v>
      </c>
      <c r="E15" s="28">
        <f t="shared" si="2"/>
        <v>4.2499999999999996E-2</v>
      </c>
    </row>
    <row r="16" spans="2:9" x14ac:dyDescent="0.2">
      <c r="B16" s="32" t="s">
        <v>61</v>
      </c>
      <c r="C16" s="33">
        <f>AVERAGE(C11:C15)</f>
        <v>5.4300000000000001E-2</v>
      </c>
      <c r="D16" s="33">
        <f>AVERAGE(D11:D15)</f>
        <v>6.4299999999999996E-2</v>
      </c>
      <c r="E16" s="33">
        <f>AVERAGE(E11:E15)</f>
        <v>4.4299999999999992E-2</v>
      </c>
    </row>
    <row r="18" spans="2:8" x14ac:dyDescent="0.2">
      <c r="B18" s="99" t="s">
        <v>4</v>
      </c>
      <c r="C18" s="99"/>
      <c r="D18" s="99"/>
      <c r="E18" s="99"/>
      <c r="H18" t="s">
        <v>11</v>
      </c>
    </row>
    <row r="19" spans="2:8" x14ac:dyDescent="0.2">
      <c r="B19" s="40" t="s">
        <v>86</v>
      </c>
      <c r="C19" s="40" t="s">
        <v>67</v>
      </c>
      <c r="D19" s="40" t="s">
        <v>84</v>
      </c>
      <c r="E19" s="40" t="s">
        <v>83</v>
      </c>
    </row>
    <row r="20" spans="2:8" x14ac:dyDescent="0.2">
      <c r="B20" s="3" t="s">
        <v>12</v>
      </c>
      <c r="C20" s="31">
        <f>'Balance Sheet'!B14</f>
        <v>16854.346512207012</v>
      </c>
      <c r="D20" s="31">
        <v>16854.346512207012</v>
      </c>
      <c r="E20" s="31">
        <v>16854.346512207012</v>
      </c>
    </row>
    <row r="21" spans="2:8" x14ac:dyDescent="0.2">
      <c r="B21" s="3" t="s">
        <v>13</v>
      </c>
      <c r="C21" s="4">
        <f>C4</f>
        <v>0.15942700000000001</v>
      </c>
      <c r="D21" s="29">
        <f>D4</f>
        <v>0.195047</v>
      </c>
      <c r="E21" s="29">
        <f>E4</f>
        <v>0.123807</v>
      </c>
    </row>
    <row r="22" spans="2:8" x14ac:dyDescent="0.2">
      <c r="B22" s="3" t="s">
        <v>14</v>
      </c>
      <c r="C22" s="31">
        <f>'Balance Sheet'!B10</f>
        <v>17594.895330751704</v>
      </c>
      <c r="D22" s="31">
        <v>17594.895330751704</v>
      </c>
      <c r="E22" s="31">
        <v>17594.895330751704</v>
      </c>
    </row>
    <row r="23" spans="2:8" x14ac:dyDescent="0.2">
      <c r="B23" s="3" t="s">
        <v>15</v>
      </c>
      <c r="C23" s="4">
        <f>C16</f>
        <v>5.4300000000000001E-2</v>
      </c>
      <c r="D23" s="28">
        <f>D16</f>
        <v>6.4299999999999996E-2</v>
      </c>
      <c r="E23" s="28">
        <f>E16</f>
        <v>4.4299999999999992E-2</v>
      </c>
    </row>
    <row r="24" spans="2:8" x14ac:dyDescent="0.2">
      <c r="B24" s="3" t="s">
        <v>16</v>
      </c>
      <c r="C24" s="4">
        <f>1-0.21</f>
        <v>0.79</v>
      </c>
      <c r="D24" s="4">
        <f>1-0.21</f>
        <v>0.79</v>
      </c>
      <c r="E24" s="4">
        <f>1-0.21</f>
        <v>0.79</v>
      </c>
    </row>
    <row r="25" spans="2:8" x14ac:dyDescent="0.2">
      <c r="B25" s="3" t="s">
        <v>4</v>
      </c>
      <c r="C25" s="30">
        <f>(((C20/(C20+C22)*C21)+((C22/(C22+C20))*C23))*(C24))</f>
        <v>8.3529506403308459E-2</v>
      </c>
      <c r="D25" s="30">
        <f>(((D20/(D20+D22)*D21)+((D22/(D22+D20))*D23))*(D24))</f>
        <v>0.10133186083226355</v>
      </c>
      <c r="E25" s="30">
        <f>(((E20/(E20+E22)*E21)+((E22/(E22+E20))*E23))*(E24))</f>
        <v>6.5727151974353359E-2</v>
      </c>
    </row>
    <row r="27" spans="2:8" x14ac:dyDescent="0.2">
      <c r="B27" s="99" t="s">
        <v>5</v>
      </c>
      <c r="C27" s="99"/>
      <c r="D27" s="99"/>
      <c r="E27" s="99"/>
    </row>
    <row r="28" spans="2:8" x14ac:dyDescent="0.2">
      <c r="B28" s="3" t="s">
        <v>17</v>
      </c>
      <c r="C28" s="97">
        <f>AVERAGE(2.49,4.3,5.59,10.26)</f>
        <v>5.66</v>
      </c>
      <c r="D28" s="97"/>
      <c r="E28" s="97"/>
    </row>
    <row r="29" spans="2:8" x14ac:dyDescent="0.2">
      <c r="B29" s="3" t="s">
        <v>18</v>
      </c>
      <c r="C29" s="97">
        <f>AVERAGE(2.33,3,2.16,-3.49)</f>
        <v>1</v>
      </c>
      <c r="D29" s="97"/>
      <c r="E29" s="97"/>
    </row>
    <row r="30" spans="2:8" x14ac:dyDescent="0.2">
      <c r="B30" s="3" t="s">
        <v>19</v>
      </c>
      <c r="C30" s="98">
        <f>AVERAGE(C28,C29)</f>
        <v>3.33</v>
      </c>
      <c r="D30" s="98"/>
      <c r="E30" s="98"/>
    </row>
  </sheetData>
  <mergeCells count="7">
    <mergeCell ref="C28:E28"/>
    <mergeCell ref="C29:E29"/>
    <mergeCell ref="C30:E30"/>
    <mergeCell ref="B9:E9"/>
    <mergeCell ref="B2:E2"/>
    <mergeCell ref="B18:E18"/>
    <mergeCell ref="B27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30C4-738E-E141-B55B-E744DC72DC6C}">
  <dimension ref="A1:P69"/>
  <sheetViews>
    <sheetView tabSelected="1" topLeftCell="A28" workbookViewId="0">
      <selection activeCell="O51" sqref="O51"/>
    </sheetView>
  </sheetViews>
  <sheetFormatPr baseColWidth="10" defaultRowHeight="16" x14ac:dyDescent="0.2"/>
  <cols>
    <col min="1" max="1" width="3.83203125" customWidth="1"/>
    <col min="2" max="2" width="30.83203125" customWidth="1"/>
    <col min="3" max="4" width="14.6640625" bestFit="1" customWidth="1"/>
    <col min="5" max="5" width="14.6640625" customWidth="1"/>
    <col min="6" max="6" width="14.6640625" bestFit="1" customWidth="1"/>
    <col min="7" max="7" width="21.5" bestFit="1" customWidth="1"/>
    <col min="8" max="8" width="20.33203125" bestFit="1" customWidth="1"/>
    <col min="9" max="16" width="12.5" bestFit="1" customWidth="1"/>
  </cols>
  <sheetData>
    <row r="1" spans="1:15" s="110" customFormat="1" x14ac:dyDescent="0.2">
      <c r="A1" s="110" t="s">
        <v>89</v>
      </c>
    </row>
    <row r="2" spans="1:15" s="111" customFormat="1" x14ac:dyDescent="0.2"/>
    <row r="4" spans="1:15" x14ac:dyDescent="0.2">
      <c r="B4" s="112" t="s">
        <v>2</v>
      </c>
      <c r="C4" s="112"/>
      <c r="E4" s="106" t="s">
        <v>65</v>
      </c>
      <c r="F4" s="107"/>
      <c r="G4" s="107"/>
      <c r="H4" s="107"/>
      <c r="J4" s="106" t="s">
        <v>87</v>
      </c>
      <c r="K4" s="106"/>
      <c r="L4" s="106"/>
      <c r="M4" s="106"/>
    </row>
    <row r="5" spans="1:15" x14ac:dyDescent="0.2">
      <c r="B5" s="3" t="s">
        <v>3</v>
      </c>
      <c r="C5" s="36" t="s">
        <v>31</v>
      </c>
      <c r="E5" s="38" t="s">
        <v>66</v>
      </c>
      <c r="F5" s="38" t="s">
        <v>67</v>
      </c>
      <c r="G5" s="38" t="s">
        <v>68</v>
      </c>
      <c r="H5" s="108">
        <v>2</v>
      </c>
      <c r="J5" s="90" t="s">
        <v>80</v>
      </c>
      <c r="K5" s="90" t="s">
        <v>67</v>
      </c>
      <c r="L5" s="90" t="s">
        <v>88</v>
      </c>
      <c r="M5" s="113">
        <v>3</v>
      </c>
    </row>
    <row r="6" spans="1:15" x14ac:dyDescent="0.2">
      <c r="B6" s="3" t="s">
        <v>4</v>
      </c>
      <c r="C6" s="34">
        <f>CHOOSE(M5,'WACC &amp; TGR'!D25,'WACC &amp; TGR'!C25,'WACC &amp; TGR'!E25)</f>
        <v>6.5727151974353359E-2</v>
      </c>
      <c r="E6" s="38">
        <v>1</v>
      </c>
      <c r="F6" s="38">
        <v>2</v>
      </c>
      <c r="G6" s="38">
        <v>3</v>
      </c>
      <c r="H6" s="109"/>
      <c r="J6" s="90">
        <v>1</v>
      </c>
      <c r="K6" s="90">
        <v>2</v>
      </c>
      <c r="L6" s="90">
        <v>3</v>
      </c>
      <c r="M6" s="113"/>
    </row>
    <row r="7" spans="1:15" x14ac:dyDescent="0.2">
      <c r="B7" s="3" t="s">
        <v>5</v>
      </c>
      <c r="C7" s="34">
        <v>3.3000000000000002E-2</v>
      </c>
    </row>
    <row r="9" spans="1:15" x14ac:dyDescent="0.2">
      <c r="B9" s="91" t="s">
        <v>6</v>
      </c>
      <c r="C9" s="92">
        <v>2018</v>
      </c>
      <c r="D9" s="92">
        <v>2019</v>
      </c>
      <c r="E9" s="92">
        <v>2020</v>
      </c>
      <c r="F9" s="92">
        <v>2021</v>
      </c>
      <c r="G9" s="92">
        <v>2022</v>
      </c>
      <c r="H9" s="92">
        <v>2023</v>
      </c>
      <c r="I9" s="92">
        <v>2024</v>
      </c>
      <c r="J9" s="92">
        <v>2025</v>
      </c>
      <c r="K9" s="92">
        <v>2026</v>
      </c>
      <c r="L9" s="92">
        <v>2027</v>
      </c>
      <c r="M9" s="92">
        <v>2028</v>
      </c>
      <c r="N9" s="92">
        <v>2029</v>
      </c>
      <c r="O9" s="93">
        <v>2030</v>
      </c>
    </row>
    <row r="10" spans="1:15" x14ac:dyDescent="0.2">
      <c r="B10" s="58" t="s">
        <v>20</v>
      </c>
      <c r="C10" s="13">
        <f>'Income Statements'!E4</f>
        <v>2979</v>
      </c>
      <c r="D10" s="13">
        <f>'Income Statements'!D4</f>
        <v>3226</v>
      </c>
      <c r="E10" s="13">
        <f>'Income Statements'!C4</f>
        <v>3087</v>
      </c>
      <c r="F10" s="13">
        <f>'Income Statements'!B4</f>
        <v>3251.6481028151775</v>
      </c>
      <c r="G10" s="13">
        <f>F10*(1+G11)</f>
        <v>3340.7141568282327</v>
      </c>
      <c r="H10" s="13">
        <f t="shared" ref="H10:O10" si="0">G10*(1+H11)</f>
        <v>3499.0341066685951</v>
      </c>
      <c r="I10" s="13">
        <f t="shared" si="0"/>
        <v>3734.8376872158319</v>
      </c>
      <c r="J10" s="13">
        <f t="shared" si="0"/>
        <v>4061.2290722670582</v>
      </c>
      <c r="K10" s="13">
        <f t="shared" si="0"/>
        <v>4497.368724438189</v>
      </c>
      <c r="L10" s="13">
        <f t="shared" si="0"/>
        <v>5070.2932460561733</v>
      </c>
      <c r="M10" s="13">
        <f t="shared" si="0"/>
        <v>5817.6090886659749</v>
      </c>
      <c r="N10" s="13">
        <f t="shared" si="0"/>
        <v>6791.4247793699733</v>
      </c>
      <c r="O10" s="59">
        <f t="shared" si="0"/>
        <v>8064.0769961096257</v>
      </c>
    </row>
    <row r="11" spans="1:15" x14ac:dyDescent="0.2">
      <c r="B11" s="60" t="s">
        <v>29</v>
      </c>
      <c r="C11" s="11" t="s">
        <v>27</v>
      </c>
      <c r="D11" s="61">
        <f>(D10-C10)/D10</f>
        <v>7.6565406075635459E-2</v>
      </c>
      <c r="E11" s="61">
        <f>(E10-D10)/E10</f>
        <v>-4.5027534823453189E-2</v>
      </c>
      <c r="F11" s="61">
        <f>(F10-E10)/F10</f>
        <v>5.0635277129966856E-2</v>
      </c>
      <c r="G11" s="62">
        <f t="shared" ref="G11:O11" si="1">CHOOSE($H$5,G12,G13,G14)</f>
        <v>2.7391049460716372E-2</v>
      </c>
      <c r="H11" s="62">
        <f t="shared" si="1"/>
        <v>4.7391049460716372E-2</v>
      </c>
      <c r="I11" s="62">
        <f t="shared" si="1"/>
        <v>6.7391049460716376E-2</v>
      </c>
      <c r="J11" s="62">
        <f t="shared" si="1"/>
        <v>8.739104946071638E-2</v>
      </c>
      <c r="K11" s="62">
        <f t="shared" si="1"/>
        <v>0.10739104946071638</v>
      </c>
      <c r="L11" s="62">
        <f t="shared" si="1"/>
        <v>0.12739104946071639</v>
      </c>
      <c r="M11" s="62">
        <f t="shared" si="1"/>
        <v>0.14739104946071638</v>
      </c>
      <c r="N11" s="62">
        <f t="shared" si="1"/>
        <v>0.16739104946071637</v>
      </c>
      <c r="O11" s="63">
        <f t="shared" si="1"/>
        <v>0.18739104946071636</v>
      </c>
    </row>
    <row r="12" spans="1:15" x14ac:dyDescent="0.2">
      <c r="B12" s="100" t="s">
        <v>64</v>
      </c>
      <c r="C12" s="101"/>
      <c r="D12" s="101"/>
      <c r="E12" s="101"/>
      <c r="F12" s="101"/>
      <c r="G12" s="64">
        <f>G13-0.01</f>
        <v>1.7391049460716373E-2</v>
      </c>
      <c r="H12" s="64">
        <f t="shared" ref="H12:O12" si="2">H13-0.01</f>
        <v>3.739104946071637E-2</v>
      </c>
      <c r="I12" s="64">
        <f t="shared" si="2"/>
        <v>5.7391049460716374E-2</v>
      </c>
      <c r="J12" s="64">
        <f t="shared" si="2"/>
        <v>7.7391049460716385E-2</v>
      </c>
      <c r="K12" s="64">
        <f t="shared" si="2"/>
        <v>9.7391049460716389E-2</v>
      </c>
      <c r="L12" s="64">
        <f t="shared" si="2"/>
        <v>0.11739104946071639</v>
      </c>
      <c r="M12" s="64">
        <f t="shared" si="2"/>
        <v>0.13739104946071637</v>
      </c>
      <c r="N12" s="64">
        <f t="shared" si="2"/>
        <v>0.15739104946071636</v>
      </c>
      <c r="O12" s="65">
        <f t="shared" si="2"/>
        <v>0.17739104946071635</v>
      </c>
    </row>
    <row r="13" spans="1:15" x14ac:dyDescent="0.2">
      <c r="B13" s="102" t="s">
        <v>62</v>
      </c>
      <c r="C13" s="103"/>
      <c r="D13" s="103"/>
      <c r="E13" s="103"/>
      <c r="F13" s="103"/>
      <c r="G13" s="66">
        <v>2.7391049460716372E-2</v>
      </c>
      <c r="H13" s="66">
        <f>G13+0.02</f>
        <v>4.7391049460716372E-2</v>
      </c>
      <c r="I13" s="66">
        <f t="shared" ref="I13:O13" si="3">H13+0.02</f>
        <v>6.7391049460716376E-2</v>
      </c>
      <c r="J13" s="66">
        <f t="shared" si="3"/>
        <v>8.739104946071638E-2</v>
      </c>
      <c r="K13" s="66">
        <f t="shared" si="3"/>
        <v>0.10739104946071638</v>
      </c>
      <c r="L13" s="66">
        <f t="shared" si="3"/>
        <v>0.12739104946071639</v>
      </c>
      <c r="M13" s="66">
        <f t="shared" si="3"/>
        <v>0.14739104946071638</v>
      </c>
      <c r="N13" s="66">
        <f t="shared" si="3"/>
        <v>0.16739104946071637</v>
      </c>
      <c r="O13" s="67">
        <f t="shared" si="3"/>
        <v>0.18739104946071636</v>
      </c>
    </row>
    <row r="14" spans="1:15" x14ac:dyDescent="0.2">
      <c r="B14" s="104" t="s">
        <v>63</v>
      </c>
      <c r="C14" s="105"/>
      <c r="D14" s="105"/>
      <c r="E14" s="105"/>
      <c r="F14" s="105"/>
      <c r="G14" s="68">
        <v>0.05</v>
      </c>
      <c r="H14" s="68">
        <f>G14+0.02</f>
        <v>7.0000000000000007E-2</v>
      </c>
      <c r="I14" s="68">
        <f t="shared" ref="I14:O14" si="4">H14+0.02</f>
        <v>9.0000000000000011E-2</v>
      </c>
      <c r="J14" s="68">
        <f t="shared" si="4"/>
        <v>0.11000000000000001</v>
      </c>
      <c r="K14" s="68">
        <f t="shared" si="4"/>
        <v>0.13</v>
      </c>
      <c r="L14" s="68">
        <f t="shared" si="4"/>
        <v>0.15</v>
      </c>
      <c r="M14" s="68">
        <f t="shared" si="4"/>
        <v>0.16999999999999998</v>
      </c>
      <c r="N14" s="68">
        <f t="shared" si="4"/>
        <v>0.18999999999999997</v>
      </c>
      <c r="O14" s="69">
        <f t="shared" si="4"/>
        <v>0.20999999999999996</v>
      </c>
    </row>
    <row r="15" spans="1:15" x14ac:dyDescent="0.2">
      <c r="B15" s="60"/>
      <c r="C15" s="11"/>
      <c r="D15" s="11"/>
      <c r="E15" s="11"/>
      <c r="F15" s="11"/>
      <c r="G15" s="1"/>
      <c r="H15" s="1"/>
      <c r="I15" s="1"/>
      <c r="J15" s="1"/>
      <c r="K15" s="1"/>
      <c r="L15" s="1"/>
      <c r="M15" s="1"/>
      <c r="N15" s="1"/>
      <c r="O15" s="70"/>
    </row>
    <row r="16" spans="1:15" x14ac:dyDescent="0.2">
      <c r="B16" s="58" t="s">
        <v>28</v>
      </c>
      <c r="C16" s="13">
        <f>'Income Statements'!E6</f>
        <v>1926</v>
      </c>
      <c r="D16" s="13">
        <f>'Income Statements'!D6</f>
        <v>2173</v>
      </c>
      <c r="E16" s="13">
        <f>'Income Statements'!C6</f>
        <v>2026</v>
      </c>
      <c r="F16" s="13">
        <f>'Income Statements'!B6</f>
        <v>2197.5563380281692</v>
      </c>
      <c r="G16" s="42">
        <f>G10*G17</f>
        <v>2233.5109103025943</v>
      </c>
      <c r="H16" s="42">
        <f t="shared" ref="H16:O16" si="5">H10*H17</f>
        <v>2374.3496773904803</v>
      </c>
      <c r="I16" s="42">
        <f t="shared" si="5"/>
        <v>2571.7079708086967</v>
      </c>
      <c r="J16" s="42">
        <f t="shared" si="5"/>
        <v>2837.0645200068288</v>
      </c>
      <c r="K16" s="42">
        <f t="shared" si="5"/>
        <v>3186.7135434425077</v>
      </c>
      <c r="L16" s="42">
        <f t="shared" si="5"/>
        <v>3643.3752585328884</v>
      </c>
      <c r="M16" s="42">
        <f t="shared" si="5"/>
        <v>4238.5522523539194</v>
      </c>
      <c r="N16" s="42">
        <f t="shared" si="5"/>
        <v>5015.9622098632244</v>
      </c>
      <c r="O16" s="53">
        <f t="shared" si="5"/>
        <v>6036.5494023858837</v>
      </c>
    </row>
    <row r="17" spans="2:15" x14ac:dyDescent="0.2">
      <c r="B17" s="60" t="s">
        <v>23</v>
      </c>
      <c r="C17" s="11" t="s">
        <v>27</v>
      </c>
      <c r="D17" s="61">
        <f>D16/D10</f>
        <v>0.67358958462492247</v>
      </c>
      <c r="E17" s="61">
        <f t="shared" ref="E17:F17" si="6">E16/E10</f>
        <v>0.65630061548428897</v>
      </c>
      <c r="F17" s="61">
        <f t="shared" si="6"/>
        <v>0.6758284625343044</v>
      </c>
      <c r="G17" s="62">
        <f>AVERAGE(D17:F17)</f>
        <v>0.66857288754783861</v>
      </c>
      <c r="H17" s="62">
        <f>G17+0.01</f>
        <v>0.67857288754783862</v>
      </c>
      <c r="I17" s="62">
        <f t="shared" ref="I17:O17" si="7">H17+0.01</f>
        <v>0.68857288754783863</v>
      </c>
      <c r="J17" s="62">
        <f t="shared" si="7"/>
        <v>0.69857288754783864</v>
      </c>
      <c r="K17" s="62">
        <f t="shared" si="7"/>
        <v>0.70857288754783865</v>
      </c>
      <c r="L17" s="62">
        <f t="shared" si="7"/>
        <v>0.71857288754783866</v>
      </c>
      <c r="M17" s="62">
        <f t="shared" si="7"/>
        <v>0.72857288754783867</v>
      </c>
      <c r="N17" s="62">
        <f t="shared" si="7"/>
        <v>0.73857288754783867</v>
      </c>
      <c r="O17" s="63">
        <f t="shared" si="7"/>
        <v>0.74857288754783868</v>
      </c>
    </row>
    <row r="18" spans="2:15" x14ac:dyDescent="0.2">
      <c r="B18" s="100" t="s">
        <v>64</v>
      </c>
      <c r="C18" s="101"/>
      <c r="D18" s="101"/>
      <c r="E18" s="101"/>
      <c r="F18" s="101"/>
      <c r="G18" s="64">
        <f>G19-0.01</f>
        <v>0.6585728875478386</v>
      </c>
      <c r="H18" s="64">
        <f t="shared" ref="H18:O18" si="8">H19-0.01</f>
        <v>0.66857288754783861</v>
      </c>
      <c r="I18" s="64">
        <f t="shared" si="8"/>
        <v>0.67857288754783862</v>
      </c>
      <c r="J18" s="64">
        <f t="shared" si="8"/>
        <v>0.68857288754783863</v>
      </c>
      <c r="K18" s="64">
        <f t="shared" si="8"/>
        <v>0.69857288754783864</v>
      </c>
      <c r="L18" s="64">
        <f t="shared" si="8"/>
        <v>0.70857288754783865</v>
      </c>
      <c r="M18" s="64">
        <f t="shared" si="8"/>
        <v>0.71857288754783866</v>
      </c>
      <c r="N18" s="64">
        <f t="shared" si="8"/>
        <v>0.72857288754783867</v>
      </c>
      <c r="O18" s="65">
        <f t="shared" si="8"/>
        <v>0.73857288754783867</v>
      </c>
    </row>
    <row r="19" spans="2:15" x14ac:dyDescent="0.2">
      <c r="B19" s="102" t="s">
        <v>62</v>
      </c>
      <c r="C19" s="103"/>
      <c r="D19" s="103"/>
      <c r="E19" s="103"/>
      <c r="F19" s="103"/>
      <c r="G19" s="66">
        <v>0.66857288754783861</v>
      </c>
      <c r="H19" s="66">
        <v>0.67857288754783862</v>
      </c>
      <c r="I19" s="66">
        <v>0.68857288754783863</v>
      </c>
      <c r="J19" s="66">
        <v>0.69857288754783864</v>
      </c>
      <c r="K19" s="66">
        <v>0.70857288754783865</v>
      </c>
      <c r="L19" s="66">
        <v>0.71857288754783866</v>
      </c>
      <c r="M19" s="66">
        <v>0.72857288754783867</v>
      </c>
      <c r="N19" s="66">
        <v>0.73857288754783867</v>
      </c>
      <c r="O19" s="67">
        <v>0.74857288754783868</v>
      </c>
    </row>
    <row r="20" spans="2:15" x14ac:dyDescent="0.2">
      <c r="B20" s="104" t="s">
        <v>63</v>
      </c>
      <c r="C20" s="105"/>
      <c r="D20" s="105"/>
      <c r="E20" s="105"/>
      <c r="F20" s="105"/>
      <c r="G20" s="68">
        <f>G19+0.02</f>
        <v>0.68857288754783863</v>
      </c>
      <c r="H20" s="68">
        <f t="shared" ref="H20:O20" si="9">H19+0.02</f>
        <v>0.69857288754783864</v>
      </c>
      <c r="I20" s="68">
        <f t="shared" si="9"/>
        <v>0.70857288754783865</v>
      </c>
      <c r="J20" s="68">
        <f t="shared" si="9"/>
        <v>0.71857288754783866</v>
      </c>
      <c r="K20" s="68">
        <f t="shared" si="9"/>
        <v>0.72857288754783867</v>
      </c>
      <c r="L20" s="68">
        <f t="shared" si="9"/>
        <v>0.73857288754783867</v>
      </c>
      <c r="M20" s="68">
        <f t="shared" si="9"/>
        <v>0.74857288754783868</v>
      </c>
      <c r="N20" s="68">
        <f t="shared" si="9"/>
        <v>0.75857288754783869</v>
      </c>
      <c r="O20" s="69">
        <f t="shared" si="9"/>
        <v>0.7685728875478387</v>
      </c>
    </row>
    <row r="21" spans="2:15" x14ac:dyDescent="0.2">
      <c r="B21" s="52"/>
      <c r="C21" s="11"/>
      <c r="D21" s="11"/>
      <c r="E21" s="11"/>
      <c r="F21" s="11"/>
      <c r="G21" s="1"/>
      <c r="H21" s="1"/>
      <c r="I21" s="1"/>
      <c r="J21" s="1"/>
      <c r="K21" s="1"/>
      <c r="L21" s="1"/>
      <c r="M21" s="1"/>
      <c r="N21" s="1"/>
      <c r="O21" s="70"/>
    </row>
    <row r="22" spans="2:15" x14ac:dyDescent="0.2">
      <c r="B22" s="58" t="s">
        <v>21</v>
      </c>
      <c r="C22" s="13">
        <f>'Income Statements'!E13</f>
        <v>312</v>
      </c>
      <c r="D22" s="13">
        <f>ABS('Income Statements'!D13)</f>
        <v>67</v>
      </c>
      <c r="E22" s="13">
        <f>'Income Statements'!C13</f>
        <v>73</v>
      </c>
      <c r="F22" s="13">
        <f>ABS('Income Statements'!B13)</f>
        <v>358.5</v>
      </c>
      <c r="G22" s="42">
        <f>F22*(1+G23)</f>
        <v>376.9828368529503</v>
      </c>
      <c r="H22" s="42">
        <f t="shared" ref="H22:O22" si="10">G22*(1+H23)</f>
        <v>395.83197869559785</v>
      </c>
      <c r="I22" s="42">
        <f t="shared" si="10"/>
        <v>415.62357763037778</v>
      </c>
      <c r="J22" s="42">
        <f t="shared" si="10"/>
        <v>436.40475651189666</v>
      </c>
      <c r="K22" s="42">
        <f t="shared" si="10"/>
        <v>458.22499433749152</v>
      </c>
      <c r="L22" s="42">
        <f t="shared" si="10"/>
        <v>481.1362440543661</v>
      </c>
      <c r="M22" s="42">
        <f t="shared" si="10"/>
        <v>505.19305625708444</v>
      </c>
      <c r="N22" s="42">
        <f t="shared" si="10"/>
        <v>530.45270906993869</v>
      </c>
      <c r="O22" s="53">
        <f t="shared" si="10"/>
        <v>556.97534452343564</v>
      </c>
    </row>
    <row r="23" spans="2:15" x14ac:dyDescent="0.2">
      <c r="B23" s="60" t="s">
        <v>23</v>
      </c>
      <c r="C23" s="11" t="s">
        <v>27</v>
      </c>
      <c r="D23" s="61">
        <f>D22/D10</f>
        <v>2.0768753874767513E-2</v>
      </c>
      <c r="E23" s="61">
        <f t="shared" ref="E23:F23" si="11">E22/E10</f>
        <v>2.3647554259799159E-2</v>
      </c>
      <c r="F23" s="61">
        <f t="shared" si="11"/>
        <v>0.11025178268510102</v>
      </c>
      <c r="G23" s="62">
        <f>CHOOSE($H$5,G24,G25,G26)</f>
        <v>5.1556030273222565E-2</v>
      </c>
      <c r="H23" s="62">
        <f t="shared" ref="H23:O23" si="12">CHOOSE($H$5,H24,H25,H26)</f>
        <v>0.05</v>
      </c>
      <c r="I23" s="62">
        <f t="shared" si="12"/>
        <v>0.05</v>
      </c>
      <c r="J23" s="62">
        <f t="shared" si="12"/>
        <v>0.05</v>
      </c>
      <c r="K23" s="62">
        <f t="shared" si="12"/>
        <v>0.05</v>
      </c>
      <c r="L23" s="62">
        <f t="shared" si="12"/>
        <v>0.05</v>
      </c>
      <c r="M23" s="62">
        <f t="shared" si="12"/>
        <v>0.05</v>
      </c>
      <c r="N23" s="62">
        <f t="shared" si="12"/>
        <v>0.05</v>
      </c>
      <c r="O23" s="63">
        <f t="shared" si="12"/>
        <v>0.05</v>
      </c>
    </row>
    <row r="24" spans="2:15" x14ac:dyDescent="0.2">
      <c r="B24" s="100" t="s">
        <v>64</v>
      </c>
      <c r="C24" s="101"/>
      <c r="D24" s="101"/>
      <c r="E24" s="101"/>
      <c r="F24" s="101"/>
      <c r="G24" s="64">
        <f>G25+0.02</f>
        <v>7.1556030273222562E-2</v>
      </c>
      <c r="H24" s="64">
        <f t="shared" ref="H24:O24" si="13">H25+0.02</f>
        <v>7.0000000000000007E-2</v>
      </c>
      <c r="I24" s="64">
        <f t="shared" si="13"/>
        <v>7.0000000000000007E-2</v>
      </c>
      <c r="J24" s="64">
        <f t="shared" si="13"/>
        <v>7.0000000000000007E-2</v>
      </c>
      <c r="K24" s="64">
        <f t="shared" si="13"/>
        <v>7.0000000000000007E-2</v>
      </c>
      <c r="L24" s="64">
        <f t="shared" si="13"/>
        <v>7.0000000000000007E-2</v>
      </c>
      <c r="M24" s="64">
        <f t="shared" si="13"/>
        <v>7.0000000000000007E-2</v>
      </c>
      <c r="N24" s="64">
        <f t="shared" si="13"/>
        <v>7.0000000000000007E-2</v>
      </c>
      <c r="O24" s="65">
        <f t="shared" si="13"/>
        <v>7.0000000000000007E-2</v>
      </c>
    </row>
    <row r="25" spans="2:15" x14ac:dyDescent="0.2">
      <c r="B25" s="102" t="s">
        <v>62</v>
      </c>
      <c r="C25" s="103"/>
      <c r="D25" s="103"/>
      <c r="E25" s="103"/>
      <c r="F25" s="103"/>
      <c r="G25" s="66">
        <v>5.1556030273222565E-2</v>
      </c>
      <c r="H25" s="66">
        <v>0.05</v>
      </c>
      <c r="I25" s="66">
        <v>0.05</v>
      </c>
      <c r="J25" s="66">
        <v>0.05</v>
      </c>
      <c r="K25" s="66">
        <v>0.05</v>
      </c>
      <c r="L25" s="66">
        <v>0.05</v>
      </c>
      <c r="M25" s="66">
        <v>0.05</v>
      </c>
      <c r="N25" s="66">
        <v>0.05</v>
      </c>
      <c r="O25" s="67">
        <v>0.05</v>
      </c>
    </row>
    <row r="26" spans="2:15" x14ac:dyDescent="0.2">
      <c r="B26" s="104" t="s">
        <v>63</v>
      </c>
      <c r="C26" s="105"/>
      <c r="D26" s="105"/>
      <c r="E26" s="105"/>
      <c r="F26" s="105"/>
      <c r="G26" s="68">
        <f>G25-0.01</f>
        <v>4.1556030273222563E-2</v>
      </c>
      <c r="H26" s="68">
        <f t="shared" ref="H26:O26" si="14">H25-0.01</f>
        <v>0.04</v>
      </c>
      <c r="I26" s="68">
        <f t="shared" si="14"/>
        <v>0.04</v>
      </c>
      <c r="J26" s="68">
        <f t="shared" si="14"/>
        <v>0.04</v>
      </c>
      <c r="K26" s="68">
        <f t="shared" si="14"/>
        <v>0.04</v>
      </c>
      <c r="L26" s="68">
        <f t="shared" si="14"/>
        <v>0.04</v>
      </c>
      <c r="M26" s="68">
        <f t="shared" si="14"/>
        <v>0.04</v>
      </c>
      <c r="N26" s="68">
        <f t="shared" si="14"/>
        <v>0.04</v>
      </c>
      <c r="O26" s="69">
        <f t="shared" si="14"/>
        <v>0.04</v>
      </c>
    </row>
    <row r="27" spans="2:15" x14ac:dyDescent="0.2">
      <c r="B27" s="52"/>
      <c r="C27" s="11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70"/>
    </row>
    <row r="28" spans="2:15" x14ac:dyDescent="0.2">
      <c r="B28" s="3" t="s">
        <v>22</v>
      </c>
      <c r="C28" s="35">
        <f>C16-C22</f>
        <v>1614</v>
      </c>
      <c r="D28" s="35">
        <f t="shared" ref="D28:F28" si="15">D16-D22</f>
        <v>2106</v>
      </c>
      <c r="E28" s="35">
        <f t="shared" si="15"/>
        <v>1953</v>
      </c>
      <c r="F28" s="35">
        <f t="shared" si="15"/>
        <v>1839.0563380281692</v>
      </c>
      <c r="G28" s="6">
        <f>G16-G22</f>
        <v>1856.5280734496441</v>
      </c>
      <c r="H28" s="6">
        <f t="shared" ref="H28:O28" si="16">H16-H22</f>
        <v>1978.5176986948825</v>
      </c>
      <c r="I28" s="6">
        <f t="shared" si="16"/>
        <v>2156.0843931783188</v>
      </c>
      <c r="J28" s="6">
        <f t="shared" si="16"/>
        <v>2400.6597634949321</v>
      </c>
      <c r="K28" s="6">
        <f t="shared" si="16"/>
        <v>2728.4885491050163</v>
      </c>
      <c r="L28" s="6">
        <f t="shared" si="16"/>
        <v>3162.2390144785222</v>
      </c>
      <c r="M28" s="6">
        <f t="shared" si="16"/>
        <v>3733.3591960968351</v>
      </c>
      <c r="N28" s="6">
        <f t="shared" si="16"/>
        <v>4485.509500793286</v>
      </c>
      <c r="O28" s="6">
        <f t="shared" si="16"/>
        <v>5479.5740578624482</v>
      </c>
    </row>
    <row r="29" spans="2:15" x14ac:dyDescent="0.2">
      <c r="B29" s="52"/>
      <c r="C29" s="11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70"/>
    </row>
    <row r="30" spans="2:15" x14ac:dyDescent="0.2">
      <c r="B30" s="58" t="s">
        <v>24</v>
      </c>
      <c r="C30" s="13">
        <v>6</v>
      </c>
      <c r="D30" s="13">
        <v>14</v>
      </c>
      <c r="E30" s="13">
        <v>17</v>
      </c>
      <c r="F30" s="13">
        <v>25</v>
      </c>
      <c r="G30" s="48">
        <f>G36*G31</f>
        <v>26.142384097199407</v>
      </c>
      <c r="H30" s="48">
        <f>H36*H31</f>
        <v>26.959532445836263</v>
      </c>
      <c r="I30" s="48">
        <f t="shared" ref="I30:O30" si="17">I36*I31</f>
        <v>27.930591457413477</v>
      </c>
      <c r="J30" s="48">
        <f t="shared" si="17"/>
        <v>29.06985272787032</v>
      </c>
      <c r="K30" s="48">
        <f t="shared" si="17"/>
        <v>30.394473283200877</v>
      </c>
      <c r="L30" s="48">
        <f t="shared" si="17"/>
        <v>31.924899811233736</v>
      </c>
      <c r="M30" s="48">
        <f t="shared" si="17"/>
        <v>33.685385438998949</v>
      </c>
      <c r="N30" s="48">
        <f t="shared" si="17"/>
        <v>35.704617063121589</v>
      </c>
      <c r="O30" s="55">
        <f t="shared" si="17"/>
        <v>38.016475549990147</v>
      </c>
    </row>
    <row r="31" spans="2:15" x14ac:dyDescent="0.2">
      <c r="B31" s="60" t="s">
        <v>79</v>
      </c>
      <c r="C31" s="11" t="s">
        <v>27</v>
      </c>
      <c r="D31" s="61">
        <f>D30/D36</f>
        <v>0.63636363636363635</v>
      </c>
      <c r="E31" s="61">
        <f>E30/E36</f>
        <v>0.48571428571428571</v>
      </c>
      <c r="F31" s="61">
        <f>F30/F36</f>
        <v>0.53114437469821352</v>
      </c>
      <c r="G31" s="62">
        <f>CHOOSE($H$5,G32,G33,G34)</f>
        <v>0.55107409892537851</v>
      </c>
      <c r="H31" s="62">
        <f t="shared" ref="H31:O31" si="18">CHOOSE($H$5,H32,H33,H34)</f>
        <v>0.56107409892537852</v>
      </c>
      <c r="I31" s="62">
        <f t="shared" si="18"/>
        <v>0.57107409892537853</v>
      </c>
      <c r="J31" s="62">
        <f t="shared" si="18"/>
        <v>0.58107409892537853</v>
      </c>
      <c r="K31" s="62">
        <f t="shared" si="18"/>
        <v>0.59107409892537854</v>
      </c>
      <c r="L31" s="62">
        <f t="shared" si="18"/>
        <v>0.60107409892537855</v>
      </c>
      <c r="M31" s="62">
        <f t="shared" si="18"/>
        <v>0.61107409892537856</v>
      </c>
      <c r="N31" s="62">
        <f t="shared" si="18"/>
        <v>0.62107409892537857</v>
      </c>
      <c r="O31" s="63">
        <f t="shared" si="18"/>
        <v>0.63107409892537858</v>
      </c>
    </row>
    <row r="32" spans="2:15" x14ac:dyDescent="0.2">
      <c r="B32" s="100" t="s">
        <v>64</v>
      </c>
      <c r="C32" s="101"/>
      <c r="D32" s="101"/>
      <c r="E32" s="101"/>
      <c r="F32" s="101"/>
      <c r="G32" s="71">
        <f>G33-0.02</f>
        <v>0.53107409892537849</v>
      </c>
      <c r="H32" s="71">
        <f t="shared" ref="H32:O32" si="19">H33-0.02</f>
        <v>0.5410740989253785</v>
      </c>
      <c r="I32" s="71">
        <f t="shared" si="19"/>
        <v>0.55107409892537851</v>
      </c>
      <c r="J32" s="71">
        <f t="shared" si="19"/>
        <v>0.56107409892537852</v>
      </c>
      <c r="K32" s="71">
        <f t="shared" si="19"/>
        <v>0.57107409892537853</v>
      </c>
      <c r="L32" s="71">
        <f t="shared" si="19"/>
        <v>0.58107409892537853</v>
      </c>
      <c r="M32" s="71">
        <f t="shared" si="19"/>
        <v>0.59107409892537854</v>
      </c>
      <c r="N32" s="71">
        <f t="shared" si="19"/>
        <v>0.60107409892537855</v>
      </c>
      <c r="O32" s="72">
        <f t="shared" si="19"/>
        <v>0.61107409892537856</v>
      </c>
    </row>
    <row r="33" spans="2:16" x14ac:dyDescent="0.2">
      <c r="B33" s="102" t="s">
        <v>62</v>
      </c>
      <c r="C33" s="103"/>
      <c r="D33" s="103"/>
      <c r="E33" s="103"/>
      <c r="F33" s="103"/>
      <c r="G33" s="73">
        <v>0.55107409892537851</v>
      </c>
      <c r="H33" s="73">
        <v>0.56107409892537852</v>
      </c>
      <c r="I33" s="73">
        <v>0.57107409892537853</v>
      </c>
      <c r="J33" s="73">
        <v>0.58107409892537853</v>
      </c>
      <c r="K33" s="73">
        <v>0.59107409892537854</v>
      </c>
      <c r="L33" s="73">
        <v>0.60107409892537855</v>
      </c>
      <c r="M33" s="73">
        <v>0.61107409892537856</v>
      </c>
      <c r="N33" s="73">
        <v>0.62107409892537857</v>
      </c>
      <c r="O33" s="74">
        <v>0.63107409892537858</v>
      </c>
    </row>
    <row r="34" spans="2:16" x14ac:dyDescent="0.2">
      <c r="B34" s="104" t="s">
        <v>63</v>
      </c>
      <c r="C34" s="105"/>
      <c r="D34" s="105"/>
      <c r="E34" s="105"/>
      <c r="F34" s="105"/>
      <c r="G34" s="75">
        <f>G33+0.02</f>
        <v>0.57107409892537853</v>
      </c>
      <c r="H34" s="75">
        <f t="shared" ref="H34:O34" si="20">H33+0.02</f>
        <v>0.58107409892537853</v>
      </c>
      <c r="I34" s="75">
        <f t="shared" si="20"/>
        <v>0.59107409892537854</v>
      </c>
      <c r="J34" s="75">
        <f t="shared" si="20"/>
        <v>0.60107409892537855</v>
      </c>
      <c r="K34" s="75">
        <f t="shared" si="20"/>
        <v>0.61107409892537856</v>
      </c>
      <c r="L34" s="75">
        <f t="shared" si="20"/>
        <v>0.62107409892537857</v>
      </c>
      <c r="M34" s="75">
        <f t="shared" si="20"/>
        <v>0.63107409892537858</v>
      </c>
      <c r="N34" s="75">
        <f t="shared" si="20"/>
        <v>0.64107409892537859</v>
      </c>
      <c r="O34" s="76">
        <f t="shared" si="20"/>
        <v>0.6510740989253786</v>
      </c>
    </row>
    <row r="35" spans="2:16" x14ac:dyDescent="0.2">
      <c r="B35" s="52"/>
      <c r="C35" s="11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70"/>
    </row>
    <row r="36" spans="2:16" x14ac:dyDescent="0.2">
      <c r="B36" s="58" t="s">
        <v>25</v>
      </c>
      <c r="C36" s="13">
        <v>15</v>
      </c>
      <c r="D36" s="13">
        <v>22</v>
      </c>
      <c r="E36" s="13">
        <v>35</v>
      </c>
      <c r="F36" s="11">
        <f>(((((D36-C36)/D36)+((E36-D36)/E36))/2)+1)*E36</f>
        <v>47.068181818181813</v>
      </c>
      <c r="G36" s="48">
        <f>F36*(1+G37)</f>
        <v>47.438963558944863</v>
      </c>
      <c r="H36" s="48">
        <f t="shared" ref="H36:O36" si="21">G36*(1+H37)</f>
        <v>48.049860967511556</v>
      </c>
      <c r="I36" s="48">
        <f t="shared" si="21"/>
        <v>48.908874540050064</v>
      </c>
      <c r="J36" s="48">
        <f t="shared" si="21"/>
        <v>50.027789539460208</v>
      </c>
      <c r="K36" s="48">
        <f t="shared" si="21"/>
        <v>51.422441515303305</v>
      </c>
      <c r="L36" s="48">
        <f t="shared" si="21"/>
        <v>53.113085172543947</v>
      </c>
      <c r="M36" s="48">
        <f t="shared" si="21"/>
        <v>55.124878469300739</v>
      </c>
      <c r="N36" s="48">
        <f t="shared" si="21"/>
        <v>57.488497950405531</v>
      </c>
      <c r="O36" s="55">
        <f t="shared" si="21"/>
        <v>60.240906122951834</v>
      </c>
    </row>
    <row r="37" spans="2:16" x14ac:dyDescent="0.2">
      <c r="B37" s="60" t="s">
        <v>23</v>
      </c>
      <c r="C37" s="77" t="s">
        <v>27</v>
      </c>
      <c r="D37" s="78">
        <f>D36/D10</f>
        <v>6.8195908245505272E-3</v>
      </c>
      <c r="E37" s="78">
        <f t="shared" ref="E37:F37" si="22">E36/E10</f>
        <v>1.1337868480725623E-2</v>
      </c>
      <c r="F37" s="78">
        <f t="shared" si="22"/>
        <v>1.4475176996376583E-2</v>
      </c>
      <c r="G37" s="79">
        <f>CHOOSE($H$5,G38,G39,G40)</f>
        <v>7.8775454338842442E-3</v>
      </c>
      <c r="H37" s="79">
        <f t="shared" ref="H37:O37" si="23">CHOOSE($H$5,H38,H39,H40)</f>
        <v>1.2877545433884245E-2</v>
      </c>
      <c r="I37" s="79">
        <f t="shared" si="23"/>
        <v>1.7877545433884246E-2</v>
      </c>
      <c r="J37" s="79">
        <f t="shared" si="23"/>
        <v>2.2877545433884247E-2</v>
      </c>
      <c r="K37" s="79">
        <f t="shared" si="23"/>
        <v>2.7877545433884248E-2</v>
      </c>
      <c r="L37" s="79">
        <f t="shared" si="23"/>
        <v>3.2877545433884242E-2</v>
      </c>
      <c r="M37" s="79">
        <f t="shared" si="23"/>
        <v>3.787754543388424E-2</v>
      </c>
      <c r="N37" s="79">
        <f t="shared" si="23"/>
        <v>4.2877545433884237E-2</v>
      </c>
      <c r="O37" s="80">
        <f t="shared" si="23"/>
        <v>4.7877545433884235E-2</v>
      </c>
    </row>
    <row r="38" spans="2:16" x14ac:dyDescent="0.2">
      <c r="B38" s="100" t="s">
        <v>64</v>
      </c>
      <c r="C38" s="101"/>
      <c r="D38" s="101"/>
      <c r="E38" s="101"/>
      <c r="F38" s="101"/>
      <c r="G38" s="81">
        <f>G39+0.01</f>
        <v>1.7877545433884243E-2</v>
      </c>
      <c r="H38" s="81">
        <f t="shared" ref="H38:O38" si="24">H39+0.01</f>
        <v>2.2877545433884247E-2</v>
      </c>
      <c r="I38" s="81">
        <f t="shared" si="24"/>
        <v>2.7877545433884245E-2</v>
      </c>
      <c r="J38" s="81">
        <f t="shared" si="24"/>
        <v>3.2877545433884249E-2</v>
      </c>
      <c r="K38" s="81">
        <f t="shared" si="24"/>
        <v>3.7877545433884247E-2</v>
      </c>
      <c r="L38" s="81">
        <f t="shared" si="24"/>
        <v>4.2877545433884244E-2</v>
      </c>
      <c r="M38" s="81">
        <f t="shared" si="24"/>
        <v>4.7877545433884242E-2</v>
      </c>
      <c r="N38" s="81">
        <f t="shared" si="24"/>
        <v>5.2877545433884239E-2</v>
      </c>
      <c r="O38" s="82">
        <f t="shared" si="24"/>
        <v>5.7877545433884237E-2</v>
      </c>
    </row>
    <row r="39" spans="2:16" x14ac:dyDescent="0.2">
      <c r="B39" s="102" t="s">
        <v>62</v>
      </c>
      <c r="C39" s="103"/>
      <c r="D39" s="103"/>
      <c r="E39" s="103"/>
      <c r="F39" s="103"/>
      <c r="G39" s="83">
        <v>7.8775454338842442E-3</v>
      </c>
      <c r="H39" s="83">
        <v>1.2877545433884245E-2</v>
      </c>
      <c r="I39" s="83">
        <v>1.7877545433884246E-2</v>
      </c>
      <c r="J39" s="83">
        <v>2.2877545433884247E-2</v>
      </c>
      <c r="K39" s="83">
        <v>2.7877545433884248E-2</v>
      </c>
      <c r="L39" s="83">
        <v>3.2877545433884242E-2</v>
      </c>
      <c r="M39" s="83">
        <v>3.787754543388424E-2</v>
      </c>
      <c r="N39" s="83">
        <v>4.2877545433884237E-2</v>
      </c>
      <c r="O39" s="84">
        <v>4.7877545433884235E-2</v>
      </c>
    </row>
    <row r="40" spans="2:16" x14ac:dyDescent="0.2">
      <c r="B40" s="104" t="s">
        <v>63</v>
      </c>
      <c r="C40" s="105"/>
      <c r="D40" s="105"/>
      <c r="E40" s="105"/>
      <c r="F40" s="105"/>
      <c r="G40" s="85">
        <f>G39-0.003</f>
        <v>4.8775454338842441E-3</v>
      </c>
      <c r="H40" s="85">
        <f t="shared" ref="H40:O40" si="25">H39-0.003</f>
        <v>9.877545433884246E-3</v>
      </c>
      <c r="I40" s="85">
        <f t="shared" si="25"/>
        <v>1.4877545433884247E-2</v>
      </c>
      <c r="J40" s="85">
        <f t="shared" si="25"/>
        <v>1.9877545433884248E-2</v>
      </c>
      <c r="K40" s="85">
        <f t="shared" si="25"/>
        <v>2.4877545433884249E-2</v>
      </c>
      <c r="L40" s="85">
        <f t="shared" si="25"/>
        <v>2.9877545433884243E-2</v>
      </c>
      <c r="M40" s="85">
        <f t="shared" si="25"/>
        <v>3.4877545433884237E-2</v>
      </c>
      <c r="N40" s="85">
        <f t="shared" si="25"/>
        <v>3.9877545433884234E-2</v>
      </c>
      <c r="O40" s="86">
        <f t="shared" si="25"/>
        <v>4.4877545433884232E-2</v>
      </c>
    </row>
    <row r="41" spans="2:16" x14ac:dyDescent="0.2">
      <c r="B41" s="5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0"/>
    </row>
    <row r="42" spans="2:16" x14ac:dyDescent="0.2">
      <c r="B42" s="58" t="s">
        <v>26</v>
      </c>
      <c r="C42" s="13">
        <f>ABS(('Balance Sheet'!E4-173)-('Balance Sheet'!E9))</f>
        <v>1993</v>
      </c>
      <c r="D42" s="13">
        <f>ABS(('Balance Sheet'!D4-352)-('Balance Sheet'!D9))</f>
        <v>2579</v>
      </c>
      <c r="E42" s="13">
        <f>ABS(('Balance Sheet'!C4-431)-('Balance Sheet'!C9))</f>
        <v>3047</v>
      </c>
      <c r="F42" s="13">
        <f>(((((D42-C42)/D42)+((E42-D42)/E42))/2)+1)*E42</f>
        <v>3627.1694455215197</v>
      </c>
      <c r="G42" s="48">
        <f>G10*G43</f>
        <v>2338.4999097797627</v>
      </c>
      <c r="H42" s="48">
        <f t="shared" ref="H42:O42" si="26">H10*H43</f>
        <v>2274.3721693345865</v>
      </c>
      <c r="I42" s="48">
        <f t="shared" si="26"/>
        <v>2240.9026123294989</v>
      </c>
      <c r="J42" s="48">
        <f t="shared" si="26"/>
        <v>2233.6759897468814</v>
      </c>
      <c r="K42" s="48">
        <f t="shared" si="26"/>
        <v>2248.6843622190936</v>
      </c>
      <c r="L42" s="48">
        <f t="shared" si="26"/>
        <v>2281.6319607252772</v>
      </c>
      <c r="M42" s="48">
        <f t="shared" si="26"/>
        <v>2327.0436354663893</v>
      </c>
      <c r="N42" s="48">
        <f t="shared" si="26"/>
        <v>2376.9986727794899</v>
      </c>
      <c r="O42" s="55">
        <f t="shared" si="26"/>
        <v>2419.2230988328865</v>
      </c>
    </row>
    <row r="43" spans="2:16" x14ac:dyDescent="0.2">
      <c r="B43" s="60" t="s">
        <v>23</v>
      </c>
      <c r="C43" s="1" t="s">
        <v>27</v>
      </c>
      <c r="D43" s="87">
        <f>D42/D16</f>
        <v>1.1868384721583065</v>
      </c>
      <c r="E43" s="87">
        <f t="shared" ref="E43" si="27">E42/E16</f>
        <v>1.5039486673247779</v>
      </c>
      <c r="F43" s="87">
        <f t="shared" ref="F43" si="28">F42/F16</f>
        <v>1.6505467380991554</v>
      </c>
      <c r="G43" s="62">
        <f>CHOOSE($H$5,G44,G45,G46)</f>
        <v>0.7</v>
      </c>
      <c r="H43" s="62">
        <f t="shared" ref="H43:O43" si="29">CHOOSE($H$5,H44,H45,H46)</f>
        <v>0.64999999999999991</v>
      </c>
      <c r="I43" s="62">
        <f t="shared" si="29"/>
        <v>0.59999999999999987</v>
      </c>
      <c r="J43" s="62">
        <f t="shared" si="29"/>
        <v>0.54999999999999982</v>
      </c>
      <c r="K43" s="62">
        <f t="shared" si="29"/>
        <v>0.49999999999999983</v>
      </c>
      <c r="L43" s="62">
        <f t="shared" si="29"/>
        <v>0.44999999999999984</v>
      </c>
      <c r="M43" s="62">
        <f t="shared" si="29"/>
        <v>0.39999999999999986</v>
      </c>
      <c r="N43" s="62">
        <f t="shared" si="29"/>
        <v>0.34999999999999987</v>
      </c>
      <c r="O43" s="63">
        <f t="shared" si="29"/>
        <v>0.29999999999999988</v>
      </c>
    </row>
    <row r="44" spans="2:16" x14ac:dyDescent="0.2">
      <c r="B44" s="100" t="s">
        <v>64</v>
      </c>
      <c r="C44" s="101"/>
      <c r="D44" s="101"/>
      <c r="E44" s="101"/>
      <c r="F44" s="101"/>
      <c r="G44" s="71">
        <f>G45+0.1</f>
        <v>0.79999999999999993</v>
      </c>
      <c r="H44" s="71">
        <f t="shared" ref="H44:O44" si="30">H45+0.1</f>
        <v>0.74999999999999989</v>
      </c>
      <c r="I44" s="71">
        <f t="shared" si="30"/>
        <v>0.69999999999999984</v>
      </c>
      <c r="J44" s="71">
        <f t="shared" si="30"/>
        <v>0.6499999999999998</v>
      </c>
      <c r="K44" s="71">
        <f t="shared" si="30"/>
        <v>0.59999999999999987</v>
      </c>
      <c r="L44" s="71">
        <f t="shared" si="30"/>
        <v>0.54999999999999982</v>
      </c>
      <c r="M44" s="71">
        <f t="shared" si="30"/>
        <v>0.49999999999999989</v>
      </c>
      <c r="N44" s="71">
        <f t="shared" si="30"/>
        <v>0.44999999999999984</v>
      </c>
      <c r="O44" s="72">
        <f t="shared" si="30"/>
        <v>0.39999999999999991</v>
      </c>
    </row>
    <row r="45" spans="2:16" x14ac:dyDescent="0.2">
      <c r="B45" s="102" t="s">
        <v>62</v>
      </c>
      <c r="C45" s="103"/>
      <c r="D45" s="103"/>
      <c r="E45" s="103"/>
      <c r="F45" s="103"/>
      <c r="G45" s="73">
        <v>0.7</v>
      </c>
      <c r="H45" s="73">
        <f>G45-0.05</f>
        <v>0.64999999999999991</v>
      </c>
      <c r="I45" s="73">
        <f t="shared" ref="I45:O45" si="31">H45-0.05</f>
        <v>0.59999999999999987</v>
      </c>
      <c r="J45" s="73">
        <f t="shared" si="31"/>
        <v>0.54999999999999982</v>
      </c>
      <c r="K45" s="73">
        <f t="shared" si="31"/>
        <v>0.49999999999999983</v>
      </c>
      <c r="L45" s="73">
        <f t="shared" si="31"/>
        <v>0.44999999999999984</v>
      </c>
      <c r="M45" s="73">
        <f t="shared" si="31"/>
        <v>0.39999999999999986</v>
      </c>
      <c r="N45" s="73">
        <f t="shared" si="31"/>
        <v>0.34999999999999987</v>
      </c>
      <c r="O45" s="74">
        <f t="shared" si="31"/>
        <v>0.29999999999999988</v>
      </c>
      <c r="P45" s="5"/>
    </row>
    <row r="46" spans="2:16" x14ac:dyDescent="0.2">
      <c r="B46" s="104" t="s">
        <v>63</v>
      </c>
      <c r="C46" s="105"/>
      <c r="D46" s="105"/>
      <c r="E46" s="105"/>
      <c r="F46" s="105"/>
      <c r="G46" s="75">
        <f>G45-0.25</f>
        <v>0.44999999999999996</v>
      </c>
      <c r="H46" s="75">
        <f t="shared" ref="H46:O46" si="32">H45-0.25</f>
        <v>0.39999999999999991</v>
      </c>
      <c r="I46" s="75">
        <f t="shared" si="32"/>
        <v>0.34999999999999987</v>
      </c>
      <c r="J46" s="75">
        <f t="shared" si="32"/>
        <v>0.29999999999999982</v>
      </c>
      <c r="K46" s="75">
        <f t="shared" si="32"/>
        <v>0.24999999999999983</v>
      </c>
      <c r="L46" s="75">
        <f t="shared" si="32"/>
        <v>0.19999999999999984</v>
      </c>
      <c r="M46" s="75">
        <f t="shared" si="32"/>
        <v>0.14999999999999986</v>
      </c>
      <c r="N46" s="75">
        <f t="shared" si="32"/>
        <v>9.9999999999999867E-2</v>
      </c>
      <c r="O46" s="76">
        <f t="shared" si="32"/>
        <v>4.9999999999999878E-2</v>
      </c>
    </row>
    <row r="47" spans="2:16" x14ac:dyDescent="0.2">
      <c r="B47" s="6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70"/>
    </row>
    <row r="48" spans="2:16" x14ac:dyDescent="0.2">
      <c r="B48" s="3" t="s">
        <v>30</v>
      </c>
      <c r="C48" s="35">
        <f>C28+C30-C36-C42</f>
        <v>-388</v>
      </c>
      <c r="D48" s="35">
        <f t="shared" ref="D48:F48" si="33">D28+D30-D36-D42</f>
        <v>-481</v>
      </c>
      <c r="E48" s="35">
        <f t="shared" si="33"/>
        <v>-1112</v>
      </c>
      <c r="F48" s="35">
        <f t="shared" si="33"/>
        <v>-1810.1812893115323</v>
      </c>
      <c r="G48" s="6">
        <f>G28+G30-G36-G42</f>
        <v>-503.26841579186384</v>
      </c>
      <c r="H48" s="6">
        <f t="shared" ref="H48:O48" si="34">H28+H30-H36-H42</f>
        <v>-316.94479916137925</v>
      </c>
      <c r="I48" s="6">
        <f t="shared" si="34"/>
        <v>-105.79650223381668</v>
      </c>
      <c r="J48" s="6">
        <f t="shared" si="34"/>
        <v>146.02583693646102</v>
      </c>
      <c r="K48" s="6">
        <f t="shared" si="34"/>
        <v>458.77621865382025</v>
      </c>
      <c r="L48" s="6">
        <f t="shared" si="34"/>
        <v>859.41886839193512</v>
      </c>
      <c r="M48" s="6">
        <f t="shared" si="34"/>
        <v>1384.8760676001439</v>
      </c>
      <c r="N48" s="6">
        <f t="shared" si="34"/>
        <v>2086.7269471265122</v>
      </c>
      <c r="O48" s="6">
        <f t="shared" si="34"/>
        <v>3038.1265284565998</v>
      </c>
    </row>
    <row r="49" spans="2:15" x14ac:dyDescent="0.2">
      <c r="B49" s="3" t="s">
        <v>71</v>
      </c>
      <c r="C49" s="44"/>
      <c r="D49" s="44"/>
      <c r="E49" s="44"/>
      <c r="F49" s="44"/>
      <c r="G49" s="44">
        <f>G48/((1+$C$6)^1)</f>
        <v>-472.23007770752088</v>
      </c>
      <c r="H49" s="44">
        <f>H48/((1+$C$6)^2)</f>
        <v>-279.05613089926959</v>
      </c>
      <c r="I49" s="44">
        <f>I48/((1+$C$6)^3)</f>
        <v>-87.404384276395362</v>
      </c>
      <c r="J49" s="44">
        <f>J48/((1+$C$6)^4)</f>
        <v>113.199779674334</v>
      </c>
      <c r="K49" s="44">
        <f>K48/((1+$C$6)^5)</f>
        <v>333.71117060388275</v>
      </c>
      <c r="L49" s="44">
        <f>L48/((1+$C$6)^6)</f>
        <v>586.58195760582191</v>
      </c>
      <c r="M49" s="44">
        <f>M48/((1+$C$6)^7)</f>
        <v>886.9286743471456</v>
      </c>
      <c r="N49" s="44">
        <f>N48/((1+$C$6)^8)</f>
        <v>1253.9995464657313</v>
      </c>
      <c r="O49" s="44">
        <f>O48/((1+$C$6)^9)</f>
        <v>1713.1349737804576</v>
      </c>
    </row>
    <row r="50" spans="2:15" x14ac:dyDescent="0.2">
      <c r="B50" s="5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0"/>
    </row>
    <row r="51" spans="2:15" x14ac:dyDescent="0.2">
      <c r="B51" s="43" t="s">
        <v>72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>
        <f>(O48*(1+C7))/(C6-C7)</f>
        <v>95895.441997368529</v>
      </c>
    </row>
    <row r="52" spans="2:15" x14ac:dyDescent="0.2">
      <c r="B52" s="41" t="s">
        <v>73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7">
        <f>O51/((1+C6)^9)</f>
        <v>54073.401477220315</v>
      </c>
    </row>
    <row r="53" spans="2:15" x14ac:dyDescent="0.2">
      <c r="B53" s="5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0"/>
    </row>
    <row r="54" spans="2:15" x14ac:dyDescent="0.2">
      <c r="B54" s="49" t="s">
        <v>90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1">
        <f>SUM(G49:O49)</f>
        <v>4048.8655095941872</v>
      </c>
    </row>
    <row r="55" spans="2:15" x14ac:dyDescent="0.2">
      <c r="B55" s="52" t="s">
        <v>74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53">
        <v>388.37719298245617</v>
      </c>
    </row>
    <row r="56" spans="2:15" x14ac:dyDescent="0.2">
      <c r="B56" s="41" t="s">
        <v>75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4">
        <v>-340</v>
      </c>
    </row>
    <row r="57" spans="2:15" x14ac:dyDescent="0.2">
      <c r="B57" s="52" t="s">
        <v>76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55">
        <f>O54+O55+O56</f>
        <v>4097.2427025766438</v>
      </c>
    </row>
    <row r="58" spans="2:15" x14ac:dyDescent="0.2">
      <c r="B58" s="41" t="s">
        <v>77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6">
        <f>12570/34.73</f>
        <v>361.93492657644691</v>
      </c>
    </row>
    <row r="59" spans="2:15" x14ac:dyDescent="0.2">
      <c r="B59" s="41" t="s">
        <v>78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7">
        <f>O57/O58</f>
        <v>11.320384969012476</v>
      </c>
    </row>
    <row r="60" spans="2:15" x14ac:dyDescent="0.2">
      <c r="K60" s="27"/>
    </row>
    <row r="61" spans="2:15" x14ac:dyDescent="0.2">
      <c r="I61" s="5"/>
      <c r="J61" s="5"/>
      <c r="K61" s="37"/>
    </row>
    <row r="68" spans="9:11" x14ac:dyDescent="0.2">
      <c r="K68" s="27"/>
    </row>
    <row r="69" spans="9:11" x14ac:dyDescent="0.2">
      <c r="I69" s="5"/>
      <c r="J69" s="5"/>
      <c r="K69" s="37"/>
    </row>
  </sheetData>
  <mergeCells count="24">
    <mergeCell ref="B45:F45"/>
    <mergeCell ref="B46:F46"/>
    <mergeCell ref="B34:F34"/>
    <mergeCell ref="B38:F38"/>
    <mergeCell ref="B39:F39"/>
    <mergeCell ref="B40:F40"/>
    <mergeCell ref="B44:F44"/>
    <mergeCell ref="B24:F24"/>
    <mergeCell ref="B25:F25"/>
    <mergeCell ref="B26:F26"/>
    <mergeCell ref="B32:F32"/>
    <mergeCell ref="B33:F33"/>
    <mergeCell ref="A1:XFD2"/>
    <mergeCell ref="B4:C4"/>
    <mergeCell ref="B12:F12"/>
    <mergeCell ref="B13:F13"/>
    <mergeCell ref="B14:F14"/>
    <mergeCell ref="J4:M4"/>
    <mergeCell ref="M5:M6"/>
    <mergeCell ref="B18:F18"/>
    <mergeCell ref="B19:F19"/>
    <mergeCell ref="B20:F20"/>
    <mergeCell ref="E4:H4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Statements</vt:lpstr>
      <vt:lpstr>Balance Sheet</vt:lpstr>
      <vt:lpstr>WACC &amp; TGR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Kemske</dc:creator>
  <cp:lastModifiedBy>Cameron Kemske</cp:lastModifiedBy>
  <dcterms:created xsi:type="dcterms:W3CDTF">2021-12-24T00:25:32Z</dcterms:created>
  <dcterms:modified xsi:type="dcterms:W3CDTF">2022-02-02T02:50:34Z</dcterms:modified>
</cp:coreProperties>
</file>