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charlottekomrosky-licata/Desktop/ENT/"/>
    </mc:Choice>
  </mc:AlternateContent>
  <xr:revisionPtr revIDLastSave="0" documentId="13_ncr:1_{A0DC491A-B909-EF44-85D2-1B58CFD208FC}" xr6:coauthVersionLast="45" xr6:coauthVersionMax="45" xr10:uidLastSave="{00000000-0000-0000-0000-000000000000}"/>
  <bookViews>
    <workbookView xWindow="7360" yWindow="460" windowWidth="21440" windowHeight="16320" xr2:uid="{00000000-000D-0000-FFFF-FFFF00000000}"/>
  </bookViews>
  <sheets>
    <sheet name="Profit and Loss Statement" sheetId="1" r:id="rId1"/>
    <sheet name="Sheet1" sheetId="2" r:id="rId2"/>
  </sheets>
  <definedNames>
    <definedName name="_xlnm.Print_Area" localSheetId="0">'Profit and Loss Statement'!$C$1:$S$50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4" i="1" l="1"/>
  <c r="F67" i="1"/>
  <c r="F68" i="1"/>
  <c r="F70" i="1"/>
  <c r="C59" i="1"/>
  <c r="E9" i="1"/>
  <c r="E16" i="1"/>
  <c r="E18" i="1"/>
  <c r="E19" i="1"/>
  <c r="F9" i="1"/>
  <c r="F16" i="1"/>
  <c r="F18" i="1"/>
  <c r="F19" i="1"/>
  <c r="G9" i="1"/>
  <c r="G16" i="1"/>
  <c r="G18" i="1"/>
  <c r="G19" i="1"/>
  <c r="H9" i="1"/>
  <c r="H16" i="1"/>
  <c r="H18" i="1"/>
  <c r="H19" i="1"/>
  <c r="I9" i="1"/>
  <c r="I16" i="1"/>
  <c r="I18" i="1"/>
  <c r="I19" i="1"/>
  <c r="J9" i="1"/>
  <c r="J16" i="1"/>
  <c r="J18" i="1"/>
  <c r="J19" i="1"/>
  <c r="K9" i="1"/>
  <c r="K16" i="1"/>
  <c r="K18" i="1"/>
  <c r="K19" i="1"/>
  <c r="L9" i="1"/>
  <c r="L16" i="1"/>
  <c r="L18" i="1"/>
  <c r="L19" i="1"/>
  <c r="M9" i="1"/>
  <c r="M16" i="1"/>
  <c r="M18" i="1"/>
  <c r="M19" i="1"/>
  <c r="N9" i="1"/>
  <c r="N16" i="1"/>
  <c r="N18" i="1"/>
  <c r="N19" i="1"/>
  <c r="O9" i="1"/>
  <c r="O16" i="1"/>
  <c r="O18" i="1"/>
  <c r="O19" i="1"/>
  <c r="P9" i="1"/>
  <c r="P16" i="1"/>
  <c r="P18" i="1"/>
  <c r="P19" i="1"/>
  <c r="D9" i="1"/>
  <c r="D16" i="1"/>
  <c r="D18" i="1"/>
  <c r="D19" i="1"/>
  <c r="I88" i="1"/>
  <c r="J88" i="1"/>
  <c r="K88" i="1"/>
  <c r="L88" i="1"/>
  <c r="M88" i="1"/>
  <c r="N88" i="1"/>
  <c r="O88" i="1"/>
  <c r="P88" i="1"/>
  <c r="Q88" i="1"/>
  <c r="R88" i="1"/>
  <c r="S88" i="1"/>
  <c r="T88" i="1"/>
  <c r="I89" i="1"/>
  <c r="I90" i="1"/>
  <c r="I91" i="1"/>
  <c r="I87" i="1"/>
  <c r="J89" i="1"/>
  <c r="J90" i="1"/>
  <c r="J91" i="1"/>
  <c r="J87" i="1"/>
  <c r="K89" i="1"/>
  <c r="K90" i="1"/>
  <c r="K91" i="1"/>
  <c r="K87" i="1"/>
  <c r="L89" i="1"/>
  <c r="L90" i="1"/>
  <c r="L91" i="1"/>
  <c r="L87" i="1"/>
  <c r="M89" i="1"/>
  <c r="M90" i="1"/>
  <c r="M91" i="1"/>
  <c r="M87" i="1"/>
  <c r="N89" i="1"/>
  <c r="N90" i="1"/>
  <c r="N91" i="1"/>
  <c r="N87" i="1"/>
  <c r="O89" i="1"/>
  <c r="O90" i="1"/>
  <c r="O91" i="1"/>
  <c r="O87" i="1"/>
  <c r="P89" i="1"/>
  <c r="P90" i="1"/>
  <c r="P91" i="1"/>
  <c r="P87" i="1"/>
  <c r="U88" i="1"/>
  <c r="Q89" i="1"/>
  <c r="R89" i="1"/>
  <c r="S89" i="1"/>
  <c r="T89" i="1"/>
  <c r="U89" i="1"/>
  <c r="Q90" i="1"/>
  <c r="R90" i="1"/>
  <c r="S90" i="1"/>
  <c r="T90" i="1"/>
  <c r="U90" i="1"/>
  <c r="Q91" i="1"/>
  <c r="R91" i="1"/>
  <c r="S91" i="1"/>
  <c r="T91" i="1"/>
  <c r="U91" i="1"/>
  <c r="I93" i="1"/>
  <c r="J93" i="1"/>
  <c r="K93" i="1"/>
  <c r="L93" i="1"/>
  <c r="M93" i="1"/>
  <c r="N93" i="1"/>
  <c r="O93" i="1"/>
  <c r="P93" i="1"/>
  <c r="Q93" i="1"/>
  <c r="R93" i="1"/>
  <c r="S93" i="1"/>
  <c r="T93" i="1"/>
  <c r="I94" i="1"/>
  <c r="I95" i="1"/>
  <c r="I96" i="1"/>
  <c r="I92" i="1"/>
  <c r="J94" i="1"/>
  <c r="J95" i="1"/>
  <c r="J96" i="1"/>
  <c r="J92" i="1"/>
  <c r="K94" i="1"/>
  <c r="K95" i="1"/>
  <c r="K96" i="1"/>
  <c r="K92" i="1"/>
  <c r="L94" i="1"/>
  <c r="L95" i="1"/>
  <c r="L96" i="1"/>
  <c r="L92" i="1"/>
  <c r="M94" i="1"/>
  <c r="M95" i="1"/>
  <c r="M96" i="1"/>
  <c r="M92" i="1"/>
  <c r="N94" i="1"/>
  <c r="N95" i="1"/>
  <c r="N96" i="1"/>
  <c r="N92" i="1"/>
  <c r="O94" i="1"/>
  <c r="O95" i="1"/>
  <c r="O96" i="1"/>
  <c r="O92" i="1"/>
  <c r="P94" i="1"/>
  <c r="P95" i="1"/>
  <c r="P96" i="1"/>
  <c r="P92" i="1"/>
  <c r="U93" i="1"/>
  <c r="Q94" i="1"/>
  <c r="R94" i="1"/>
  <c r="S94" i="1"/>
  <c r="T94" i="1"/>
  <c r="U94" i="1"/>
  <c r="Q95" i="1"/>
  <c r="R95" i="1"/>
  <c r="S95" i="1"/>
  <c r="T95" i="1"/>
  <c r="U95" i="1"/>
  <c r="Q96" i="1"/>
  <c r="R96" i="1"/>
  <c r="S96" i="1"/>
  <c r="T96" i="1"/>
  <c r="U96" i="1"/>
  <c r="I98" i="1"/>
  <c r="J98" i="1"/>
  <c r="K98" i="1"/>
  <c r="L98" i="1"/>
  <c r="M98" i="1"/>
  <c r="N98" i="1"/>
  <c r="O98" i="1"/>
  <c r="P98" i="1"/>
  <c r="Q98" i="1"/>
  <c r="R98" i="1"/>
  <c r="S98" i="1"/>
  <c r="T98" i="1"/>
  <c r="I99" i="1"/>
  <c r="I100" i="1"/>
  <c r="I101" i="1"/>
  <c r="I97" i="1"/>
  <c r="J99" i="1"/>
  <c r="J100" i="1"/>
  <c r="J101" i="1"/>
  <c r="J97" i="1"/>
  <c r="K99" i="1"/>
  <c r="K100" i="1"/>
  <c r="K101" i="1"/>
  <c r="K97" i="1"/>
  <c r="L99" i="1"/>
  <c r="L100" i="1"/>
  <c r="L101" i="1"/>
  <c r="L97" i="1"/>
  <c r="M99" i="1"/>
  <c r="M100" i="1"/>
  <c r="M101" i="1"/>
  <c r="M97" i="1"/>
  <c r="N99" i="1"/>
  <c r="N100" i="1"/>
  <c r="N101" i="1"/>
  <c r="N97" i="1"/>
  <c r="O99" i="1"/>
  <c r="O100" i="1"/>
  <c r="O101" i="1"/>
  <c r="O97" i="1"/>
  <c r="P99" i="1"/>
  <c r="P100" i="1"/>
  <c r="P101" i="1"/>
  <c r="P97" i="1"/>
  <c r="U98" i="1"/>
  <c r="Q99" i="1"/>
  <c r="R99" i="1"/>
  <c r="S99" i="1"/>
  <c r="T99" i="1"/>
  <c r="U99" i="1"/>
  <c r="Q100" i="1"/>
  <c r="R100" i="1"/>
  <c r="S100" i="1"/>
  <c r="T100" i="1"/>
  <c r="U100" i="1"/>
  <c r="Q101" i="1"/>
  <c r="R101" i="1"/>
  <c r="S101" i="1"/>
  <c r="T101" i="1"/>
  <c r="U101" i="1"/>
  <c r="U102" i="1"/>
  <c r="I82" i="1"/>
  <c r="J82" i="1"/>
  <c r="K82" i="1"/>
  <c r="L82" i="1"/>
  <c r="M82" i="1"/>
  <c r="N82" i="1"/>
  <c r="O82" i="1"/>
  <c r="P82" i="1"/>
  <c r="U83" i="1"/>
  <c r="U84" i="1"/>
  <c r="U85" i="1"/>
  <c r="U82" i="1"/>
  <c r="J102" i="1"/>
  <c r="K102" i="1"/>
  <c r="L102" i="1"/>
  <c r="M102" i="1"/>
  <c r="N102" i="1"/>
  <c r="O102" i="1"/>
  <c r="P102" i="1"/>
  <c r="Q87" i="1"/>
  <c r="Q92" i="1"/>
  <c r="Q97" i="1"/>
  <c r="Q102" i="1"/>
  <c r="R87" i="1"/>
  <c r="R92" i="1"/>
  <c r="R97" i="1"/>
  <c r="R102" i="1"/>
  <c r="S87" i="1"/>
  <c r="S92" i="1"/>
  <c r="S97" i="1"/>
  <c r="S102" i="1"/>
  <c r="T87" i="1"/>
  <c r="T92" i="1"/>
  <c r="T97" i="1"/>
  <c r="T102" i="1"/>
  <c r="I102" i="1"/>
  <c r="Q82" i="1"/>
  <c r="R82" i="1"/>
  <c r="S82" i="1"/>
  <c r="T8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U97" i="1"/>
  <c r="U92" i="1"/>
  <c r="U87" i="1"/>
  <c r="T58" i="1"/>
  <c r="T63" i="1"/>
  <c r="T64" i="1"/>
  <c r="T60" i="1"/>
  <c r="T61" i="1"/>
  <c r="O58" i="1"/>
  <c r="O63" i="1"/>
  <c r="O64" i="1"/>
  <c r="O60" i="1"/>
  <c r="O61" i="1"/>
  <c r="Y142" i="1"/>
  <c r="Y143" i="1"/>
  <c r="AB141" i="1"/>
  <c r="AB142" i="1"/>
  <c r="Y145" i="1"/>
  <c r="AB132" i="1"/>
  <c r="AB133" i="1"/>
  <c r="AB135" i="1"/>
  <c r="AB138" i="1"/>
  <c r="AB140" i="1"/>
  <c r="AB144" i="1"/>
  <c r="AB145" i="1"/>
  <c r="Y134" i="1"/>
  <c r="Y135" i="1"/>
  <c r="Y137" i="1"/>
  <c r="Y138" i="1"/>
  <c r="AE133" i="1"/>
  <c r="AE134" i="1"/>
  <c r="AE135" i="1"/>
  <c r="AE136" i="1"/>
  <c r="AE137" i="1"/>
  <c r="AE138" i="1"/>
  <c r="Y124" i="1"/>
  <c r="Y126" i="1"/>
  <c r="Y128" i="1"/>
  <c r="Y130" i="1"/>
  <c r="AE120" i="1"/>
  <c r="AE123" i="1"/>
  <c r="AE124" i="1"/>
  <c r="AE128" i="1"/>
  <c r="AE129" i="1"/>
  <c r="AB119" i="1"/>
  <c r="AB120" i="1"/>
  <c r="AB121" i="1"/>
  <c r="AB122" i="1"/>
  <c r="AB123" i="1"/>
  <c r="AB124" i="1"/>
  <c r="AB125" i="1"/>
  <c r="AB127" i="1"/>
  <c r="AB128" i="1"/>
  <c r="Y118" i="1"/>
  <c r="Y121" i="1"/>
  <c r="Y122" i="1"/>
  <c r="P42" i="1"/>
  <c r="P43" i="1"/>
  <c r="P44" i="1"/>
  <c r="D37" i="1"/>
  <c r="D45" i="1"/>
  <c r="E37" i="1"/>
  <c r="E45" i="1"/>
  <c r="F37" i="1"/>
  <c r="F45" i="1"/>
  <c r="G37" i="1"/>
  <c r="G45" i="1"/>
  <c r="H37" i="1"/>
  <c r="H45" i="1"/>
  <c r="I37" i="1"/>
  <c r="I45" i="1"/>
  <c r="J37" i="1"/>
  <c r="J45" i="1"/>
  <c r="K37" i="1"/>
  <c r="K45" i="1"/>
  <c r="L37" i="1"/>
  <c r="L45" i="1"/>
  <c r="M37" i="1"/>
  <c r="M45" i="1"/>
  <c r="N37" i="1"/>
  <c r="N45" i="1"/>
  <c r="O37" i="1"/>
  <c r="O45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5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H127" i="1"/>
  <c r="H146" i="1"/>
  <c r="K127" i="1"/>
  <c r="K146" i="1"/>
  <c r="K128" i="1"/>
  <c r="K147" i="1"/>
  <c r="K129" i="1"/>
  <c r="K148" i="1"/>
  <c r="K130" i="1"/>
  <c r="K149" i="1"/>
  <c r="N129" i="1"/>
  <c r="N148" i="1"/>
  <c r="N130" i="1"/>
  <c r="N149" i="1"/>
  <c r="M129" i="1"/>
  <c r="M148" i="1"/>
  <c r="M130" i="1"/>
  <c r="M149" i="1"/>
  <c r="L129" i="1"/>
  <c r="L148" i="1"/>
  <c r="L130" i="1"/>
  <c r="L149" i="1"/>
  <c r="N127" i="1"/>
  <c r="N146" i="1"/>
  <c r="N128" i="1"/>
  <c r="N147" i="1"/>
  <c r="K145" i="1"/>
  <c r="F58" i="1"/>
  <c r="J59" i="1"/>
  <c r="J64" i="1"/>
  <c r="F60" i="1"/>
  <c r="F59" i="1"/>
  <c r="R13" i="1"/>
  <c r="R14" i="1"/>
  <c r="R12" i="1"/>
  <c r="H117" i="1"/>
  <c r="I117" i="1"/>
  <c r="R117" i="1"/>
  <c r="S117" i="1"/>
  <c r="P117" i="1"/>
  <c r="Q117" i="1"/>
  <c r="J117" i="1"/>
  <c r="K117" i="1"/>
  <c r="L117" i="1"/>
  <c r="M117" i="1"/>
  <c r="N117" i="1"/>
  <c r="O117" i="1"/>
  <c r="J118" i="1"/>
  <c r="K118" i="1"/>
  <c r="T117" i="1"/>
  <c r="H118" i="1"/>
  <c r="I118" i="1"/>
  <c r="R118" i="1"/>
  <c r="S118" i="1"/>
  <c r="P118" i="1"/>
  <c r="Q118" i="1"/>
  <c r="L118" i="1"/>
  <c r="M118" i="1"/>
  <c r="N118" i="1"/>
  <c r="O118" i="1"/>
  <c r="J119" i="1"/>
  <c r="K119" i="1"/>
  <c r="T118" i="1"/>
  <c r="H119" i="1"/>
  <c r="I119" i="1"/>
  <c r="R119" i="1"/>
  <c r="S119" i="1"/>
  <c r="P119" i="1"/>
  <c r="Q119" i="1"/>
  <c r="L119" i="1"/>
  <c r="M119" i="1"/>
  <c r="N119" i="1"/>
  <c r="O119" i="1"/>
  <c r="J120" i="1"/>
  <c r="K120" i="1"/>
  <c r="T119" i="1"/>
  <c r="H120" i="1"/>
  <c r="I120" i="1"/>
  <c r="R120" i="1"/>
  <c r="S120" i="1"/>
  <c r="P120" i="1"/>
  <c r="Q120" i="1"/>
  <c r="L120" i="1"/>
  <c r="M120" i="1"/>
  <c r="N120" i="1"/>
  <c r="O120" i="1"/>
  <c r="T120" i="1"/>
  <c r="J122" i="1"/>
  <c r="K122" i="1"/>
  <c r="L122" i="1"/>
  <c r="M122" i="1"/>
  <c r="N122" i="1"/>
  <c r="O122" i="1"/>
  <c r="H122" i="1"/>
  <c r="I122" i="1"/>
  <c r="P122" i="1"/>
  <c r="Q122" i="1"/>
  <c r="R122" i="1"/>
  <c r="S122" i="1"/>
  <c r="J123" i="1"/>
  <c r="K123" i="1"/>
  <c r="T122" i="1"/>
  <c r="L123" i="1"/>
  <c r="M123" i="1"/>
  <c r="N123" i="1"/>
  <c r="O123" i="1"/>
  <c r="H123" i="1"/>
  <c r="I123" i="1"/>
  <c r="P123" i="1"/>
  <c r="Q123" i="1"/>
  <c r="R123" i="1"/>
  <c r="S123" i="1"/>
  <c r="J124" i="1"/>
  <c r="K124" i="1"/>
  <c r="T123" i="1"/>
  <c r="L124" i="1"/>
  <c r="M124" i="1"/>
  <c r="N124" i="1"/>
  <c r="O124" i="1"/>
  <c r="H124" i="1"/>
  <c r="I124" i="1"/>
  <c r="P124" i="1"/>
  <c r="Q124" i="1"/>
  <c r="R124" i="1"/>
  <c r="S124" i="1"/>
  <c r="J125" i="1"/>
  <c r="K125" i="1"/>
  <c r="T124" i="1"/>
  <c r="L125" i="1"/>
  <c r="M125" i="1"/>
  <c r="N125" i="1"/>
  <c r="O125" i="1"/>
  <c r="H125" i="1"/>
  <c r="I125" i="1"/>
  <c r="P125" i="1"/>
  <c r="Q125" i="1"/>
  <c r="R125" i="1"/>
  <c r="S125" i="1"/>
  <c r="T125" i="1"/>
  <c r="I127" i="1"/>
  <c r="P127" i="1"/>
  <c r="Q127" i="1"/>
  <c r="R127" i="1"/>
  <c r="S127" i="1"/>
  <c r="J127" i="1"/>
  <c r="L127" i="1"/>
  <c r="M127" i="1"/>
  <c r="O127" i="1"/>
  <c r="J128" i="1"/>
  <c r="T127" i="1"/>
  <c r="H128" i="1"/>
  <c r="I128" i="1"/>
  <c r="P128" i="1"/>
  <c r="Q128" i="1"/>
  <c r="R128" i="1"/>
  <c r="S128" i="1"/>
  <c r="L128" i="1"/>
  <c r="M128" i="1"/>
  <c r="O128" i="1"/>
  <c r="J129" i="1"/>
  <c r="T128" i="1"/>
  <c r="H129" i="1"/>
  <c r="I129" i="1"/>
  <c r="P129" i="1"/>
  <c r="Q129" i="1"/>
  <c r="R129" i="1"/>
  <c r="S129" i="1"/>
  <c r="O129" i="1"/>
  <c r="J130" i="1"/>
  <c r="T129" i="1"/>
  <c r="H130" i="1"/>
  <c r="I130" i="1"/>
  <c r="P130" i="1"/>
  <c r="Q130" i="1"/>
  <c r="R130" i="1"/>
  <c r="S130" i="1"/>
  <c r="O130" i="1"/>
  <c r="J131" i="1"/>
  <c r="K131" i="1"/>
  <c r="T130" i="1"/>
  <c r="T131" i="1"/>
  <c r="H136" i="1"/>
  <c r="I136" i="1"/>
  <c r="R136" i="1"/>
  <c r="S136" i="1"/>
  <c r="P136" i="1"/>
  <c r="Q136" i="1"/>
  <c r="J136" i="1"/>
  <c r="K136" i="1"/>
  <c r="L136" i="1"/>
  <c r="M136" i="1"/>
  <c r="N136" i="1"/>
  <c r="O136" i="1"/>
  <c r="J137" i="1"/>
  <c r="K137" i="1"/>
  <c r="H137" i="1"/>
  <c r="H138" i="1"/>
  <c r="H139" i="1"/>
  <c r="H135" i="1"/>
  <c r="I137" i="1"/>
  <c r="I138" i="1"/>
  <c r="I139" i="1"/>
  <c r="I135" i="1"/>
  <c r="J138" i="1"/>
  <c r="J139" i="1"/>
  <c r="J135" i="1"/>
  <c r="K138" i="1"/>
  <c r="K139" i="1"/>
  <c r="K135" i="1"/>
  <c r="L137" i="1"/>
  <c r="L138" i="1"/>
  <c r="L139" i="1"/>
  <c r="L135" i="1"/>
  <c r="M137" i="1"/>
  <c r="M138" i="1"/>
  <c r="M139" i="1"/>
  <c r="M135" i="1"/>
  <c r="N137" i="1"/>
  <c r="N138" i="1"/>
  <c r="N139" i="1"/>
  <c r="N135" i="1"/>
  <c r="O137" i="1"/>
  <c r="O138" i="1"/>
  <c r="O139" i="1"/>
  <c r="O135" i="1"/>
  <c r="P137" i="1"/>
  <c r="P138" i="1"/>
  <c r="P139" i="1"/>
  <c r="P135" i="1"/>
  <c r="T136" i="1"/>
  <c r="R137" i="1"/>
  <c r="S137" i="1"/>
  <c r="Q137" i="1"/>
  <c r="T137" i="1"/>
  <c r="R138" i="1"/>
  <c r="S138" i="1"/>
  <c r="Q138" i="1"/>
  <c r="T138" i="1"/>
  <c r="R139" i="1"/>
  <c r="S139" i="1"/>
  <c r="Q139" i="1"/>
  <c r="J140" i="1"/>
  <c r="H141" i="1"/>
  <c r="H142" i="1"/>
  <c r="H143" i="1"/>
  <c r="H144" i="1"/>
  <c r="K140" i="1"/>
  <c r="T139" i="1"/>
  <c r="J141" i="1"/>
  <c r="K141" i="1"/>
  <c r="L141" i="1"/>
  <c r="M141" i="1"/>
  <c r="N141" i="1"/>
  <c r="O141" i="1"/>
  <c r="I141" i="1"/>
  <c r="P141" i="1"/>
  <c r="Q141" i="1"/>
  <c r="R141" i="1"/>
  <c r="S141" i="1"/>
  <c r="J142" i="1"/>
  <c r="K142" i="1"/>
  <c r="H140" i="1"/>
  <c r="I140" i="1"/>
  <c r="I142" i="1"/>
  <c r="I143" i="1"/>
  <c r="I144" i="1"/>
  <c r="L140" i="1"/>
  <c r="J143" i="1"/>
  <c r="J144" i="1"/>
  <c r="M140" i="1"/>
  <c r="K143" i="1"/>
  <c r="K144" i="1"/>
  <c r="N140" i="1"/>
  <c r="L142" i="1"/>
  <c r="L143" i="1"/>
  <c r="L144" i="1"/>
  <c r="O140" i="1"/>
  <c r="M142" i="1"/>
  <c r="M143" i="1"/>
  <c r="M144" i="1"/>
  <c r="P140" i="1"/>
  <c r="T141" i="1"/>
  <c r="N142" i="1"/>
  <c r="O142" i="1"/>
  <c r="P142" i="1"/>
  <c r="Q142" i="1"/>
  <c r="R142" i="1"/>
  <c r="S142" i="1"/>
  <c r="T142" i="1"/>
  <c r="N143" i="1"/>
  <c r="O143" i="1"/>
  <c r="P143" i="1"/>
  <c r="Q143" i="1"/>
  <c r="R143" i="1"/>
  <c r="S143" i="1"/>
  <c r="T143" i="1"/>
  <c r="N144" i="1"/>
  <c r="O144" i="1"/>
  <c r="P144" i="1"/>
  <c r="Q144" i="1"/>
  <c r="R144" i="1"/>
  <c r="S144" i="1"/>
  <c r="M146" i="1"/>
  <c r="M147" i="1"/>
  <c r="J145" i="1"/>
  <c r="T144" i="1"/>
  <c r="I146" i="1"/>
  <c r="P146" i="1"/>
  <c r="Q146" i="1"/>
  <c r="R146" i="1"/>
  <c r="S146" i="1"/>
  <c r="J146" i="1"/>
  <c r="L146" i="1"/>
  <c r="O146" i="1"/>
  <c r="J147" i="1"/>
  <c r="H145" i="1"/>
  <c r="L147" i="1"/>
  <c r="I145" i="1"/>
  <c r="O147" i="1"/>
  <c r="O148" i="1"/>
  <c r="O149" i="1"/>
  <c r="L145" i="1"/>
  <c r="P147" i="1"/>
  <c r="P148" i="1"/>
  <c r="P149" i="1"/>
  <c r="M145" i="1"/>
  <c r="Q147" i="1"/>
  <c r="Q148" i="1"/>
  <c r="Q149" i="1"/>
  <c r="N145" i="1"/>
  <c r="R147" i="1"/>
  <c r="R148" i="1"/>
  <c r="R149" i="1"/>
  <c r="O145" i="1"/>
  <c r="S147" i="1"/>
  <c r="S148" i="1"/>
  <c r="S149" i="1"/>
  <c r="P145" i="1"/>
  <c r="T146" i="1"/>
  <c r="H147" i="1"/>
  <c r="I147" i="1"/>
  <c r="J148" i="1"/>
  <c r="T147" i="1"/>
  <c r="H148" i="1"/>
  <c r="I148" i="1"/>
  <c r="J149" i="1"/>
  <c r="T148" i="1"/>
  <c r="H149" i="1"/>
  <c r="I149" i="1"/>
  <c r="J150" i="1"/>
  <c r="K150" i="1"/>
  <c r="T149" i="1"/>
  <c r="T150" i="1"/>
  <c r="Q151" i="1"/>
  <c r="R151" i="1"/>
  <c r="G154" i="1"/>
  <c r="G157" i="1"/>
  <c r="Q135" i="1"/>
  <c r="R135" i="1"/>
  <c r="S135" i="1"/>
  <c r="T135" i="1"/>
  <c r="J60" i="1"/>
  <c r="S151" i="1"/>
  <c r="Q145" i="1"/>
  <c r="R145" i="1"/>
  <c r="S145" i="1"/>
  <c r="T145" i="1"/>
  <c r="Q140" i="1"/>
  <c r="R140" i="1"/>
  <c r="S140" i="1"/>
  <c r="T140" i="1"/>
  <c r="F63" i="1"/>
  <c r="F62" i="1"/>
  <c r="T126" i="1"/>
  <c r="T121" i="1"/>
  <c r="S150" i="1"/>
  <c r="R150" i="1"/>
  <c r="Q150" i="1"/>
  <c r="P150" i="1"/>
  <c r="O150" i="1"/>
  <c r="N150" i="1"/>
  <c r="M150" i="1"/>
  <c r="L150" i="1"/>
  <c r="I150" i="1"/>
  <c r="H150" i="1"/>
  <c r="T116" i="1"/>
  <c r="S131" i="1"/>
  <c r="R131" i="1"/>
  <c r="Q131" i="1"/>
  <c r="P131" i="1"/>
  <c r="O131" i="1"/>
  <c r="N131" i="1"/>
  <c r="M131" i="1"/>
  <c r="L131" i="1"/>
  <c r="I131" i="1"/>
  <c r="H131" i="1"/>
  <c r="J66" i="1"/>
  <c r="R9" i="1"/>
  <c r="R10" i="1"/>
</calcChain>
</file>

<file path=xl/sharedStrings.xml><?xml version="1.0" encoding="utf-8"?>
<sst xmlns="http://schemas.openxmlformats.org/spreadsheetml/2006/main" count="388" uniqueCount="224">
  <si>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</si>
  <si>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</si>
  <si>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</si>
  <si>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</si>
  <si>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</si>
  <si>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</si>
  <si>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</si>
  <si>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</si>
  <si>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</si>
  <si>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</si>
  <si>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</si>
  <si>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</si>
  <si>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Totals</t>
  </si>
  <si>
    <t>Period Starting:</t>
  </si>
  <si>
    <t>Sales</t>
  </si>
  <si>
    <t>Total Cost of Goods Sold</t>
  </si>
  <si>
    <t>Gross Profit</t>
  </si>
  <si>
    <r>
      <t>Less</t>
    </r>
    <r>
      <rPr>
        <b/>
        <sz val="8"/>
        <color indexed="8"/>
        <rFont val="Tahoma"/>
        <family val="2"/>
      </rPr>
      <t xml:space="preserve"> Cost of Goods Sold</t>
    </r>
  </si>
  <si>
    <t>Utilities</t>
  </si>
  <si>
    <t>Operating Expenses</t>
  </si>
  <si>
    <t>Total Operating Expenses</t>
  </si>
  <si>
    <t>Operating Income</t>
  </si>
  <si>
    <t>Total Sales</t>
  </si>
  <si>
    <t>Income Statement - 12 Months</t>
  </si>
  <si>
    <t>Salaries and wages</t>
  </si>
  <si>
    <t>Marketing/promotion</t>
  </si>
  <si>
    <t>Notes about Income Statement</t>
  </si>
  <si>
    <t>COGS</t>
  </si>
  <si>
    <t>you can figure out every component included in your product/service OR purchase it from a firm and use that price.</t>
  </si>
  <si>
    <t>Apple doesn't build their own iPhones, they purchase them.  The purchase price is their COGS.</t>
  </si>
  <si>
    <t>Gross Margin</t>
  </si>
  <si>
    <t>Net Margin</t>
  </si>
  <si>
    <t>Gross Profit/Sales</t>
  </si>
  <si>
    <t>Net Profit/Sales</t>
  </si>
  <si>
    <t xml:space="preserve">Gross Margin </t>
  </si>
  <si>
    <t>Determine your Manufacturing Price</t>
  </si>
  <si>
    <t>Telephone/Internet</t>
  </si>
  <si>
    <t>Fuel</t>
  </si>
  <si>
    <t>Paper Products (Plates, Napkins, etc.)</t>
  </si>
  <si>
    <t>Commercial Auto Insurance</t>
  </si>
  <si>
    <t>Worker's Compensation Insurance</t>
  </si>
  <si>
    <t>Mobile Food Unit License</t>
  </si>
  <si>
    <t xml:space="preserve"> Food Service Est. License</t>
  </si>
  <si>
    <t>Soup Sales</t>
  </si>
  <si>
    <t>Sandwich Sales</t>
  </si>
  <si>
    <t>Event License</t>
  </si>
  <si>
    <t>Beverage Sales</t>
  </si>
  <si>
    <t>Commissary</t>
  </si>
  <si>
    <t>avg wage is 33.35/hour</t>
  </si>
  <si>
    <t>looking for a 40% margin)</t>
  </si>
  <si>
    <t>buy stock</t>
  </si>
  <si>
    <t>http://foodtruckrental.com/trucks/chevy-workhorse-2002/</t>
  </si>
  <si>
    <t>https://foodtruckempire.com/wp-content/uploads/2013/12/Swich-It-Up-Business-Plan-for-Submission.pdf</t>
  </si>
  <si>
    <t>https://www.press-citizen.com/story/news/local/2015/04/21/iowa-city-food-trucks-approval-parking-downtown-stipulations/26162139/</t>
  </si>
  <si>
    <t>Truck Repairs and Maintenance</t>
  </si>
  <si>
    <t>Miscellaneous</t>
  </si>
  <si>
    <t>https://dia.iowa.gov/food-consumer-safety/food-safety-license-applications</t>
  </si>
  <si>
    <t>file:///Users/charlottekomrosky-licata/Downloads/Farmers%20Market%20License%20Fillable%20Application%20(1).pdf</t>
  </si>
  <si>
    <t>go to farmers markets summer??</t>
  </si>
  <si>
    <t>Cert. Food Protection MGMT Certificate</t>
  </si>
  <si>
    <t>file:///Users/charlottekomrosky-licata/Downloads/Food%20Establishment%20License%20Application%202019.pdf</t>
  </si>
  <si>
    <t>$150-300 depending pn gross sales annually</t>
  </si>
  <si>
    <t>must also include food est license if commissary on the same phys address</t>
  </si>
  <si>
    <t>does not include overngiht</t>
  </si>
  <si>
    <t>Parking + Vending Permit</t>
  </si>
  <si>
    <t>"Food Truck Vending Permit fee" includes parking</t>
  </si>
  <si>
    <t>https://builtbycommunity.org/wp-content/uploads/2016/07/user_guide-_scheduling_and_facility_with_logo.pdf</t>
  </si>
  <si>
    <t>https://builtbycommunity.org/wp-content/uploads/2016/07/new_user_checklist_with_logo-1.pdf</t>
  </si>
  <si>
    <t>200 cleaning refundable deposit</t>
  </si>
  <si>
    <t>http://foodtruckrental.com/trucks/tony-danzin/</t>
  </si>
  <si>
    <t>200 deposit fee</t>
  </si>
  <si>
    <t>MAY NOT NEED TO cook for 6 hours a week, 4 times a month, + deposit</t>
  </si>
  <si>
    <t>Waste Removal</t>
  </si>
  <si>
    <t>https://shop.centurylink.com/MasterWebPortal/freeRange/shop/SMBNCBundle_viewSmbNcBundlesPage.action?view=choose&amp;term=24&amp;type=InternetVOIP&amp;configPage=true&amp;pageVisited=preInternetPage#step=choose</t>
  </si>
  <si>
    <t>https://greenpaperproducts.com/16oz-compostable-bowls-clear-pet-dome-lids-petdl16.aspx</t>
  </si>
  <si>
    <t>should spend 25% of our revenue on this</t>
  </si>
  <si>
    <t>https://mobile-cuisine.com/marketing/food-truck-marketing-budget-spending/</t>
  </si>
  <si>
    <t>Office + Cleaning supplies</t>
  </si>
  <si>
    <t>Kitchen Equipment</t>
  </si>
  <si>
    <t>https://www.icgov.org/city-government/departments-and-divisions/landfill-and-recycling-center#:~:targetText=Iowa%20City%20residents%3A%20%246.50%20for,Charge%20per%20ton%20is%20%2442.50.</t>
  </si>
  <si>
    <t>https://www.entrepreneur.com/article/233385#:~:targetText=The%20range%20of%20costs%20varies,off%20and%20running%20for%20%245%2C000.</t>
  </si>
  <si>
    <t>POS System</t>
  </si>
  <si>
    <t>https://www.icgov.org/city-government/departments-and-divisions/neighborhood-and-development-services/economic-2</t>
  </si>
  <si>
    <t>https://cardconnect.com/launchpointe/running-a-business/food-truck-startup-costs</t>
  </si>
  <si>
    <t>General Liability Insurance</t>
  </si>
  <si>
    <t>https://www.insureon.com/food-business-insurance/food-trucks/cost</t>
  </si>
  <si>
    <t>6 people work, 2 work 8 hours for five days, 4 work 8 hours per 3-4 days for 12.5 an hour</t>
  </si>
  <si>
    <t>Grilled Cheese</t>
  </si>
  <si>
    <t>Chicken Noodle</t>
  </si>
  <si>
    <t>Hot Chocolate</t>
  </si>
  <si>
    <t>Chili</t>
  </si>
  <si>
    <t>Tomato</t>
  </si>
  <si>
    <t>Coffee</t>
  </si>
  <si>
    <t>Tea</t>
  </si>
  <si>
    <t>Broccoli Cheddar</t>
  </si>
  <si>
    <t>Chicken stock</t>
  </si>
  <si>
    <t>Celery</t>
  </si>
  <si>
    <t>Carrot</t>
  </si>
  <si>
    <t>Skinless Chicken Breast</t>
  </si>
  <si>
    <t>Onion</t>
  </si>
  <si>
    <t>Thyme</t>
  </si>
  <si>
    <t>Noodles</t>
  </si>
  <si>
    <t>Olive Oil</t>
  </si>
  <si>
    <t>Ground Beef</t>
  </si>
  <si>
    <t>Chili powder</t>
  </si>
  <si>
    <t>Cumin</t>
  </si>
  <si>
    <t>Sugar</t>
  </si>
  <si>
    <t>Tomato paste</t>
  </si>
  <si>
    <t>Soft drinks</t>
  </si>
  <si>
    <t>Soup</t>
  </si>
  <si>
    <t>Sandwiches</t>
  </si>
  <si>
    <t>Beverages</t>
  </si>
  <si>
    <t>$.03/cup</t>
  </si>
  <si>
    <t>$.13/cup</t>
  </si>
  <si>
    <t xml:space="preserve">Chicken Avocado </t>
  </si>
  <si>
    <t>Grilled Nutella Banana</t>
  </si>
  <si>
    <t>$.05/oz</t>
  </si>
  <si>
    <t>$1.25/oz</t>
  </si>
  <si>
    <t>$.15/oz</t>
  </si>
  <si>
    <t>$. 05/oz</t>
  </si>
  <si>
    <t>$.07/oz</t>
  </si>
  <si>
    <t>Yellow Onion</t>
  </si>
  <si>
    <t>$4.72/lb</t>
  </si>
  <si>
    <t>$.25/oz</t>
  </si>
  <si>
    <t>$.32/oz</t>
  </si>
  <si>
    <t>$.39/oz</t>
  </si>
  <si>
    <t>$.02/oz</t>
  </si>
  <si>
    <t>$.21/oz</t>
  </si>
  <si>
    <t>$1.08/oz</t>
  </si>
  <si>
    <t>$.04/oz</t>
  </si>
  <si>
    <t>$.18/oz</t>
  </si>
  <si>
    <t>$.11/oz</t>
  </si>
  <si>
    <t>$.20/oz</t>
  </si>
  <si>
    <t>$.12/cup</t>
  </si>
  <si>
    <t>$.04/can</t>
  </si>
  <si>
    <t>$.22/oz</t>
  </si>
  <si>
    <t>$.17/oz</t>
  </si>
  <si>
    <t>$.01/oz</t>
  </si>
  <si>
    <t>1.08/each</t>
  </si>
  <si>
    <t>1.48 each</t>
  </si>
  <si>
    <t>$.06/oz</t>
  </si>
  <si>
    <t>$.26/oz</t>
  </si>
  <si>
    <t>Cost per Sandwich</t>
  </si>
  <si>
    <t>Cost per Gallon</t>
  </si>
  <si>
    <t>Reuben</t>
  </si>
  <si>
    <t>Chicken Avocado</t>
  </si>
  <si>
    <t>Cost per Serving (2 C)</t>
  </si>
  <si>
    <t>Soda</t>
  </si>
  <si>
    <t>tea</t>
  </si>
  <si>
    <t>hot chocolate</t>
  </si>
  <si>
    <t>soda</t>
  </si>
  <si>
    <t>soup</t>
  </si>
  <si>
    <t>sand/bev</t>
  </si>
  <si>
    <t>per those months</t>
  </si>
  <si>
    <t>total for soup</t>
  </si>
  <si>
    <t>total for sand</t>
  </si>
  <si>
    <t>total for bev</t>
  </si>
  <si>
    <t>50% profit made in nov, dec, jan, feb</t>
  </si>
  <si>
    <t>for the four months total</t>
  </si>
  <si>
    <t>per month</t>
  </si>
  <si>
    <t>50% profit made other 8 months</t>
  </si>
  <si>
    <t>50% of that profit made in september, october</t>
  </si>
  <si>
    <t>other 50% made on march, april, may, june, july, august</t>
  </si>
  <si>
    <t>total for sandwiches</t>
  </si>
  <si>
    <t>for all months</t>
  </si>
  <si>
    <t>60% profit made march, april, may, june, july, august</t>
  </si>
  <si>
    <t>40% made in jan, feb, sept, oct, nov, dec</t>
  </si>
  <si>
    <t>total</t>
  </si>
  <si>
    <t>total for beverages</t>
  </si>
  <si>
    <t>60% profit made jan, feb, sept, oct, nov, dec</t>
  </si>
  <si>
    <t>40% made march, april, may, june, july, aug</t>
  </si>
  <si>
    <t>Nut Ban</t>
  </si>
  <si>
    <t>Broc Ched</t>
  </si>
  <si>
    <t>Hot Choc</t>
  </si>
  <si>
    <t>Chic Nood</t>
  </si>
  <si>
    <t>Tom</t>
  </si>
  <si>
    <t>Gcheese</t>
  </si>
  <si>
    <t>Chic Av</t>
  </si>
  <si>
    <t>Hot Cho</t>
  </si>
  <si>
    <t>Price</t>
  </si>
  <si>
    <t xml:space="preserve">CN </t>
  </si>
  <si>
    <t>BC</t>
  </si>
  <si>
    <t>GC</t>
  </si>
  <si>
    <t>Reu</t>
  </si>
  <si>
    <t>CA</t>
  </si>
  <si>
    <t>NB</t>
  </si>
  <si>
    <t>Coff</t>
  </si>
  <si>
    <t>to spend on marketing?</t>
  </si>
  <si>
    <t xml:space="preserve"> total for 20-30% net margin</t>
  </si>
  <si>
    <t>Chick Noodle</t>
  </si>
  <si>
    <t>Nutella Banana</t>
  </si>
  <si>
    <t>Average Cost per Serving</t>
  </si>
  <si>
    <t>Butter</t>
  </si>
  <si>
    <t>Cheddar Cheese</t>
  </si>
  <si>
    <t>White Bread</t>
  </si>
  <si>
    <t>Rye Bread</t>
  </si>
  <si>
    <t>Corned Beef</t>
  </si>
  <si>
    <t>Swiss Cheese</t>
  </si>
  <si>
    <t>Saurkraut</t>
  </si>
  <si>
    <t>Thousand Island Dressing</t>
  </si>
  <si>
    <t>Avocado</t>
  </si>
  <si>
    <t>Lettuce</t>
  </si>
  <si>
    <t>Sliced Chicken Breast</t>
  </si>
  <si>
    <t>Nutella</t>
  </si>
  <si>
    <t>Banana</t>
  </si>
  <si>
    <t>Garlic</t>
  </si>
  <si>
    <t>Cayenne Powder</t>
  </si>
  <si>
    <t>Diced Canned Tomatoes</t>
  </si>
  <si>
    <t>Kidney Beans</t>
  </si>
  <si>
    <t>Heavy Cream</t>
  </si>
  <si>
    <t>Chicken Broth</t>
  </si>
  <si>
    <t>Broccoli</t>
  </si>
  <si>
    <t>Swiss Miss Hot Chocolate</t>
  </si>
  <si>
    <t>Annual</t>
  </si>
  <si>
    <t>Annual %</t>
  </si>
  <si>
    <t>Bev</t>
  </si>
  <si>
    <t>for all 6 months</t>
  </si>
  <si>
    <t>each month</t>
  </si>
  <si>
    <t>Monthly Percentage Profits</t>
  </si>
  <si>
    <t>Annual Profit Percentage 12 Months</t>
  </si>
  <si>
    <t>Used Food Truck + Wrap</t>
  </si>
  <si>
    <t>28000 for food truck and wrap</t>
  </si>
  <si>
    <t>5 year loan, 500 a month</t>
  </si>
  <si>
    <t>6 hours [er week commissary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</si>
</sst>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;\-&quot;£&quot;#,##0.00"/>
    <numFmt numFmtId="165" formatCode="0.0%"/>
  </numFmts>
  <fonts count="22" x14ac:knownFonts="1">
    <font>
      <sz val="10"/>
      <name val="Arial"/>
    </font>
    <font>
      <b/>
      <u/>
      <sz val="8"/>
      <color indexed="9"/>
      <name val="Verdana"/>
      <family val="2"/>
    </font>
    <font>
      <sz val="8"/>
      <name val="Verdana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8"/>
      <name val="Tahoma"/>
      <family val="2"/>
    </font>
    <font>
      <b/>
      <sz val="8"/>
      <color indexed="63"/>
      <name val="Verdana"/>
      <family val="2"/>
    </font>
    <font>
      <b/>
      <u/>
      <sz val="8"/>
      <color indexed="8"/>
      <name val="Tahoma"/>
      <family val="2"/>
    </font>
    <font>
      <b/>
      <i/>
      <sz val="8"/>
      <color indexed="8"/>
      <name val="Tahoma"/>
      <family val="2"/>
    </font>
    <font>
      <sz val="16"/>
      <color indexed="9"/>
      <name val="Tahoma"/>
      <family val="2"/>
    </font>
    <font>
      <b/>
      <sz val="8"/>
      <color indexed="23"/>
      <name val="Verdana"/>
      <family val="2"/>
    </font>
    <font>
      <sz val="8"/>
      <color indexed="10"/>
      <name val="Tahoma"/>
      <family val="2"/>
    </font>
    <font>
      <sz val="8"/>
      <color indexed="8"/>
      <name val="Tahoma"/>
      <family val="2"/>
    </font>
    <font>
      <sz val="10"/>
      <color indexed="8"/>
      <name val="Arial"/>
      <family val="2"/>
    </font>
    <font>
      <i/>
      <sz val="8"/>
      <color indexed="8"/>
      <name val="Tahoma"/>
      <family val="2"/>
    </font>
    <font>
      <sz val="10"/>
      <name val="Arial"/>
      <family val="2"/>
    </font>
    <font>
      <b/>
      <sz val="8"/>
      <color theme="0"/>
      <name val="Verdan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b/>
      <sz val="8"/>
      <name val="Tahoma"/>
      <family val="2"/>
    </font>
    <font>
      <b/>
      <sz val="10"/>
      <name val="Arial"/>
      <family val="2"/>
    </font>
    <font>
      <b/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8"/>
        <bgColor indexed="9"/>
      </patternFill>
    </fill>
    <fill>
      <patternFill patternType="solid">
        <bgColor indexed="55"/>
      </patternFill>
    </fill>
  </fills>
  <borders count="9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55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64"/>
      </left>
      <right/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medium">
        <color indexed="8"/>
      </bottom>
      <diagonal/>
    </border>
    <border>
      <left style="thin">
        <color indexed="55"/>
      </left>
      <right style="thin">
        <color indexed="64"/>
      </right>
      <top/>
      <bottom/>
      <diagonal/>
    </border>
    <border>
      <left style="thin">
        <color indexed="55"/>
      </left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 style="medium">
        <color indexed="8"/>
      </top>
      <bottom/>
      <diagonal/>
    </border>
    <border>
      <left style="thin">
        <color indexed="55"/>
      </left>
      <right style="thin">
        <color indexed="64"/>
      </right>
      <top style="medium">
        <color indexed="8"/>
      </top>
      <bottom/>
      <diagonal/>
    </border>
    <border>
      <left style="thin">
        <color indexed="55"/>
      </left>
      <right style="thin">
        <color indexed="55"/>
      </right>
      <top style="medium">
        <color indexed="8"/>
      </top>
      <bottom style="medium">
        <color indexed="8"/>
      </bottom>
      <diagonal/>
    </border>
    <border>
      <left style="thin">
        <color indexed="55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55"/>
      </right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64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64"/>
      </left>
      <right style="thin">
        <color indexed="55"/>
      </right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64"/>
      </bottom>
      <diagonal/>
    </border>
    <border>
      <left/>
      <right style="thin">
        <color indexed="55"/>
      </right>
      <top/>
      <bottom/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/>
      <right style="thin">
        <color indexed="55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55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55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 style="thin">
        <color indexed="55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55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55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55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55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medium">
        <color indexed="64"/>
      </left>
      <right/>
      <top style="thin">
        <color indexed="55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55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64"/>
      </top>
      <bottom style="thin">
        <color indexed="55"/>
      </bottom>
      <diagonal/>
    </border>
    <border>
      <left style="medium">
        <color indexed="64"/>
      </left>
      <right style="thin">
        <color indexed="55"/>
      </right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4">
    <xf numFmtId="0" fontId="0" fillId="0" borderId="0"/>
    <xf numFmtId="37" fontId="5" fillId="2" borderId="1" applyBorder="0" applyProtection="0">
      <alignment vertical="center"/>
    </xf>
    <xf numFmtId="0" fontId="2" fillId="3" borderId="0" applyBorder="0">
      <alignment horizontal="left" vertical="center" indent="1"/>
    </xf>
    <xf numFmtId="37" fontId="3" fillId="4" borderId="2" applyBorder="0">
      <alignment horizontal="left" vertical="center" indent="1"/>
    </xf>
    <xf numFmtId="37" fontId="4" fillId="5" borderId="3" applyFill="0">
      <alignment vertical="center"/>
    </xf>
    <xf numFmtId="0" fontId="4" fillId="6" borderId="4" applyNumberFormat="0">
      <alignment horizontal="left" vertical="top" indent="1"/>
    </xf>
    <xf numFmtId="0" fontId="4" fillId="2" borderId="0" applyBorder="0">
      <alignment horizontal="left" vertical="center" indent="1"/>
    </xf>
    <xf numFmtId="0" fontId="4" fillId="0" borderId="4" applyNumberFormat="0" applyFill="0">
      <alignment horizontal="centerContinuous" vertical="top"/>
    </xf>
    <xf numFmtId="0" fontId="7" fillId="2" borderId="5" applyNumberFormat="0" applyBorder="0">
      <alignment horizontal="left" vertical="center" indent="1"/>
    </xf>
    <xf numFmtId="0" fontId="1" fillId="3" borderId="0" applyNumberFormat="0" applyProtection="0">
      <alignment horizontal="left" vertical="center" indent="1"/>
      <protection locked="0"/>
    </xf>
    <xf numFmtId="0" fontId="10" fillId="5" borderId="0">
      <alignment horizontal="left" indent="1"/>
    </xf>
    <xf numFmtId="37" fontId="5" fillId="2" borderId="6" applyBorder="0">
      <alignment horizontal="left" vertical="center" indent="2"/>
    </xf>
    <xf numFmtId="0" fontId="9" fillId="3" borderId="0">
      <alignment horizontal="left" indent="1"/>
    </xf>
    <xf numFmtId="0" fontId="6" fillId="3" borderId="0" applyBorder="0">
      <alignment horizontal="left" vertical="center" indent="1"/>
    </xf>
  </cellStyleXfs>
  <cellXfs count="240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7" xfId="0" applyFill="1" applyBorder="1"/>
    <xf numFmtId="0" fontId="4" fillId="6" borderId="8" xfId="5" applyBorder="1">
      <alignment horizontal="left" vertical="top" indent="1"/>
    </xf>
    <xf numFmtId="37" fontId="5" fillId="2" borderId="9" xfId="1" applyBorder="1">
      <alignment vertical="center"/>
    </xf>
    <xf numFmtId="0" fontId="0" fillId="2" borderId="10" xfId="0" applyFill="1" applyBorder="1"/>
    <xf numFmtId="0" fontId="4" fillId="6" borderId="11" xfId="7" applyFill="1" applyBorder="1">
      <alignment horizontal="centerContinuous" vertical="top"/>
    </xf>
    <xf numFmtId="0" fontId="0" fillId="2" borderId="2" xfId="0" applyFill="1" applyBorder="1" applyAlignment="1">
      <alignment horizontal="left"/>
    </xf>
    <xf numFmtId="0" fontId="0" fillId="2" borderId="12" xfId="0" applyFill="1" applyBorder="1"/>
    <xf numFmtId="0" fontId="0" fillId="2" borderId="13" xfId="0" applyFill="1" applyBorder="1"/>
    <xf numFmtId="37" fontId="5" fillId="2" borderId="13" xfId="1" applyBorder="1">
      <alignment vertical="center"/>
    </xf>
    <xf numFmtId="37" fontId="5" fillId="2" borderId="7" xfId="1" applyBorder="1">
      <alignment vertical="center"/>
    </xf>
    <xf numFmtId="37" fontId="5" fillId="2" borderId="12" xfId="1" applyBorder="1">
      <alignment vertical="center"/>
    </xf>
    <xf numFmtId="164" fontId="4" fillId="6" borderId="14" xfId="5" applyNumberFormat="1" applyBorder="1">
      <alignment horizontal="left" vertical="top" indent="1"/>
    </xf>
    <xf numFmtId="0" fontId="0" fillId="0" borderId="0" xfId="0" applyFill="1"/>
    <xf numFmtId="0" fontId="4" fillId="6" borderId="15" xfId="7" applyFill="1" applyBorder="1">
      <alignment horizontal="centerContinuous" vertical="top"/>
    </xf>
    <xf numFmtId="37" fontId="4" fillId="2" borderId="2" xfId="4" applyFill="1" applyBorder="1">
      <alignment vertical="center"/>
    </xf>
    <xf numFmtId="37" fontId="5" fillId="2" borderId="16" xfId="11" applyBorder="1">
      <alignment horizontal="left" vertical="center" indent="2"/>
    </xf>
    <xf numFmtId="0" fontId="4" fillId="6" borderId="18" xfId="5" applyBorder="1">
      <alignment horizontal="left" vertical="top" indent="1"/>
    </xf>
    <xf numFmtId="37" fontId="5" fillId="2" borderId="19" xfId="1" applyBorder="1">
      <alignment vertical="center"/>
    </xf>
    <xf numFmtId="0" fontId="0" fillId="0" borderId="0" xfId="0" applyFill="1" applyBorder="1"/>
    <xf numFmtId="0" fontId="4" fillId="2" borderId="20" xfId="7" applyFill="1" applyBorder="1">
      <alignment horizontal="centerContinuous" vertical="top"/>
    </xf>
    <xf numFmtId="0" fontId="4" fillId="2" borderId="21" xfId="7" applyFill="1" applyBorder="1">
      <alignment horizontal="centerContinuous" vertical="top"/>
    </xf>
    <xf numFmtId="37" fontId="5" fillId="2" borderId="2" xfId="11" applyFont="1" applyFill="1" applyBorder="1">
      <alignment horizontal="left" vertical="center" indent="2"/>
    </xf>
    <xf numFmtId="37" fontId="4" fillId="6" borderId="24" xfId="5" applyNumberFormat="1" applyBorder="1">
      <alignment horizontal="left" vertical="top" indent="1"/>
    </xf>
    <xf numFmtId="37" fontId="4" fillId="6" borderId="18" xfId="5" applyNumberFormat="1" applyBorder="1">
      <alignment horizontal="left" vertical="top" indent="1"/>
    </xf>
    <xf numFmtId="37" fontId="3" fillId="4" borderId="2" xfId="3" applyBorder="1">
      <alignment horizontal="left" vertical="center" indent="1"/>
    </xf>
    <xf numFmtId="37" fontId="4" fillId="2" borderId="19" xfId="4" applyFill="1" applyBorder="1">
      <alignment vertical="center"/>
    </xf>
    <xf numFmtId="37" fontId="4" fillId="2" borderId="25" xfId="4" applyFill="1" applyBorder="1">
      <alignment vertical="center"/>
    </xf>
    <xf numFmtId="37" fontId="3" fillId="4" borderId="0" xfId="4" applyFont="1" applyFill="1" applyBorder="1">
      <alignment vertical="center"/>
    </xf>
    <xf numFmtId="37" fontId="3" fillId="4" borderId="26" xfId="4" applyFont="1" applyFill="1" applyBorder="1">
      <alignment vertical="center"/>
    </xf>
    <xf numFmtId="37" fontId="3" fillId="4" borderId="0" xfId="3" applyBorder="1">
      <alignment horizontal="left" vertical="center" indent="1"/>
    </xf>
    <xf numFmtId="37" fontId="3" fillId="4" borderId="0" xfId="3" applyFill="1" applyBorder="1">
      <alignment horizontal="left" vertical="center" indent="1"/>
    </xf>
    <xf numFmtId="37" fontId="3" fillId="4" borderId="26" xfId="3" applyFill="1" applyBorder="1">
      <alignment horizontal="left" vertical="center" indent="1"/>
    </xf>
    <xf numFmtId="37" fontId="4" fillId="0" borderId="28" xfId="4" applyFill="1" applyBorder="1">
      <alignment vertical="center"/>
    </xf>
    <xf numFmtId="0" fontId="3" fillId="7" borderId="2" xfId="5" applyFont="1" applyFill="1" applyBorder="1">
      <alignment horizontal="left" vertical="top" indent="1"/>
    </xf>
    <xf numFmtId="0" fontId="4" fillId="2" borderId="2" xfId="6" applyFont="1" applyBorder="1">
      <alignment horizontal="left" vertical="center" indent="1"/>
    </xf>
    <xf numFmtId="37" fontId="4" fillId="6" borderId="29" xfId="5" applyNumberFormat="1" applyFont="1" applyBorder="1">
      <alignment horizontal="left" vertical="top" indent="1"/>
    </xf>
    <xf numFmtId="37" fontId="3" fillId="4" borderId="2" xfId="3" applyFont="1" applyBorder="1">
      <alignment horizontal="left" vertical="center" indent="1"/>
    </xf>
    <xf numFmtId="37" fontId="12" fillId="2" borderId="10" xfId="1" applyFont="1" applyBorder="1">
      <alignment vertical="center"/>
    </xf>
    <xf numFmtId="0" fontId="13" fillId="2" borderId="0" xfId="0" applyFont="1" applyFill="1" applyBorder="1"/>
    <xf numFmtId="0" fontId="13" fillId="0" borderId="0" xfId="0" applyFont="1"/>
    <xf numFmtId="0" fontId="13" fillId="0" borderId="9" xfId="0" applyFont="1" applyBorder="1"/>
    <xf numFmtId="37" fontId="12" fillId="2" borderId="5" xfId="11" applyFont="1" applyBorder="1">
      <alignment horizontal="left" vertical="center" indent="2"/>
    </xf>
    <xf numFmtId="0" fontId="13" fillId="2" borderId="0" xfId="0" applyFont="1" applyFill="1"/>
    <xf numFmtId="0" fontId="13" fillId="0" borderId="0" xfId="0" applyFont="1" applyFill="1"/>
    <xf numFmtId="0" fontId="16" fillId="3" borderId="2" xfId="2" applyFont="1" applyBorder="1">
      <alignment horizontal="left" vertical="center" indent="1"/>
    </xf>
    <xf numFmtId="37" fontId="12" fillId="2" borderId="34" xfId="1" applyFont="1" applyBorder="1">
      <alignment vertical="center"/>
    </xf>
    <xf numFmtId="0" fontId="8" fillId="2" borderId="2" xfId="6" applyFont="1" applyBorder="1">
      <alignment horizontal="left" vertical="center" indent="1"/>
    </xf>
    <xf numFmtId="37" fontId="5" fillId="2" borderId="35" xfId="11" applyBorder="1">
      <alignment horizontal="left" vertical="center" indent="2"/>
    </xf>
    <xf numFmtId="37" fontId="4" fillId="2" borderId="37" xfId="4" applyFill="1" applyBorder="1">
      <alignment vertical="center"/>
    </xf>
    <xf numFmtId="37" fontId="5" fillId="2" borderId="0" xfId="1" applyBorder="1">
      <alignment vertical="center"/>
    </xf>
    <xf numFmtId="10" fontId="2" fillId="3" borderId="0" xfId="2" applyNumberFormat="1" applyBorder="1" applyAlignment="1">
      <alignment horizontal="right" vertical="center" indent="1"/>
    </xf>
    <xf numFmtId="0" fontId="0" fillId="0" borderId="0" xfId="0" applyBorder="1"/>
    <xf numFmtId="0" fontId="15" fillId="0" borderId="0" xfId="0" applyFont="1"/>
    <xf numFmtId="0" fontId="17" fillId="6" borderId="8" xfId="5" applyFont="1" applyBorder="1">
      <alignment horizontal="left" vertical="top" indent="1"/>
    </xf>
    <xf numFmtId="0" fontId="1" fillId="8" borderId="0" xfId="9" applyFill="1" applyProtection="1">
      <alignment horizontal="left" vertical="center" indent="1"/>
    </xf>
    <xf numFmtId="0" fontId="1" fillId="3" borderId="0" xfId="9" applyProtection="1">
      <alignment horizontal="left" vertical="center" indent="1"/>
    </xf>
    <xf numFmtId="37" fontId="5" fillId="2" borderId="8" xfId="11" applyBorder="1">
      <alignment horizontal="left" vertical="center" indent="2"/>
    </xf>
    <xf numFmtId="0" fontId="18" fillId="6" borderId="8" xfId="5" applyFont="1" applyBorder="1">
      <alignment horizontal="left" vertical="top" indent="1"/>
    </xf>
    <xf numFmtId="0" fontId="17" fillId="6" borderId="8" xfId="5" applyFont="1" applyBorder="1" applyAlignment="1">
      <alignment horizontal="left" vertical="top" indent="2"/>
    </xf>
    <xf numFmtId="37" fontId="19" fillId="2" borderId="16" xfId="11" applyFont="1" applyBorder="1">
      <alignment horizontal="left" vertical="center" indent="2"/>
    </xf>
    <xf numFmtId="37" fontId="5" fillId="2" borderId="10" xfId="1" applyBorder="1">
      <alignment vertical="center"/>
    </xf>
    <xf numFmtId="0" fontId="4" fillId="6" borderId="38" xfId="5" applyBorder="1">
      <alignment horizontal="left" vertical="top" indent="1"/>
    </xf>
    <xf numFmtId="0" fontId="15" fillId="2" borderId="10" xfId="0" applyFont="1" applyFill="1" applyBorder="1"/>
    <xf numFmtId="37" fontId="5" fillId="0" borderId="8" xfId="11" applyFill="1" applyBorder="1">
      <alignment horizontal="left" vertical="center" indent="2"/>
    </xf>
    <xf numFmtId="0" fontId="17" fillId="0" borderId="8" xfId="5" applyFont="1" applyFill="1" applyBorder="1" applyAlignment="1">
      <alignment horizontal="left" vertical="top" indent="2"/>
    </xf>
    <xf numFmtId="0" fontId="15" fillId="2" borderId="0" xfId="0" applyFont="1" applyFill="1" applyBorder="1"/>
    <xf numFmtId="0" fontId="15" fillId="0" borderId="10" xfId="0" applyFont="1" applyFill="1" applyBorder="1"/>
    <xf numFmtId="37" fontId="12" fillId="0" borderId="16" xfId="11" applyFont="1" applyFill="1" applyBorder="1">
      <alignment horizontal="left" vertical="center" indent="2"/>
    </xf>
    <xf numFmtId="37" fontId="12" fillId="0" borderId="31" xfId="11" applyFont="1" applyFill="1" applyBorder="1">
      <alignment horizontal="left" vertical="center" indent="2"/>
    </xf>
    <xf numFmtId="37" fontId="12" fillId="0" borderId="31" xfId="11" applyFont="1" applyFill="1" applyBorder="1" applyAlignment="1">
      <alignment horizontal="left" vertical="center" indent="2"/>
    </xf>
    <xf numFmtId="0" fontId="15" fillId="2" borderId="6" xfId="0" applyFont="1" applyFill="1" applyBorder="1"/>
    <xf numFmtId="0" fontId="0" fillId="2" borderId="6" xfId="0" applyFill="1" applyBorder="1"/>
    <xf numFmtId="37" fontId="5" fillId="0" borderId="40" xfId="11" applyFill="1" applyBorder="1">
      <alignment horizontal="left" vertical="center" indent="2"/>
    </xf>
    <xf numFmtId="0" fontId="18" fillId="6" borderId="39" xfId="5" applyFont="1" applyBorder="1">
      <alignment horizontal="left" vertical="top" indent="1"/>
    </xf>
    <xf numFmtId="37" fontId="19" fillId="2" borderId="39" xfId="11" applyFont="1" applyBorder="1">
      <alignment horizontal="left" vertical="center" indent="2"/>
    </xf>
    <xf numFmtId="0" fontId="15" fillId="2" borderId="42" xfId="0" applyFont="1" applyFill="1" applyBorder="1"/>
    <xf numFmtId="0" fontId="15" fillId="2" borderId="44" xfId="0" applyFont="1" applyFill="1" applyBorder="1"/>
    <xf numFmtId="37" fontId="5" fillId="0" borderId="43" xfId="11" applyFill="1" applyBorder="1">
      <alignment horizontal="left" vertical="center" indent="2"/>
    </xf>
    <xf numFmtId="37" fontId="5" fillId="0" borderId="1" xfId="11" applyFill="1" applyBorder="1">
      <alignment horizontal="left" vertical="center" indent="2"/>
    </xf>
    <xf numFmtId="0" fontId="17" fillId="6" borderId="31" xfId="5" applyFont="1" applyBorder="1" applyAlignment="1">
      <alignment horizontal="left" vertical="top" indent="2"/>
    </xf>
    <xf numFmtId="0" fontId="15" fillId="2" borderId="30" xfId="0" applyFont="1" applyFill="1" applyBorder="1"/>
    <xf numFmtId="37" fontId="5" fillId="0" borderId="47" xfId="11" applyFill="1" applyBorder="1">
      <alignment horizontal="left" vertical="center" indent="2"/>
    </xf>
    <xf numFmtId="0" fontId="17" fillId="0" borderId="31" xfId="5" applyFont="1" applyFill="1" applyBorder="1" applyAlignment="1">
      <alignment horizontal="left" vertical="top" indent="2"/>
    </xf>
    <xf numFmtId="0" fontId="0" fillId="2" borderId="50" xfId="0" applyFill="1" applyBorder="1"/>
    <xf numFmtId="0" fontId="4" fillId="6" borderId="0" xfId="5" applyBorder="1">
      <alignment horizontal="left" vertical="top" indent="1"/>
    </xf>
    <xf numFmtId="0" fontId="4" fillId="6" borderId="41" xfId="5" applyBorder="1">
      <alignment horizontal="left" vertical="top" indent="1"/>
    </xf>
    <xf numFmtId="37" fontId="4" fillId="6" borderId="54" xfId="5" applyNumberFormat="1" applyBorder="1">
      <alignment horizontal="left" vertical="top" indent="1"/>
    </xf>
    <xf numFmtId="37" fontId="4" fillId="2" borderId="0" xfId="4" applyFill="1" applyBorder="1">
      <alignment vertical="center"/>
    </xf>
    <xf numFmtId="0" fontId="8" fillId="2" borderId="0" xfId="6" applyFont="1" applyBorder="1">
      <alignment horizontal="left" vertical="center" indent="1"/>
    </xf>
    <xf numFmtId="0" fontId="18" fillId="6" borderId="2" xfId="5" applyFont="1" applyBorder="1">
      <alignment horizontal="left" vertical="top" indent="1"/>
    </xf>
    <xf numFmtId="0" fontId="15" fillId="0" borderId="35" xfId="0" applyFont="1" applyBorder="1"/>
    <xf numFmtId="37" fontId="0" fillId="0" borderId="0" xfId="0" applyNumberFormat="1"/>
    <xf numFmtId="9" fontId="0" fillId="0" borderId="0" xfId="0" applyNumberFormat="1"/>
    <xf numFmtId="2" fontId="0" fillId="0" borderId="0" xfId="0" applyNumberFormat="1"/>
    <xf numFmtId="10" fontId="12" fillId="2" borderId="7" xfId="1" applyNumberFormat="1" applyFont="1" applyBorder="1">
      <alignment vertical="center"/>
    </xf>
    <xf numFmtId="9" fontId="13" fillId="0" borderId="0" xfId="0" applyNumberFormat="1" applyFont="1" applyFill="1"/>
    <xf numFmtId="37" fontId="3" fillId="4" borderId="0" xfId="3" applyFont="1" applyBorder="1">
      <alignment horizontal="left" vertical="center" indent="1"/>
    </xf>
    <xf numFmtId="0" fontId="0" fillId="2" borderId="0" xfId="0" applyFill="1" applyBorder="1" applyAlignment="1">
      <alignment horizontal="left"/>
    </xf>
    <xf numFmtId="37" fontId="4" fillId="6" borderId="57" xfId="5" applyNumberFormat="1" applyBorder="1">
      <alignment horizontal="left" vertical="top" indent="1"/>
    </xf>
    <xf numFmtId="0" fontId="4" fillId="6" borderId="58" xfId="5" applyBorder="1">
      <alignment horizontal="left" vertical="top" indent="1"/>
    </xf>
    <xf numFmtId="0" fontId="0" fillId="0" borderId="59" xfId="0" applyBorder="1"/>
    <xf numFmtId="37" fontId="5" fillId="2" borderId="2" xfId="11" applyBorder="1">
      <alignment horizontal="left" vertical="center" indent="2"/>
    </xf>
    <xf numFmtId="0" fontId="4" fillId="6" borderId="26" xfId="5" applyBorder="1">
      <alignment horizontal="left" vertical="top" indent="1"/>
    </xf>
    <xf numFmtId="0" fontId="4" fillId="6" borderId="56" xfId="5" applyBorder="1">
      <alignment horizontal="left" vertical="top" indent="1"/>
    </xf>
    <xf numFmtId="37" fontId="5" fillId="2" borderId="47" xfId="11" applyBorder="1">
      <alignment horizontal="left" vertical="center" indent="2"/>
    </xf>
    <xf numFmtId="0" fontId="4" fillId="6" borderId="46" xfId="5" applyBorder="1">
      <alignment horizontal="left" vertical="top" indent="1"/>
    </xf>
    <xf numFmtId="37" fontId="5" fillId="2" borderId="1" xfId="11" applyBorder="1">
      <alignment horizontal="left" vertical="center" indent="2"/>
    </xf>
    <xf numFmtId="1" fontId="19" fillId="2" borderId="10" xfId="0" applyNumberFormat="1" applyFont="1" applyFill="1" applyBorder="1"/>
    <xf numFmtId="1" fontId="19" fillId="2" borderId="13" xfId="0" applyNumberFormat="1" applyFont="1" applyFill="1" applyBorder="1"/>
    <xf numFmtId="1" fontId="5" fillId="2" borderId="34" xfId="0" applyNumberFormat="1" applyFont="1" applyFill="1" applyBorder="1"/>
    <xf numFmtId="1" fontId="19" fillId="2" borderId="9" xfId="1" applyNumberFormat="1" applyFont="1" applyBorder="1">
      <alignment vertical="center"/>
    </xf>
    <xf numFmtId="1" fontId="4" fillId="0" borderId="28" xfId="4" applyNumberFormat="1" applyFill="1" applyBorder="1">
      <alignment vertical="center"/>
    </xf>
    <xf numFmtId="1" fontId="5" fillId="2" borderId="16" xfId="11" applyNumberFormat="1" applyBorder="1">
      <alignment horizontal="left" vertical="center" indent="2"/>
    </xf>
    <xf numFmtId="1" fontId="19" fillId="2" borderId="16" xfId="11" applyNumberFormat="1" applyFont="1" applyBorder="1">
      <alignment horizontal="left" vertical="center" indent="2"/>
    </xf>
    <xf numFmtId="1" fontId="5" fillId="2" borderId="51" xfId="11" applyNumberFormat="1" applyBorder="1">
      <alignment horizontal="left" vertical="center" indent="2"/>
    </xf>
    <xf numFmtId="1" fontId="4" fillId="2" borderId="17" xfId="4" applyNumberFormat="1" applyFill="1" applyBorder="1">
      <alignment vertical="center"/>
    </xf>
    <xf numFmtId="1" fontId="4" fillId="2" borderId="23" xfId="4" applyNumberFormat="1" applyFill="1" applyBorder="1" applyAlignment="1">
      <alignment vertical="center"/>
    </xf>
    <xf numFmtId="1" fontId="12" fillId="2" borderId="34" xfId="1" applyNumberFormat="1" applyFont="1" applyBorder="1">
      <alignment vertical="center"/>
    </xf>
    <xf numFmtId="1" fontId="12" fillId="2" borderId="32" xfId="1" applyNumberFormat="1" applyFont="1" applyBorder="1">
      <alignment vertical="center"/>
    </xf>
    <xf numFmtId="1" fontId="12" fillId="2" borderId="51" xfId="1" applyNumberFormat="1" applyFont="1" applyBorder="1">
      <alignment vertical="center"/>
    </xf>
    <xf numFmtId="1" fontId="4" fillId="2" borderId="22" xfId="4" applyNumberFormat="1" applyFill="1" applyBorder="1" applyAlignment="1">
      <alignment vertical="center"/>
    </xf>
    <xf numFmtId="1" fontId="5" fillId="2" borderId="10" xfId="0" applyNumberFormat="1" applyFont="1" applyFill="1" applyBorder="1"/>
    <xf numFmtId="1" fontId="5" fillId="2" borderId="13" xfId="0" applyNumberFormat="1" applyFont="1" applyFill="1" applyBorder="1"/>
    <xf numFmtId="1" fontId="5" fillId="2" borderId="9" xfId="1" applyNumberFormat="1" applyBorder="1">
      <alignment vertical="center"/>
    </xf>
    <xf numFmtId="1" fontId="5" fillId="2" borderId="19" xfId="1" applyNumberFormat="1" applyBorder="1">
      <alignment vertical="center"/>
    </xf>
    <xf numFmtId="1" fontId="5" fillId="2" borderId="7" xfId="1" applyNumberFormat="1" applyBorder="1">
      <alignment vertical="center"/>
    </xf>
    <xf numFmtId="1" fontId="5" fillId="2" borderId="12" xfId="1" applyNumberFormat="1" applyBorder="1">
      <alignment vertical="center"/>
    </xf>
    <xf numFmtId="1" fontId="12" fillId="2" borderId="10" xfId="1" applyNumberFormat="1" applyFont="1" applyBorder="1">
      <alignment vertical="center"/>
    </xf>
    <xf numFmtId="1" fontId="5" fillId="2" borderId="13" xfId="1" applyNumberFormat="1" applyBorder="1">
      <alignment vertical="center"/>
    </xf>
    <xf numFmtId="1" fontId="12" fillId="2" borderId="9" xfId="1" applyNumberFormat="1" applyFont="1" applyBorder="1">
      <alignment vertical="center"/>
    </xf>
    <xf numFmtId="1" fontId="4" fillId="2" borderId="20" xfId="4" applyNumberFormat="1" applyFill="1" applyBorder="1" applyAlignment="1">
      <alignment vertical="center"/>
    </xf>
    <xf numFmtId="1" fontId="4" fillId="2" borderId="21" xfId="4" applyNumberFormat="1" applyFill="1" applyBorder="1" applyAlignment="1">
      <alignment vertical="center"/>
    </xf>
    <xf numFmtId="1" fontId="3" fillId="4" borderId="0" xfId="4" applyNumberFormat="1" applyFont="1" applyFill="1" applyBorder="1" applyAlignment="1">
      <alignment vertical="center"/>
    </xf>
    <xf numFmtId="1" fontId="3" fillId="4" borderId="26" xfId="4" applyNumberFormat="1" applyFont="1" applyFill="1" applyBorder="1" applyAlignment="1">
      <alignment vertical="center"/>
    </xf>
    <xf numFmtId="1" fontId="11" fillId="2" borderId="7" xfId="1" applyNumberFormat="1" applyFont="1" applyFill="1" applyBorder="1">
      <alignment vertical="center"/>
    </xf>
    <xf numFmtId="1" fontId="5" fillId="2" borderId="7" xfId="1" applyNumberFormat="1" applyFill="1" applyBorder="1">
      <alignment vertical="center"/>
    </xf>
    <xf numFmtId="1" fontId="5" fillId="2" borderId="12" xfId="1" applyNumberFormat="1" applyFill="1" applyBorder="1">
      <alignment vertical="center"/>
    </xf>
    <xf numFmtId="1" fontId="12" fillId="2" borderId="13" xfId="1" applyNumberFormat="1" applyFont="1" applyBorder="1">
      <alignment vertical="center"/>
    </xf>
    <xf numFmtId="1" fontId="4" fillId="0" borderId="28" xfId="4" applyNumberFormat="1" applyFont="1" applyFill="1" applyBorder="1">
      <alignment vertical="center"/>
    </xf>
    <xf numFmtId="1" fontId="14" fillId="2" borderId="9" xfId="1" applyNumberFormat="1" applyFont="1" applyBorder="1">
      <alignment vertical="center"/>
    </xf>
    <xf numFmtId="1" fontId="12" fillId="2" borderId="30" xfId="1" applyNumberFormat="1" applyFont="1" applyBorder="1">
      <alignment vertical="center"/>
    </xf>
    <xf numFmtId="1" fontId="4" fillId="2" borderId="17" xfId="4" applyNumberFormat="1" applyFont="1" applyFill="1" applyBorder="1">
      <alignment vertical="center"/>
    </xf>
    <xf numFmtId="1" fontId="4" fillId="2" borderId="33" xfId="4" applyNumberFormat="1" applyFont="1" applyFill="1" applyBorder="1">
      <alignment vertical="center"/>
    </xf>
    <xf numFmtId="0" fontId="4" fillId="6" borderId="55" xfId="5" applyBorder="1">
      <alignment horizontal="left" vertical="top" indent="1"/>
    </xf>
    <xf numFmtId="0" fontId="4" fillId="6" borderId="48" xfId="5" applyBorder="1">
      <alignment horizontal="left" vertical="top" indent="1"/>
    </xf>
    <xf numFmtId="0" fontId="4" fillId="6" borderId="60" xfId="5" applyBorder="1">
      <alignment horizontal="left" vertical="top" indent="1"/>
    </xf>
    <xf numFmtId="37" fontId="4" fillId="6" borderId="17" xfId="5" applyNumberFormat="1" applyBorder="1">
      <alignment horizontal="left" vertical="top" indent="1"/>
    </xf>
    <xf numFmtId="1" fontId="19" fillId="2" borderId="28" xfId="0" applyNumberFormat="1" applyFont="1" applyFill="1" applyBorder="1"/>
    <xf numFmtId="0" fontId="17" fillId="6" borderId="2" xfId="5" applyFont="1" applyBorder="1" applyAlignment="1">
      <alignment horizontal="left" vertical="top" indent="2"/>
    </xf>
    <xf numFmtId="37" fontId="5" fillId="0" borderId="2" xfId="11" applyFill="1" applyBorder="1">
      <alignment horizontal="left" vertical="center" indent="2"/>
    </xf>
    <xf numFmtId="0" fontId="0" fillId="2" borderId="44" xfId="0" applyFill="1" applyBorder="1"/>
    <xf numFmtId="0" fontId="0" fillId="2" borderId="36" xfId="0" applyFill="1" applyBorder="1"/>
    <xf numFmtId="0" fontId="0" fillId="2" borderId="37" xfId="0" applyFill="1" applyBorder="1"/>
    <xf numFmtId="2" fontId="0" fillId="2" borderId="13" xfId="0" applyNumberFormat="1" applyFill="1" applyBorder="1"/>
    <xf numFmtId="2" fontId="0" fillId="2" borderId="45" xfId="0" applyNumberFormat="1" applyFill="1" applyBorder="1"/>
    <xf numFmtId="2" fontId="20" fillId="2" borderId="46" xfId="0" applyNumberFormat="1" applyFont="1" applyFill="1" applyBorder="1"/>
    <xf numFmtId="0" fontId="18" fillId="6" borderId="52" xfId="5" applyFont="1" applyBorder="1">
      <alignment horizontal="left" vertical="top" indent="1"/>
    </xf>
    <xf numFmtId="0" fontId="18" fillId="6" borderId="61" xfId="5" applyFont="1" applyBorder="1">
      <alignment horizontal="left" vertical="top" indent="1"/>
    </xf>
    <xf numFmtId="0" fontId="18" fillId="6" borderId="46" xfId="5" applyFont="1" applyBorder="1">
      <alignment horizontal="left" vertical="top" indent="1"/>
    </xf>
    <xf numFmtId="0" fontId="0" fillId="2" borderId="62" xfId="0" applyFill="1" applyBorder="1"/>
    <xf numFmtId="0" fontId="0" fillId="0" borderId="63" xfId="0" applyBorder="1"/>
    <xf numFmtId="0" fontId="4" fillId="2" borderId="63" xfId="7" applyFill="1" applyBorder="1">
      <alignment horizontal="centerContinuous" vertical="top"/>
    </xf>
    <xf numFmtId="0" fontId="4" fillId="6" borderId="64" xfId="5" applyBorder="1">
      <alignment horizontal="left" vertical="top" indent="1"/>
    </xf>
    <xf numFmtId="0" fontId="18" fillId="6" borderId="8" xfId="5" applyFont="1" applyBorder="1" applyAlignment="1">
      <alignment horizontal="left" vertical="top" indent="2"/>
    </xf>
    <xf numFmtId="0" fontId="20" fillId="2" borderId="10" xfId="0" applyFont="1" applyFill="1" applyBorder="1"/>
    <xf numFmtId="2" fontId="20" fillId="2" borderId="13" xfId="0" applyNumberFormat="1" applyFont="1" applyFill="1" applyBorder="1"/>
    <xf numFmtId="37" fontId="19" fillId="0" borderId="1" xfId="11" applyFont="1" applyFill="1" applyBorder="1">
      <alignment horizontal="left" vertical="center" indent="2"/>
    </xf>
    <xf numFmtId="0" fontId="20" fillId="2" borderId="6" xfId="0" applyFont="1" applyFill="1" applyBorder="1"/>
    <xf numFmtId="0" fontId="18" fillId="6" borderId="1" xfId="5" applyFont="1" applyBorder="1">
      <alignment horizontal="left" vertical="top" indent="1"/>
    </xf>
    <xf numFmtId="2" fontId="0" fillId="2" borderId="26" xfId="0" applyNumberFormat="1" applyFill="1" applyBorder="1"/>
    <xf numFmtId="2" fontId="0" fillId="2" borderId="48" xfId="0" applyNumberFormat="1" applyFill="1" applyBorder="1"/>
    <xf numFmtId="0" fontId="4" fillId="6" borderId="65" xfId="5" applyBorder="1">
      <alignment horizontal="left" vertical="top" indent="1"/>
    </xf>
    <xf numFmtId="0" fontId="4" fillId="2" borderId="19" xfId="7" applyFill="1" applyBorder="1">
      <alignment horizontal="centerContinuous" vertical="top"/>
    </xf>
    <xf numFmtId="0" fontId="4" fillId="2" borderId="66" xfId="7" applyFill="1" applyBorder="1">
      <alignment horizontal="centerContinuous" vertical="top"/>
    </xf>
    <xf numFmtId="0" fontId="4" fillId="6" borderId="67" xfId="5" applyBorder="1">
      <alignment horizontal="left" vertical="top" indent="1"/>
    </xf>
    <xf numFmtId="0" fontId="4" fillId="2" borderId="68" xfId="7" applyFill="1" applyBorder="1">
      <alignment horizontal="centerContinuous" vertical="top"/>
    </xf>
    <xf numFmtId="0" fontId="4" fillId="6" borderId="69" xfId="5" applyBorder="1">
      <alignment horizontal="left" vertical="top" indent="1"/>
    </xf>
    <xf numFmtId="0" fontId="13" fillId="0" borderId="0" xfId="0" applyFont="1" applyFill="1" applyBorder="1"/>
    <xf numFmtId="0" fontId="0" fillId="2" borderId="70" xfId="0" applyFill="1" applyBorder="1"/>
    <xf numFmtId="0" fontId="18" fillId="6" borderId="71" xfId="5" applyFont="1" applyBorder="1">
      <alignment horizontal="left" vertical="top" indent="1"/>
    </xf>
    <xf numFmtId="0" fontId="17" fillId="0" borderId="72" xfId="5" applyFont="1" applyFill="1" applyBorder="1">
      <alignment horizontal="left" vertical="top" indent="1"/>
    </xf>
    <xf numFmtId="0" fontId="0" fillId="2" borderId="73" xfId="0" applyFill="1" applyBorder="1"/>
    <xf numFmtId="2" fontId="0" fillId="2" borderId="74" xfId="0" applyNumberFormat="1" applyFill="1" applyBorder="1"/>
    <xf numFmtId="0" fontId="17" fillId="0" borderId="75" xfId="5" applyFont="1" applyFill="1" applyBorder="1">
      <alignment horizontal="left" vertical="top" indent="1"/>
    </xf>
    <xf numFmtId="0" fontId="18" fillId="0" borderId="76" xfId="5" applyFont="1" applyFill="1" applyBorder="1">
      <alignment horizontal="left" vertical="top" indent="1"/>
    </xf>
    <xf numFmtId="0" fontId="18" fillId="6" borderId="77" xfId="5" applyFont="1" applyBorder="1">
      <alignment horizontal="left" vertical="top" indent="1"/>
    </xf>
    <xf numFmtId="0" fontId="17" fillId="6" borderId="72" xfId="5" applyFont="1" applyBorder="1">
      <alignment horizontal="left" vertical="top" indent="1"/>
    </xf>
    <xf numFmtId="2" fontId="0" fillId="2" borderId="78" xfId="0" applyNumberFormat="1" applyFill="1" applyBorder="1"/>
    <xf numFmtId="0" fontId="17" fillId="6" borderId="75" xfId="5" applyFont="1" applyBorder="1">
      <alignment horizontal="left" vertical="top" indent="1"/>
    </xf>
    <xf numFmtId="2" fontId="20" fillId="2" borderId="74" xfId="0" applyNumberFormat="1" applyFont="1" applyFill="1" applyBorder="1"/>
    <xf numFmtId="0" fontId="18" fillId="6" borderId="76" xfId="5" applyFont="1" applyBorder="1">
      <alignment horizontal="left" vertical="top" indent="1"/>
    </xf>
    <xf numFmtId="2" fontId="0" fillId="2" borderId="80" xfId="0" applyNumberFormat="1" applyFill="1" applyBorder="1"/>
    <xf numFmtId="2" fontId="13" fillId="0" borderId="78" xfId="4" applyNumberFormat="1" applyFont="1" applyFill="1" applyBorder="1">
      <alignment vertical="center"/>
    </xf>
    <xf numFmtId="2" fontId="21" fillId="0" borderId="79" xfId="4" applyNumberFormat="1" applyFont="1" applyFill="1" applyBorder="1">
      <alignment vertical="center"/>
    </xf>
    <xf numFmtId="2" fontId="4" fillId="0" borderId="74" xfId="4" applyNumberFormat="1" applyFill="1" applyBorder="1">
      <alignment vertical="center"/>
    </xf>
    <xf numFmtId="0" fontId="18" fillId="6" borderId="81" xfId="5" applyFont="1" applyBorder="1">
      <alignment horizontal="left" vertical="top" indent="1"/>
    </xf>
    <xf numFmtId="0" fontId="20" fillId="2" borderId="82" xfId="0" applyFont="1" applyFill="1" applyBorder="1"/>
    <xf numFmtId="2" fontId="20" fillId="2" borderId="83" xfId="0" applyNumberFormat="1" applyFont="1" applyFill="1" applyBorder="1"/>
    <xf numFmtId="0" fontId="17" fillId="6" borderId="84" xfId="5" applyFont="1" applyBorder="1" applyAlignment="1">
      <alignment horizontal="left" vertical="top" indent="2"/>
    </xf>
    <xf numFmtId="0" fontId="0" fillId="2" borderId="85" xfId="0" applyFill="1" applyBorder="1"/>
    <xf numFmtId="2" fontId="0" fillId="2" borderId="86" xfId="0" applyNumberFormat="1" applyFill="1" applyBorder="1"/>
    <xf numFmtId="0" fontId="17" fillId="6" borderId="87" xfId="5" applyFont="1" applyBorder="1">
      <alignment horizontal="left" vertical="top" indent="1"/>
    </xf>
    <xf numFmtId="0" fontId="15" fillId="2" borderId="88" xfId="0" applyFont="1" applyFill="1" applyBorder="1"/>
    <xf numFmtId="2" fontId="0" fillId="2" borderId="89" xfId="0" applyNumberFormat="1" applyFill="1" applyBorder="1"/>
    <xf numFmtId="0" fontId="17" fillId="0" borderId="2" xfId="5" applyFont="1" applyFill="1" applyBorder="1" applyAlignment="1">
      <alignment horizontal="left" vertical="top" indent="2"/>
    </xf>
    <xf numFmtId="2" fontId="0" fillId="2" borderId="90" xfId="0" applyNumberFormat="1" applyFill="1" applyBorder="1"/>
    <xf numFmtId="2" fontId="20" fillId="2" borderId="91" xfId="0" applyNumberFormat="1" applyFont="1" applyFill="1" applyBorder="1"/>
    <xf numFmtId="0" fontId="17" fillId="6" borderId="43" xfId="5" applyFont="1" applyBorder="1" applyAlignment="1">
      <alignment horizontal="left" vertical="top" indent="2"/>
    </xf>
    <xf numFmtId="37" fontId="5" fillId="2" borderId="27" xfId="1" applyBorder="1">
      <alignment vertical="center"/>
    </xf>
    <xf numFmtId="2" fontId="4" fillId="0" borderId="90" xfId="4" applyNumberFormat="1" applyFill="1" applyBorder="1">
      <alignment vertical="center"/>
    </xf>
    <xf numFmtId="0" fontId="18" fillId="6" borderId="92" xfId="5" applyFont="1" applyBorder="1">
      <alignment horizontal="left" vertical="top" indent="1"/>
    </xf>
    <xf numFmtId="37" fontId="5" fillId="2" borderId="53" xfId="1" applyBorder="1">
      <alignment vertical="center"/>
    </xf>
    <xf numFmtId="2" fontId="4" fillId="0" borderId="93" xfId="4" applyNumberFormat="1" applyFill="1" applyBorder="1">
      <alignment vertical="center"/>
    </xf>
    <xf numFmtId="0" fontId="20" fillId="2" borderId="61" xfId="0" applyFont="1" applyFill="1" applyBorder="1"/>
    <xf numFmtId="0" fontId="15" fillId="2" borderId="13" xfId="0" applyFont="1" applyFill="1" applyBorder="1"/>
    <xf numFmtId="10" fontId="5" fillId="2" borderId="10" xfId="0" applyNumberFormat="1" applyFont="1" applyFill="1" applyBorder="1"/>
    <xf numFmtId="10" fontId="5" fillId="2" borderId="9" xfId="1" applyNumberFormat="1" applyBorder="1">
      <alignment vertical="center"/>
    </xf>
    <xf numFmtId="10" fontId="19" fillId="2" borderId="10" xfId="0" applyNumberFormat="1" applyFont="1" applyFill="1" applyBorder="1"/>
    <xf numFmtId="10" fontId="5" fillId="2" borderId="34" xfId="0" applyNumberFormat="1" applyFont="1" applyFill="1" applyBorder="1"/>
    <xf numFmtId="10" fontId="19" fillId="2" borderId="13" xfId="0" applyNumberFormat="1" applyFont="1" applyFill="1" applyBorder="1"/>
    <xf numFmtId="10" fontId="19" fillId="2" borderId="9" xfId="1" applyNumberFormat="1" applyFont="1" applyBorder="1">
      <alignment vertical="center"/>
    </xf>
    <xf numFmtId="10" fontId="5" fillId="2" borderId="16" xfId="11" applyNumberFormat="1" applyBorder="1">
      <alignment horizontal="left" vertical="center" indent="2"/>
    </xf>
    <xf numFmtId="10" fontId="4" fillId="2" borderId="17" xfId="4" applyNumberFormat="1" applyFill="1" applyBorder="1">
      <alignment vertical="center"/>
    </xf>
    <xf numFmtId="10" fontId="5" fillId="2" borderId="13" xfId="0" applyNumberFormat="1" applyFont="1" applyFill="1" applyBorder="1"/>
    <xf numFmtId="165" fontId="5" fillId="2" borderId="13" xfId="0" applyNumberFormat="1" applyFont="1" applyFill="1" applyBorder="1"/>
    <xf numFmtId="10" fontId="5" fillId="2" borderId="5" xfId="11" applyNumberFormat="1" applyBorder="1">
      <alignment horizontal="left" vertical="center" indent="2"/>
    </xf>
    <xf numFmtId="10" fontId="5" fillId="2" borderId="49" xfId="11" applyNumberFormat="1" applyBorder="1">
      <alignment horizontal="left" vertical="center" indent="2"/>
    </xf>
    <xf numFmtId="10" fontId="5" fillId="2" borderId="39" xfId="11" applyNumberFormat="1" applyBorder="1">
      <alignment horizontal="left" vertical="center" indent="2"/>
    </xf>
    <xf numFmtId="10" fontId="5" fillId="2" borderId="52" xfId="11" applyNumberFormat="1" applyBorder="1">
      <alignment horizontal="left" vertical="center" indent="2"/>
    </xf>
    <xf numFmtId="10" fontId="5" fillId="2" borderId="12" xfId="0" applyNumberFormat="1" applyFont="1" applyFill="1" applyBorder="1"/>
    <xf numFmtId="37" fontId="4" fillId="6" borderId="94" xfId="5" applyNumberFormat="1" applyBorder="1">
      <alignment horizontal="left" vertical="top" indent="1"/>
    </xf>
    <xf numFmtId="0" fontId="4" fillId="6" borderId="2" xfId="5" applyBorder="1">
      <alignment horizontal="left" vertical="top" indent="1"/>
    </xf>
    <xf numFmtId="10" fontId="19" fillId="2" borderId="53" xfId="0" applyNumberFormat="1" applyFont="1" applyFill="1" applyBorder="1"/>
    <xf numFmtId="165" fontId="4" fillId="2" borderId="95" xfId="4" applyNumberFormat="1" applyFill="1" applyBorder="1" applyAlignment="1">
      <alignment vertical="center"/>
    </xf>
    <xf numFmtId="165" fontId="19" fillId="2" borderId="28" xfId="0" applyNumberFormat="1" applyFont="1" applyFill="1" applyBorder="1"/>
    <xf numFmtId="10" fontId="19" fillId="0" borderId="37" xfId="0" applyNumberFormat="1" applyFont="1" applyBorder="1"/>
    <xf numFmtId="165" fontId="19" fillId="2" borderId="13" xfId="0" applyNumberFormat="1" applyFont="1" applyFill="1" applyBorder="1"/>
  </cellXfs>
  <cellStyles count="14">
    <cellStyle name="amount" xfId="1" xr:uid="{00000000-0005-0000-0000-000000000000}"/>
    <cellStyle name="Body text" xfId="2" xr:uid="{00000000-0005-0000-0000-000001000000}"/>
    <cellStyle name="header" xfId="3" xr:uid="{00000000-0005-0000-0000-000002000000}"/>
    <cellStyle name="Header Total" xfId="4" xr:uid="{00000000-0005-0000-0000-000003000000}"/>
    <cellStyle name="Header1" xfId="5" xr:uid="{00000000-0005-0000-0000-000004000000}"/>
    <cellStyle name="Header2" xfId="6" xr:uid="{00000000-0005-0000-0000-000005000000}"/>
    <cellStyle name="Header3" xfId="7" xr:uid="{00000000-0005-0000-0000-000006000000}"/>
    <cellStyle name="Header4" xfId="8" xr:uid="{00000000-0005-0000-0000-000007000000}"/>
    <cellStyle name="Hyperlink" xfId="9" builtinId="8"/>
    <cellStyle name="NonPrint_Heading" xfId="10" xr:uid="{00000000-0005-0000-0000-000009000000}"/>
    <cellStyle name="Normal" xfId="0" builtinId="0"/>
    <cellStyle name="Normal 2" xfId="11" xr:uid="{00000000-0005-0000-0000-00000B000000}"/>
    <cellStyle name="Product Title" xfId="12" xr:uid="{00000000-0005-0000-0000-00000C000000}"/>
    <cellStyle name="Text" xfId="13" xr:uid="{00000000-0005-0000-0000-00000D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ss-citizen.com/story/news/local/2015/04/21/iowa-city-food-trucks-approval-parking-downtown-stipulations/26162139/" TargetMode="External"/><Relationship Id="rId13" Type="http://schemas.openxmlformats.org/officeDocument/2006/relationships/hyperlink" Target="https://shop.centurylink.com/MasterWebPortal/freeRange/shop/SMBNCBundle_viewSmbNcBundlesPage.action?view=choose&amp;term=24&amp;type=InternetVOIP&amp;configPage=true&amp;pageVisited=preInternetPage" TargetMode="External"/><Relationship Id="rId18" Type="http://schemas.openxmlformats.org/officeDocument/2006/relationships/hyperlink" Target="https://foodtruckempire.com/wp-content/uploads/2013/12/Swich-It-Up-Business-Plan-for-Submission.pdf" TargetMode="External"/><Relationship Id="rId26" Type="http://schemas.openxmlformats.org/officeDocument/2006/relationships/hyperlink" Target="https://www.insureon.com/food-business-insurance/food-trucks/cost" TargetMode="External"/><Relationship Id="rId3" Type="http://schemas.openxmlformats.org/officeDocument/2006/relationships/hyperlink" Target="https://dia.iowa.gov/food-consumer-safety/food-safety-license-applications" TargetMode="External"/><Relationship Id="rId21" Type="http://schemas.openxmlformats.org/officeDocument/2006/relationships/hyperlink" Target="https://www.entrepreneur.com/article/233385" TargetMode="External"/><Relationship Id="rId7" Type="http://schemas.openxmlformats.org/officeDocument/2006/relationships/hyperlink" Target="../../Downloads/Food%20Establishment%20License%20Application%202019.pdf" TargetMode="External"/><Relationship Id="rId12" Type="http://schemas.openxmlformats.org/officeDocument/2006/relationships/hyperlink" Target="https://foodtruckempire.com/wp-content/uploads/2013/12/Swich-It-Up-Business-Plan-for-Submission.pdf" TargetMode="External"/><Relationship Id="rId17" Type="http://schemas.openxmlformats.org/officeDocument/2006/relationships/hyperlink" Target="https://foodtruckempire.com/wp-content/uploads/2013/12/Swich-It-Up-Business-Plan-for-Submission.pdf" TargetMode="External"/><Relationship Id="rId25" Type="http://schemas.openxmlformats.org/officeDocument/2006/relationships/hyperlink" Target="https://www.insureon.com/food-business-insurance/food-trucks/cost" TargetMode="External"/><Relationship Id="rId2" Type="http://schemas.openxmlformats.org/officeDocument/2006/relationships/hyperlink" Target="https://foodtruckempire.com/wp-content/uploads/2013/12/Swich-It-Up-Business-Plan-for-Submission.pdf" TargetMode="External"/><Relationship Id="rId16" Type="http://schemas.openxmlformats.org/officeDocument/2006/relationships/hyperlink" Target="https://mobile-cuisine.com/marketing/food-truck-marketing-budget-spending/" TargetMode="External"/><Relationship Id="rId20" Type="http://schemas.openxmlformats.org/officeDocument/2006/relationships/hyperlink" Target="https://www.icgov.org/city-government/departments-and-divisions/landfill-and-recycling-center" TargetMode="External"/><Relationship Id="rId1" Type="http://schemas.openxmlformats.org/officeDocument/2006/relationships/hyperlink" Target="http://foodtruckrental.com/trucks/chevy-workhorse-2002/" TargetMode="External"/><Relationship Id="rId6" Type="http://schemas.openxmlformats.org/officeDocument/2006/relationships/hyperlink" Target="../../Downloads/Food%20Establishment%20License%20Application%202019.pdf" TargetMode="External"/><Relationship Id="rId11" Type="http://schemas.openxmlformats.org/officeDocument/2006/relationships/hyperlink" Target="http://foodtruckrental.com/trucks/tony-danzin/" TargetMode="External"/><Relationship Id="rId24" Type="http://schemas.openxmlformats.org/officeDocument/2006/relationships/hyperlink" Target="https://www.insureon.com/food-business-insurance/food-trucks/cost" TargetMode="External"/><Relationship Id="rId5" Type="http://schemas.openxmlformats.org/officeDocument/2006/relationships/hyperlink" Target="../../Downloads/Food%20Establishment%20License%20Application%202019.pdf" TargetMode="External"/><Relationship Id="rId15" Type="http://schemas.openxmlformats.org/officeDocument/2006/relationships/hyperlink" Target="https://greenpaperproducts.com/16oz-compostable-bowls-clear-pet-dome-lids-petdl16.aspx" TargetMode="External"/><Relationship Id="rId23" Type="http://schemas.openxmlformats.org/officeDocument/2006/relationships/hyperlink" Target="https://cardconnect.com/launchpointe/running-a-business/food-truck-startup-costs" TargetMode="External"/><Relationship Id="rId10" Type="http://schemas.openxmlformats.org/officeDocument/2006/relationships/hyperlink" Target="https://builtbycommunity.org/wp-content/uploads/2016/07/new_user_checklist_with_logo-1.pdf" TargetMode="External"/><Relationship Id="rId19" Type="http://schemas.openxmlformats.org/officeDocument/2006/relationships/hyperlink" Target="https://foodtruckempire.com/wp-content/uploads/2013/12/Swich-It-Up-Business-Plan-for-Submission.pdf" TargetMode="External"/><Relationship Id="rId4" Type="http://schemas.openxmlformats.org/officeDocument/2006/relationships/hyperlink" Target="../../Downloads/Farmers%20Market%20License%20Fillable%20Application%20(1).pdf" TargetMode="External"/><Relationship Id="rId9" Type="http://schemas.openxmlformats.org/officeDocument/2006/relationships/hyperlink" Target="https://builtbycommunity.org/wp-content/uploads/2016/07/user_guide-_scheduling_and_facility_with_logo.pdf" TargetMode="External"/><Relationship Id="rId14" Type="http://schemas.openxmlformats.org/officeDocument/2006/relationships/hyperlink" Target="https://greenpaperproducts.com/16oz-compostable-bowls-clear-pet-dome-lids-petdl16.aspx" TargetMode="External"/><Relationship Id="rId22" Type="http://schemas.openxmlformats.org/officeDocument/2006/relationships/hyperlink" Target="https://www.icgov.org/city-government/departments-and-divisions/neighborhood-and-development-services/economic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C218"/>
  <sheetViews>
    <sheetView tabSelected="1" zoomScale="101" zoomScaleNormal="145" workbookViewId="0">
      <selection activeCell="B1" sqref="B1:P49"/>
    </sheetView>
  </sheetViews>
  <sheetFormatPr baseColWidth="10" defaultColWidth="8.83203125" defaultRowHeight="13" x14ac:dyDescent="0.15"/>
  <cols>
    <col min="1" max="2" width="1.33203125" customWidth="1"/>
    <col min="3" max="3" width="27.5" customWidth="1"/>
    <col min="4" max="5" width="9.6640625" customWidth="1"/>
    <col min="6" max="6" width="9.83203125" customWidth="1"/>
    <col min="7" max="20" width="9.6640625" customWidth="1"/>
    <col min="21" max="21" width="9.1640625" customWidth="1"/>
    <col min="33" max="33" width="9.6640625" bestFit="1" customWidth="1"/>
    <col min="36" max="36" width="9.5" bestFit="1" customWidth="1"/>
    <col min="47" max="47" width="22.83203125" customWidth="1"/>
    <col min="50" max="50" width="21.83203125" customWidth="1"/>
    <col min="53" max="53" width="24.83203125" customWidth="1"/>
  </cols>
  <sheetData>
    <row r="1" spans="1:40" x14ac:dyDescent="0.15">
      <c r="A1" s="1"/>
      <c r="B1" s="2"/>
      <c r="C1" s="39" t="s">
        <v>23</v>
      </c>
      <c r="D1" s="32"/>
      <c r="E1" s="33"/>
      <c r="F1" s="33"/>
      <c r="G1" s="33"/>
      <c r="H1" s="33"/>
      <c r="I1" s="33"/>
      <c r="J1" s="33"/>
      <c r="K1" s="33"/>
      <c r="L1" s="33"/>
      <c r="M1" s="34"/>
      <c r="N1" s="34"/>
      <c r="O1" s="34"/>
      <c r="P1" s="34"/>
    </row>
    <row r="2" spans="1:40" x14ac:dyDescent="0.15">
      <c r="A2" s="2"/>
      <c r="B2" s="2"/>
      <c r="C2" s="8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9"/>
    </row>
    <row r="3" spans="1:40" ht="14" thickBot="1" x14ac:dyDescent="0.2">
      <c r="A3" s="2"/>
      <c r="B3" s="2"/>
      <c r="C3" s="14" t="s">
        <v>13</v>
      </c>
      <c r="D3" s="7" t="s">
        <v>0</v>
      </c>
      <c r="E3" s="7" t="s">
        <v>1</v>
      </c>
      <c r="F3" s="7" t="s">
        <v>2</v>
      </c>
      <c r="G3" s="7" t="s">
        <v>3</v>
      </c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7" t="s">
        <v>9</v>
      </c>
      <c r="N3" s="7" t="s">
        <v>10</v>
      </c>
      <c r="O3" s="7" t="s">
        <v>11</v>
      </c>
      <c r="P3" s="16" t="s">
        <v>12</v>
      </c>
    </row>
    <row r="4" spans="1:40" x14ac:dyDescent="0.15">
      <c r="A4" s="2"/>
      <c r="B4" s="2"/>
      <c r="C4" s="19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R4" s="55"/>
    </row>
    <row r="5" spans="1:40" x14ac:dyDescent="0.15">
      <c r="A5" s="2"/>
      <c r="B5" s="2"/>
      <c r="C5" s="4" t="s">
        <v>14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10"/>
    </row>
    <row r="6" spans="1:40" x14ac:dyDescent="0.15">
      <c r="A6" s="2"/>
      <c r="B6" s="2"/>
      <c r="C6" s="56" t="s">
        <v>43</v>
      </c>
      <c r="D6" s="124">
        <v>14957.71875</v>
      </c>
      <c r="E6" s="124">
        <v>14957.71875</v>
      </c>
      <c r="F6" s="124">
        <v>4985.90625</v>
      </c>
      <c r="G6" s="124">
        <v>4985.90625</v>
      </c>
      <c r="H6" s="124">
        <v>4985.90625</v>
      </c>
      <c r="I6" s="124">
        <v>4985.90625</v>
      </c>
      <c r="J6" s="124">
        <v>4985.90625</v>
      </c>
      <c r="K6" s="124">
        <v>4985.90625</v>
      </c>
      <c r="L6" s="124">
        <v>29915.4375</v>
      </c>
      <c r="M6" s="124">
        <v>29915.4375</v>
      </c>
      <c r="N6" s="124">
        <v>14957.71875</v>
      </c>
      <c r="O6" s="124">
        <v>14957.71875</v>
      </c>
      <c r="P6" s="125">
        <v>149577.1875</v>
      </c>
    </row>
    <row r="7" spans="1:40" x14ac:dyDescent="0.15">
      <c r="A7" s="2"/>
      <c r="B7" s="2"/>
      <c r="C7" s="18" t="s">
        <v>44</v>
      </c>
      <c r="D7" s="126">
        <v>7091.0666666666666</v>
      </c>
      <c r="E7" s="126">
        <v>7091.0666666666666</v>
      </c>
      <c r="F7" s="126">
        <v>10636.6</v>
      </c>
      <c r="G7" s="126">
        <v>10636.6</v>
      </c>
      <c r="H7" s="126">
        <v>10636.6</v>
      </c>
      <c r="I7" s="126">
        <v>10636.6</v>
      </c>
      <c r="J7" s="126">
        <v>10636.6</v>
      </c>
      <c r="K7" s="126">
        <v>10636.6</v>
      </c>
      <c r="L7" s="126">
        <v>7091.0666666666666</v>
      </c>
      <c r="M7" s="126">
        <v>7091.0666666666666</v>
      </c>
      <c r="N7" s="126">
        <v>7091.0666666666666</v>
      </c>
      <c r="O7" s="126">
        <v>7091.0666666666666</v>
      </c>
      <c r="P7" s="114">
        <v>106366</v>
      </c>
      <c r="X7" s="55"/>
      <c r="AH7" s="55"/>
      <c r="AI7" s="55"/>
      <c r="AJ7" s="55"/>
      <c r="AK7" s="55"/>
      <c r="AL7" s="55"/>
      <c r="AM7" s="55"/>
      <c r="AN7" s="55"/>
    </row>
    <row r="8" spans="1:40" ht="14" thickBot="1" x14ac:dyDescent="0.2">
      <c r="A8" s="2"/>
      <c r="B8" s="2"/>
      <c r="C8" s="18" t="s">
        <v>46</v>
      </c>
      <c r="D8" s="126">
        <v>7179.7050000000008</v>
      </c>
      <c r="E8" s="126">
        <v>7179.7050000000008</v>
      </c>
      <c r="F8" s="126">
        <v>4786.47</v>
      </c>
      <c r="G8" s="126">
        <v>4786.47</v>
      </c>
      <c r="H8" s="126">
        <v>4786.47</v>
      </c>
      <c r="I8" s="126">
        <v>4786.47</v>
      </c>
      <c r="J8" s="126">
        <v>4786.47</v>
      </c>
      <c r="K8" s="126">
        <v>4786.47</v>
      </c>
      <c r="L8" s="126">
        <v>7179.7050000000008</v>
      </c>
      <c r="M8" s="126">
        <v>7179.7050000000008</v>
      </c>
      <c r="N8" s="126">
        <v>7179.7050000000008</v>
      </c>
      <c r="O8" s="126">
        <v>7179.7050000000008</v>
      </c>
      <c r="P8" s="114">
        <v>71797.05</v>
      </c>
      <c r="Q8" s="55"/>
      <c r="S8" s="55"/>
      <c r="X8" s="55"/>
      <c r="AI8" s="55"/>
      <c r="AJ8" s="55"/>
      <c r="AK8" s="55"/>
      <c r="AL8" s="55"/>
      <c r="AM8" s="55"/>
      <c r="AN8" s="55"/>
    </row>
    <row r="9" spans="1:40" ht="14" thickBot="1" x14ac:dyDescent="0.2">
      <c r="A9" s="2"/>
      <c r="B9" s="2"/>
      <c r="C9" s="25" t="s">
        <v>22</v>
      </c>
      <c r="D9" s="118">
        <f>SUM(D6:D8)</f>
        <v>29228.490416666667</v>
      </c>
      <c r="E9" s="118">
        <f t="shared" ref="E9:O9" si="0">SUM(E6:E8)</f>
        <v>29228.490416666667</v>
      </c>
      <c r="F9" s="118">
        <f t="shared" si="0"/>
        <v>20408.97625</v>
      </c>
      <c r="G9" s="118">
        <f t="shared" si="0"/>
        <v>20408.97625</v>
      </c>
      <c r="H9" s="118">
        <f t="shared" si="0"/>
        <v>20408.97625</v>
      </c>
      <c r="I9" s="118">
        <f t="shared" si="0"/>
        <v>20408.97625</v>
      </c>
      <c r="J9" s="118">
        <f t="shared" si="0"/>
        <v>20408.97625</v>
      </c>
      <c r="K9" s="118">
        <f t="shared" si="0"/>
        <v>20408.97625</v>
      </c>
      <c r="L9" s="118">
        <f>SUM(L6:L8)</f>
        <v>44186.209166666667</v>
      </c>
      <c r="M9" s="118">
        <f>SUM(M6:M8)</f>
        <v>44186.209166666667</v>
      </c>
      <c r="N9" s="118">
        <f t="shared" si="0"/>
        <v>29228.490416666667</v>
      </c>
      <c r="O9" s="118">
        <f t="shared" si="0"/>
        <v>29228.490416666667</v>
      </c>
      <c r="P9" s="119">
        <f>SUM(P6:P8)</f>
        <v>327740.23749999999</v>
      </c>
      <c r="Q9" s="55"/>
      <c r="R9">
        <f>SUM(P45+P16)*0.4</f>
        <v>89001.668818181832</v>
      </c>
      <c r="X9" s="55"/>
      <c r="Z9" s="55"/>
      <c r="AB9" s="55"/>
    </row>
    <row r="10" spans="1:40" x14ac:dyDescent="0.15">
      <c r="A10" s="2"/>
      <c r="B10" s="2"/>
      <c r="C10" s="17"/>
      <c r="D10" s="127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9"/>
      <c r="Q10" s="55"/>
      <c r="R10" s="94">
        <f>SUM(P45+R9)</f>
        <v>230602.27813636366</v>
      </c>
      <c r="X10" s="55"/>
      <c r="Z10" s="55"/>
    </row>
    <row r="11" spans="1:40" x14ac:dyDescent="0.15">
      <c r="A11" s="2"/>
      <c r="B11" s="2"/>
      <c r="C11" s="49" t="s">
        <v>17</v>
      </c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1"/>
      <c r="Q11" s="55"/>
      <c r="X11" s="55"/>
    </row>
    <row r="12" spans="1:40" x14ac:dyDescent="0.15">
      <c r="A12" s="2"/>
      <c r="B12" s="2"/>
      <c r="C12" s="50" t="s">
        <v>35</v>
      </c>
      <c r="D12" s="12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14"/>
      <c r="R12">
        <f>SUM(80904/231525)</f>
        <v>0.34943958535795272</v>
      </c>
      <c r="X12" s="55"/>
      <c r="Z12" s="55"/>
    </row>
    <row r="13" spans="1:40" x14ac:dyDescent="0.15">
      <c r="A13" s="2"/>
      <c r="B13" s="2"/>
      <c r="C13" s="50" t="s">
        <v>109</v>
      </c>
      <c r="D13" s="112">
        <v>4071.8125</v>
      </c>
      <c r="E13" s="112">
        <v>4071.8125</v>
      </c>
      <c r="F13" s="112">
        <v>1357.2708333333333</v>
      </c>
      <c r="G13" s="112">
        <v>1357.2708333333333</v>
      </c>
      <c r="H13" s="112">
        <v>1357.2708333333333</v>
      </c>
      <c r="I13" s="112">
        <v>1357.2708333333333</v>
      </c>
      <c r="J13" s="112">
        <v>1357.2708333333333</v>
      </c>
      <c r="K13" s="112">
        <v>1357.2708333333333</v>
      </c>
      <c r="L13" s="112">
        <v>8143.625</v>
      </c>
      <c r="M13" s="112">
        <v>8143.625</v>
      </c>
      <c r="N13" s="112">
        <v>4071.8125</v>
      </c>
      <c r="O13" s="112">
        <v>4071.8125</v>
      </c>
      <c r="P13" s="114">
        <v>40718.125</v>
      </c>
      <c r="R13">
        <f>SUM(P45*0.8)</f>
        <v>113280.48745454545</v>
      </c>
      <c r="X13" s="55"/>
    </row>
    <row r="14" spans="1:40" x14ac:dyDescent="0.15">
      <c r="A14" s="2"/>
      <c r="B14" s="2"/>
      <c r="C14" s="50" t="s">
        <v>110</v>
      </c>
      <c r="D14" s="120">
        <v>2528.7741818181821</v>
      </c>
      <c r="E14" s="130">
        <v>2528.7741818181821</v>
      </c>
      <c r="F14" s="130">
        <v>3793.1612727272723</v>
      </c>
      <c r="G14" s="130">
        <v>3793.1612727272723</v>
      </c>
      <c r="H14" s="130">
        <v>3793.1612727272723</v>
      </c>
      <c r="I14" s="130">
        <v>3793.1612727272723</v>
      </c>
      <c r="J14" s="130">
        <v>3793.1612727272723</v>
      </c>
      <c r="K14" s="130">
        <v>3793.1612727272723</v>
      </c>
      <c r="L14" s="130">
        <v>2528.7741818181821</v>
      </c>
      <c r="M14" s="130">
        <v>2528.7741818181821</v>
      </c>
      <c r="N14" s="130">
        <v>2528.7741818181821</v>
      </c>
      <c r="O14" s="130">
        <v>2528.7741818181821</v>
      </c>
      <c r="P14" s="114">
        <v>37931.612727272724</v>
      </c>
      <c r="R14" s="94">
        <f>SUM(R13+P45)</f>
        <v>254881.09677272727</v>
      </c>
      <c r="X14" s="55"/>
    </row>
    <row r="15" spans="1:40" ht="14" thickBot="1" x14ac:dyDescent="0.2">
      <c r="A15" s="2"/>
      <c r="B15" s="2"/>
      <c r="C15" s="93" t="s">
        <v>111</v>
      </c>
      <c r="D15" s="121">
        <v>225.38249999999999</v>
      </c>
      <c r="E15" s="132">
        <v>225.38249999999999</v>
      </c>
      <c r="F15" s="132">
        <v>150.25500000000002</v>
      </c>
      <c r="G15" s="132">
        <v>150.25500000000002</v>
      </c>
      <c r="H15" s="132">
        <v>150.25500000000002</v>
      </c>
      <c r="I15" s="132">
        <v>150.25500000000002</v>
      </c>
      <c r="J15" s="132">
        <v>150.25500000000002</v>
      </c>
      <c r="K15" s="132">
        <v>150.25500000000002</v>
      </c>
      <c r="L15" s="132">
        <v>225.38249999999999</v>
      </c>
      <c r="M15" s="132">
        <v>225.38249999999999</v>
      </c>
      <c r="N15" s="132">
        <v>225.38249999999999</v>
      </c>
      <c r="O15" s="132">
        <v>225.38249999999999</v>
      </c>
      <c r="P15" s="114">
        <v>2253.8249999999998</v>
      </c>
      <c r="X15" s="55"/>
    </row>
    <row r="16" spans="1:40" ht="14" thickBot="1" x14ac:dyDescent="0.2">
      <c r="A16" s="2"/>
      <c r="B16" s="2"/>
      <c r="C16" s="25" t="s">
        <v>15</v>
      </c>
      <c r="D16" s="123">
        <f t="shared" ref="D16:P16" si="1">SUM(D12:D15)</f>
        <v>6825.9691818181818</v>
      </c>
      <c r="E16" s="123">
        <f t="shared" si="1"/>
        <v>6825.9691818181818</v>
      </c>
      <c r="F16" s="123">
        <f t="shared" si="1"/>
        <v>5300.6871060606054</v>
      </c>
      <c r="G16" s="123">
        <f t="shared" si="1"/>
        <v>5300.6871060606054</v>
      </c>
      <c r="H16" s="123">
        <f t="shared" si="1"/>
        <v>5300.6871060606054</v>
      </c>
      <c r="I16" s="123">
        <f t="shared" si="1"/>
        <v>5300.6871060606054</v>
      </c>
      <c r="J16" s="123">
        <f t="shared" si="1"/>
        <v>5300.6871060606054</v>
      </c>
      <c r="K16" s="123">
        <f t="shared" si="1"/>
        <v>5300.6871060606054</v>
      </c>
      <c r="L16" s="123">
        <f t="shared" si="1"/>
        <v>10897.781681818182</v>
      </c>
      <c r="M16" s="123">
        <f t="shared" si="1"/>
        <v>10897.781681818182</v>
      </c>
      <c r="N16" s="123">
        <f t="shared" si="1"/>
        <v>6825.9691818181818</v>
      </c>
      <c r="O16" s="123">
        <f t="shared" si="1"/>
        <v>6825.9691818181818</v>
      </c>
      <c r="P16" s="119">
        <f t="shared" si="1"/>
        <v>80903.562727272729</v>
      </c>
    </row>
    <row r="17" spans="1:25" x14ac:dyDescent="0.15">
      <c r="A17" s="2"/>
      <c r="B17" s="2"/>
      <c r="C17" s="26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4"/>
    </row>
    <row r="18" spans="1:25" x14ac:dyDescent="0.15">
      <c r="A18" s="2"/>
      <c r="B18" s="2"/>
      <c r="C18" s="27" t="s">
        <v>16</v>
      </c>
      <c r="D18" s="135">
        <f t="shared" ref="D18:P18" si="2">D9-D16</f>
        <v>22402.521234848486</v>
      </c>
      <c r="E18" s="135">
        <f t="shared" si="2"/>
        <v>22402.521234848486</v>
      </c>
      <c r="F18" s="135">
        <f t="shared" si="2"/>
        <v>15108.289143939393</v>
      </c>
      <c r="G18" s="135">
        <f t="shared" si="2"/>
        <v>15108.289143939393</v>
      </c>
      <c r="H18" s="135">
        <f t="shared" si="2"/>
        <v>15108.289143939393</v>
      </c>
      <c r="I18" s="135">
        <f t="shared" si="2"/>
        <v>15108.289143939393</v>
      </c>
      <c r="J18" s="135">
        <f t="shared" si="2"/>
        <v>15108.289143939393</v>
      </c>
      <c r="K18" s="135">
        <f t="shared" si="2"/>
        <v>15108.289143939393</v>
      </c>
      <c r="L18" s="135">
        <f t="shared" si="2"/>
        <v>33288.427484848486</v>
      </c>
      <c r="M18" s="135">
        <f t="shared" si="2"/>
        <v>33288.427484848486</v>
      </c>
      <c r="N18" s="135">
        <f t="shared" si="2"/>
        <v>22402.521234848486</v>
      </c>
      <c r="O18" s="135">
        <f t="shared" si="2"/>
        <v>22402.521234848486</v>
      </c>
      <c r="P18" s="136">
        <f t="shared" si="2"/>
        <v>246836.67477272724</v>
      </c>
    </row>
    <row r="19" spans="1:25" x14ac:dyDescent="0.15">
      <c r="A19" s="2"/>
      <c r="B19" s="52"/>
      <c r="C19" s="47" t="s">
        <v>34</v>
      </c>
      <c r="D19" s="53">
        <f>D18/D9</f>
        <v>0.76646179516935031</v>
      </c>
      <c r="E19" s="53">
        <f t="shared" ref="E19:P19" si="3">E18/E9</f>
        <v>0.76646179516935031</v>
      </c>
      <c r="F19" s="53">
        <f t="shared" si="3"/>
        <v>0.74027667820620813</v>
      </c>
      <c r="G19" s="53">
        <f t="shared" si="3"/>
        <v>0.74027667820620813</v>
      </c>
      <c r="H19" s="53">
        <f t="shared" si="3"/>
        <v>0.74027667820620813</v>
      </c>
      <c r="I19" s="53">
        <f t="shared" si="3"/>
        <v>0.74027667820620813</v>
      </c>
      <c r="J19" s="53">
        <f t="shared" si="3"/>
        <v>0.74027667820620813</v>
      </c>
      <c r="K19" s="53">
        <f t="shared" si="3"/>
        <v>0.74027667820620813</v>
      </c>
      <c r="L19" s="53">
        <f t="shared" si="3"/>
        <v>0.7533669014077975</v>
      </c>
      <c r="M19" s="53">
        <f t="shared" si="3"/>
        <v>0.7533669014077975</v>
      </c>
      <c r="N19" s="53">
        <f t="shared" si="3"/>
        <v>0.76646179516935031</v>
      </c>
      <c r="O19" s="53">
        <f t="shared" si="3"/>
        <v>0.76646179516935031</v>
      </c>
      <c r="P19" s="53">
        <f t="shared" si="3"/>
        <v>0.75314729938440117</v>
      </c>
    </row>
    <row r="20" spans="1:25" s="52" customFormat="1" x14ac:dyDescent="0.15">
      <c r="B20" s="2"/>
      <c r="C20" s="24"/>
      <c r="D20" s="137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9"/>
      <c r="Q20" s="52" t="s">
        <v>49</v>
      </c>
    </row>
    <row r="21" spans="1:25" x14ac:dyDescent="0.15">
      <c r="A21" s="2"/>
      <c r="B21" s="41"/>
      <c r="C21" s="37" t="s">
        <v>19</v>
      </c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40"/>
    </row>
    <row r="22" spans="1:25" s="42" customFormat="1" x14ac:dyDescent="0.15">
      <c r="A22" s="41"/>
      <c r="B22" s="41"/>
      <c r="C22" s="70" t="s">
        <v>24</v>
      </c>
      <c r="D22" s="132">
        <f>SUM((2*2000)+(4*1200))</f>
        <v>8800</v>
      </c>
      <c r="E22" s="132">
        <f t="shared" ref="E22:O22" si="4">SUM((2*2000)+(4*1200))</f>
        <v>8800</v>
      </c>
      <c r="F22" s="132">
        <f t="shared" si="4"/>
        <v>8800</v>
      </c>
      <c r="G22" s="132">
        <f t="shared" si="4"/>
        <v>8800</v>
      </c>
      <c r="H22" s="132">
        <f t="shared" si="4"/>
        <v>8800</v>
      </c>
      <c r="I22" s="132">
        <f t="shared" si="4"/>
        <v>8800</v>
      </c>
      <c r="J22" s="132">
        <f t="shared" si="4"/>
        <v>8800</v>
      </c>
      <c r="K22" s="132">
        <f t="shared" si="4"/>
        <v>8800</v>
      </c>
      <c r="L22" s="132">
        <f t="shared" si="4"/>
        <v>8800</v>
      </c>
      <c r="M22" s="132">
        <f t="shared" si="4"/>
        <v>8800</v>
      </c>
      <c r="N22" s="132">
        <f t="shared" si="4"/>
        <v>8800</v>
      </c>
      <c r="O22" s="132">
        <f t="shared" si="4"/>
        <v>8800</v>
      </c>
      <c r="P22" s="141">
        <f>SUM(D22:O22)</f>
        <v>105600</v>
      </c>
    </row>
    <row r="23" spans="1:25" s="42" customFormat="1" x14ac:dyDescent="0.15">
      <c r="A23" s="41"/>
      <c r="B23" s="41"/>
      <c r="C23" s="70"/>
      <c r="D23" s="132"/>
      <c r="E23" s="132"/>
      <c r="F23" s="142"/>
      <c r="G23" s="132"/>
      <c r="H23" s="132"/>
      <c r="I23" s="132"/>
      <c r="J23" s="132"/>
      <c r="K23" s="132"/>
      <c r="L23" s="132"/>
      <c r="M23" s="132"/>
      <c r="N23" s="132"/>
      <c r="O23" s="132"/>
      <c r="P23" s="141"/>
      <c r="T23" s="57" t="s">
        <v>83</v>
      </c>
      <c r="U23" s="57"/>
      <c r="X23" s="42" t="s">
        <v>86</v>
      </c>
    </row>
    <row r="24" spans="1:25" s="42" customFormat="1" x14ac:dyDescent="0.15">
      <c r="A24" s="41"/>
      <c r="B24" s="41"/>
      <c r="C24" s="70" t="s">
        <v>220</v>
      </c>
      <c r="D24" s="132">
        <v>500</v>
      </c>
      <c r="E24" s="132">
        <v>500</v>
      </c>
      <c r="F24" s="132">
        <v>500</v>
      </c>
      <c r="G24" s="132">
        <v>500</v>
      </c>
      <c r="H24" s="132">
        <v>500</v>
      </c>
      <c r="I24" s="132">
        <v>500</v>
      </c>
      <c r="J24" s="132">
        <v>500</v>
      </c>
      <c r="K24" s="132">
        <v>500</v>
      </c>
      <c r="L24" s="132">
        <v>500</v>
      </c>
      <c r="M24" s="132">
        <v>500</v>
      </c>
      <c r="N24" s="132">
        <v>500</v>
      </c>
      <c r="O24" s="132">
        <v>500</v>
      </c>
      <c r="P24" s="141">
        <f t="shared" ref="P24:P41" si="5">SUM(D24:O24)</f>
        <v>6000</v>
      </c>
    </row>
    <row r="25" spans="1:25" s="42" customFormat="1" x14ac:dyDescent="0.15">
      <c r="A25" s="41"/>
      <c r="B25" s="41"/>
      <c r="C25" s="70" t="s">
        <v>18</v>
      </c>
      <c r="D25" s="132">
        <v>80</v>
      </c>
      <c r="E25" s="132">
        <v>70</v>
      </c>
      <c r="F25" s="132">
        <v>70</v>
      </c>
      <c r="G25" s="132">
        <v>70</v>
      </c>
      <c r="H25" s="132">
        <v>70</v>
      </c>
      <c r="I25" s="132">
        <v>80</v>
      </c>
      <c r="J25" s="132">
        <v>80</v>
      </c>
      <c r="K25" s="132">
        <v>70</v>
      </c>
      <c r="L25" s="132">
        <v>70</v>
      </c>
      <c r="M25" s="132">
        <v>70</v>
      </c>
      <c r="N25" s="132">
        <v>70</v>
      </c>
      <c r="O25" s="132">
        <v>80</v>
      </c>
      <c r="P25" s="141">
        <f t="shared" si="5"/>
        <v>880</v>
      </c>
      <c r="Q25" s="57" t="s">
        <v>69</v>
      </c>
      <c r="R25" s="42" t="s">
        <v>70</v>
      </c>
      <c r="T25" s="57" t="s">
        <v>51</v>
      </c>
      <c r="U25" s="57"/>
    </row>
    <row r="26" spans="1:25" s="42" customFormat="1" x14ac:dyDescent="0.15">
      <c r="A26" s="41"/>
      <c r="B26" s="41"/>
      <c r="C26" s="70" t="s">
        <v>54</v>
      </c>
      <c r="D26" s="132">
        <v>200</v>
      </c>
      <c r="E26" s="132">
        <v>0</v>
      </c>
      <c r="F26" s="132">
        <v>0</v>
      </c>
      <c r="G26" s="132">
        <v>0</v>
      </c>
      <c r="H26" s="132">
        <v>150</v>
      </c>
      <c r="I26" s="132">
        <v>0</v>
      </c>
      <c r="J26" s="132">
        <v>0</v>
      </c>
      <c r="K26" s="132">
        <v>0</v>
      </c>
      <c r="L26" s="132">
        <v>200</v>
      </c>
      <c r="M26" s="132">
        <v>0</v>
      </c>
      <c r="N26" s="132">
        <v>0</v>
      </c>
      <c r="O26" s="132">
        <v>0</v>
      </c>
      <c r="P26" s="141">
        <f t="shared" si="5"/>
        <v>550</v>
      </c>
      <c r="Q26" s="58" t="s">
        <v>82</v>
      </c>
    </row>
    <row r="27" spans="1:25" s="42" customFormat="1" x14ac:dyDescent="0.15">
      <c r="A27" s="41"/>
      <c r="B27" s="41"/>
      <c r="C27" s="70" t="s">
        <v>64</v>
      </c>
      <c r="D27" s="132">
        <v>1000</v>
      </c>
      <c r="E27" s="132">
        <v>0</v>
      </c>
      <c r="F27" s="132">
        <v>0</v>
      </c>
      <c r="G27" s="132">
        <v>0</v>
      </c>
      <c r="H27" s="132">
        <v>0</v>
      </c>
      <c r="I27" s="132">
        <v>0</v>
      </c>
      <c r="J27" s="132">
        <v>0</v>
      </c>
      <c r="K27" s="132">
        <v>0</v>
      </c>
      <c r="L27" s="132">
        <v>0</v>
      </c>
      <c r="M27" s="132">
        <v>0</v>
      </c>
      <c r="N27" s="132">
        <v>0</v>
      </c>
      <c r="O27" s="132">
        <v>0</v>
      </c>
      <c r="P27" s="141">
        <f t="shared" si="5"/>
        <v>1000</v>
      </c>
      <c r="Q27" s="57" t="s">
        <v>52</v>
      </c>
    </row>
    <row r="28" spans="1:25" s="42" customFormat="1" x14ac:dyDescent="0.15">
      <c r="A28" s="41"/>
      <c r="B28" s="41"/>
      <c r="C28" s="71" t="s">
        <v>59</v>
      </c>
      <c r="D28" s="130">
        <v>99</v>
      </c>
      <c r="E28" s="130">
        <v>0</v>
      </c>
      <c r="F28" s="130">
        <v>0</v>
      </c>
      <c r="G28" s="130">
        <v>0</v>
      </c>
      <c r="H28" s="130">
        <v>0</v>
      </c>
      <c r="I28" s="130">
        <v>0</v>
      </c>
      <c r="J28" s="130">
        <v>0</v>
      </c>
      <c r="K28" s="130">
        <v>0</v>
      </c>
      <c r="L28" s="130">
        <v>0</v>
      </c>
      <c r="M28" s="130">
        <v>0</v>
      </c>
      <c r="N28" s="130">
        <v>0</v>
      </c>
      <c r="O28" s="130">
        <v>0</v>
      </c>
      <c r="P28" s="141">
        <f t="shared" si="5"/>
        <v>99</v>
      </c>
      <c r="Q28" s="58" t="s">
        <v>53</v>
      </c>
      <c r="R28" s="42" t="s">
        <v>63</v>
      </c>
      <c r="V28" s="42" t="s">
        <v>65</v>
      </c>
      <c r="X28" s="57" t="s">
        <v>52</v>
      </c>
      <c r="Y28" s="58"/>
    </row>
    <row r="29" spans="1:25" s="42" customFormat="1" x14ac:dyDescent="0.15">
      <c r="A29" s="41"/>
      <c r="B29" s="41"/>
      <c r="C29" s="71" t="s">
        <v>42</v>
      </c>
      <c r="D29" s="130">
        <v>150</v>
      </c>
      <c r="E29" s="130">
        <v>0</v>
      </c>
      <c r="F29" s="130">
        <v>0</v>
      </c>
      <c r="G29" s="130">
        <v>0</v>
      </c>
      <c r="H29" s="130">
        <v>0</v>
      </c>
      <c r="I29" s="130">
        <v>0</v>
      </c>
      <c r="J29" s="130">
        <v>0</v>
      </c>
      <c r="K29" s="130">
        <v>0</v>
      </c>
      <c r="L29" s="130">
        <v>0</v>
      </c>
      <c r="M29" s="130">
        <v>0</v>
      </c>
      <c r="N29" s="130">
        <v>0</v>
      </c>
      <c r="O29" s="130">
        <v>0</v>
      </c>
      <c r="P29" s="141">
        <f t="shared" si="5"/>
        <v>150</v>
      </c>
      <c r="Q29" s="57" t="s">
        <v>60</v>
      </c>
      <c r="X29" s="57"/>
      <c r="Y29" s="57"/>
    </row>
    <row r="30" spans="1:25" s="42" customFormat="1" x14ac:dyDescent="0.15">
      <c r="A30" s="41"/>
      <c r="B30" s="41"/>
      <c r="C30" s="71" t="s">
        <v>45</v>
      </c>
      <c r="D30" s="130">
        <v>0</v>
      </c>
      <c r="E30" s="130">
        <v>0</v>
      </c>
      <c r="F30" s="130">
        <v>0</v>
      </c>
      <c r="G30" s="130">
        <v>0</v>
      </c>
      <c r="H30" s="130">
        <v>0</v>
      </c>
      <c r="I30" s="130">
        <v>50</v>
      </c>
      <c r="J30" s="130">
        <v>0</v>
      </c>
      <c r="K30" s="130">
        <v>0</v>
      </c>
      <c r="L30" s="130">
        <v>0</v>
      </c>
      <c r="M30" s="130">
        <v>0</v>
      </c>
      <c r="N30" s="130">
        <v>50</v>
      </c>
      <c r="O30" s="130">
        <v>0</v>
      </c>
      <c r="P30" s="141">
        <f t="shared" si="5"/>
        <v>100</v>
      </c>
      <c r="Q30" s="58" t="s">
        <v>60</v>
      </c>
      <c r="R30" s="42" t="s">
        <v>61</v>
      </c>
      <c r="Y30" s="42" t="s">
        <v>48</v>
      </c>
    </row>
    <row r="31" spans="1:25" s="42" customFormat="1" x14ac:dyDescent="0.15">
      <c r="A31" s="41"/>
      <c r="B31" s="41"/>
      <c r="C31" s="71" t="s">
        <v>41</v>
      </c>
      <c r="D31" s="130">
        <v>250</v>
      </c>
      <c r="E31" s="130">
        <v>0</v>
      </c>
      <c r="F31" s="130">
        <v>0</v>
      </c>
      <c r="G31" s="130">
        <v>0</v>
      </c>
      <c r="H31" s="130">
        <v>0</v>
      </c>
      <c r="I31" s="130">
        <v>0</v>
      </c>
      <c r="J31" s="130">
        <v>0</v>
      </c>
      <c r="K31" s="130">
        <v>0</v>
      </c>
      <c r="L31" s="130">
        <v>0</v>
      </c>
      <c r="M31" s="130">
        <v>0</v>
      </c>
      <c r="N31" s="130">
        <v>0</v>
      </c>
      <c r="O31" s="130">
        <v>0</v>
      </c>
      <c r="P31" s="141">
        <f t="shared" si="5"/>
        <v>250</v>
      </c>
      <c r="Q31" s="57" t="s">
        <v>57</v>
      </c>
      <c r="R31" s="42" t="s">
        <v>58</v>
      </c>
    </row>
    <row r="32" spans="1:25" s="42" customFormat="1" x14ac:dyDescent="0.15">
      <c r="A32" s="41"/>
      <c r="B32" s="41"/>
      <c r="C32" s="71" t="s">
        <v>40</v>
      </c>
      <c r="D32" s="130">
        <v>105</v>
      </c>
      <c r="E32" s="130">
        <v>105</v>
      </c>
      <c r="F32" s="130">
        <v>105</v>
      </c>
      <c r="G32" s="130">
        <v>105</v>
      </c>
      <c r="H32" s="130">
        <v>105</v>
      </c>
      <c r="I32" s="130">
        <v>105</v>
      </c>
      <c r="J32" s="130">
        <v>105</v>
      </c>
      <c r="K32" s="130">
        <v>105</v>
      </c>
      <c r="L32" s="130">
        <v>105</v>
      </c>
      <c r="M32" s="130">
        <v>105</v>
      </c>
      <c r="N32" s="130">
        <v>105</v>
      </c>
      <c r="O32" s="130">
        <v>105</v>
      </c>
      <c r="P32" s="141">
        <f t="shared" si="5"/>
        <v>1260</v>
      </c>
      <c r="Q32" s="57" t="s">
        <v>56</v>
      </c>
      <c r="R32" s="42" t="s">
        <v>50</v>
      </c>
      <c r="S32" s="57" t="s">
        <v>60</v>
      </c>
      <c r="T32" s="42" t="s">
        <v>62</v>
      </c>
    </row>
    <row r="33" spans="1:23" s="42" customFormat="1" ht="14" customHeight="1" x14ac:dyDescent="0.15">
      <c r="A33" s="41"/>
      <c r="B33" s="41"/>
      <c r="C33" s="71" t="s">
        <v>84</v>
      </c>
      <c r="D33" s="130">
        <v>45</v>
      </c>
      <c r="E33" s="130">
        <v>45</v>
      </c>
      <c r="F33" s="130">
        <v>45</v>
      </c>
      <c r="G33" s="130">
        <v>45</v>
      </c>
      <c r="H33" s="130">
        <v>45</v>
      </c>
      <c r="I33" s="130">
        <v>45</v>
      </c>
      <c r="J33" s="130">
        <v>45</v>
      </c>
      <c r="K33" s="130">
        <v>45</v>
      </c>
      <c r="L33" s="130">
        <v>45</v>
      </c>
      <c r="M33" s="130">
        <v>45</v>
      </c>
      <c r="N33" s="130">
        <v>45</v>
      </c>
      <c r="O33" s="130">
        <v>45</v>
      </c>
      <c r="P33" s="141">
        <f t="shared" si="5"/>
        <v>540</v>
      </c>
      <c r="Q33" s="57" t="s">
        <v>85</v>
      </c>
    </row>
    <row r="34" spans="1:23" s="42" customFormat="1" ht="14" customHeight="1" x14ac:dyDescent="0.15">
      <c r="A34" s="41"/>
      <c r="B34" s="41"/>
      <c r="C34" s="71" t="s">
        <v>39</v>
      </c>
      <c r="D34" s="130">
        <v>135</v>
      </c>
      <c r="E34" s="130">
        <v>135</v>
      </c>
      <c r="F34" s="130">
        <v>135</v>
      </c>
      <c r="G34" s="130">
        <v>135</v>
      </c>
      <c r="H34" s="130">
        <v>135</v>
      </c>
      <c r="I34" s="130">
        <v>135</v>
      </c>
      <c r="J34" s="130">
        <v>135</v>
      </c>
      <c r="K34" s="130">
        <v>135</v>
      </c>
      <c r="L34" s="130">
        <v>135</v>
      </c>
      <c r="M34" s="130">
        <v>135</v>
      </c>
      <c r="N34" s="130">
        <v>135</v>
      </c>
      <c r="O34" s="130">
        <v>135</v>
      </c>
      <c r="P34" s="141">
        <f t="shared" si="5"/>
        <v>1620</v>
      </c>
      <c r="Q34" s="57" t="s">
        <v>85</v>
      </c>
    </row>
    <row r="35" spans="1:23" s="42" customFormat="1" x14ac:dyDescent="0.15">
      <c r="A35" s="41"/>
      <c r="B35" s="41"/>
      <c r="C35" s="71" t="s">
        <v>47</v>
      </c>
      <c r="D35" s="130">
        <v>710</v>
      </c>
      <c r="E35" s="130">
        <v>510</v>
      </c>
      <c r="F35" s="130">
        <v>510</v>
      </c>
      <c r="G35" s="130">
        <v>510</v>
      </c>
      <c r="H35" s="130">
        <v>510</v>
      </c>
      <c r="I35" s="130">
        <v>510</v>
      </c>
      <c r="J35" s="130">
        <v>510</v>
      </c>
      <c r="K35" s="130">
        <v>510</v>
      </c>
      <c r="L35" s="130">
        <v>510</v>
      </c>
      <c r="M35" s="130">
        <v>510</v>
      </c>
      <c r="N35" s="130">
        <v>510</v>
      </c>
      <c r="O35" s="130">
        <v>510</v>
      </c>
      <c r="P35" s="141">
        <f t="shared" si="5"/>
        <v>6320</v>
      </c>
      <c r="Q35" s="57" t="s">
        <v>85</v>
      </c>
    </row>
    <row r="36" spans="1:23" s="42" customFormat="1" x14ac:dyDescent="0.15">
      <c r="A36" s="41"/>
      <c r="B36" s="41"/>
      <c r="C36" s="71" t="s">
        <v>36</v>
      </c>
      <c r="D36" s="132">
        <v>90</v>
      </c>
      <c r="E36" s="132">
        <v>90</v>
      </c>
      <c r="F36" s="132">
        <v>90</v>
      </c>
      <c r="G36" s="132">
        <v>90</v>
      </c>
      <c r="H36" s="132">
        <v>90</v>
      </c>
      <c r="I36" s="132">
        <v>90</v>
      </c>
      <c r="J36" s="132">
        <v>90</v>
      </c>
      <c r="K36" s="132">
        <v>90</v>
      </c>
      <c r="L36" s="132">
        <v>90</v>
      </c>
      <c r="M36" s="132">
        <v>90</v>
      </c>
      <c r="N36" s="132">
        <v>90</v>
      </c>
      <c r="O36" s="132">
        <v>90</v>
      </c>
      <c r="P36" s="141">
        <f t="shared" si="5"/>
        <v>1080</v>
      </c>
      <c r="Q36" s="57" t="s">
        <v>66</v>
      </c>
      <c r="R36" s="57" t="s">
        <v>67</v>
      </c>
      <c r="S36" s="42" t="s">
        <v>68</v>
      </c>
      <c r="W36" s="42" t="s">
        <v>71</v>
      </c>
    </row>
    <row r="37" spans="1:23" s="42" customFormat="1" x14ac:dyDescent="0.15">
      <c r="A37" s="41"/>
      <c r="B37" s="41"/>
      <c r="C37" s="71" t="s">
        <v>38</v>
      </c>
      <c r="D37" s="132">
        <f>SUM(114+117)</f>
        <v>231</v>
      </c>
      <c r="E37" s="132">
        <f>SUM(114+51)</f>
        <v>165</v>
      </c>
      <c r="F37" s="132">
        <f t="shared" ref="F37:O37" si="6">SUM(114+51)</f>
        <v>165</v>
      </c>
      <c r="G37" s="132">
        <f t="shared" si="6"/>
        <v>165</v>
      </c>
      <c r="H37" s="132">
        <f t="shared" si="6"/>
        <v>165</v>
      </c>
      <c r="I37" s="132">
        <f t="shared" si="6"/>
        <v>165</v>
      </c>
      <c r="J37" s="132">
        <f t="shared" si="6"/>
        <v>165</v>
      </c>
      <c r="K37" s="132">
        <f t="shared" si="6"/>
        <v>165</v>
      </c>
      <c r="L37" s="132">
        <f t="shared" si="6"/>
        <v>165</v>
      </c>
      <c r="M37" s="132">
        <f t="shared" si="6"/>
        <v>165</v>
      </c>
      <c r="N37" s="132">
        <f t="shared" si="6"/>
        <v>165</v>
      </c>
      <c r="O37" s="132">
        <f t="shared" si="6"/>
        <v>165</v>
      </c>
      <c r="P37" s="141">
        <f t="shared" si="5"/>
        <v>2046</v>
      </c>
      <c r="Q37" s="57"/>
      <c r="R37" s="57" t="s">
        <v>73</v>
      </c>
    </row>
    <row r="38" spans="1:23" s="42" customFormat="1" x14ac:dyDescent="0.15">
      <c r="A38" s="41"/>
      <c r="B38" s="41"/>
      <c r="C38" s="71" t="s">
        <v>78</v>
      </c>
      <c r="D38" s="132">
        <v>439</v>
      </c>
      <c r="E38" s="132">
        <v>0</v>
      </c>
      <c r="F38" s="132">
        <v>0</v>
      </c>
      <c r="G38" s="132">
        <v>0</v>
      </c>
      <c r="H38" s="132">
        <v>0</v>
      </c>
      <c r="I38" s="132">
        <v>0</v>
      </c>
      <c r="J38" s="132">
        <v>0</v>
      </c>
      <c r="K38" s="132">
        <v>0</v>
      </c>
      <c r="L38" s="132">
        <v>0</v>
      </c>
      <c r="M38" s="132">
        <v>0</v>
      </c>
      <c r="N38" s="132">
        <v>0</v>
      </c>
      <c r="O38" s="132">
        <v>0</v>
      </c>
      <c r="P38" s="141">
        <f t="shared" si="5"/>
        <v>439</v>
      </c>
      <c r="Q38" s="57" t="s">
        <v>74</v>
      </c>
      <c r="R38" s="58" t="s">
        <v>74</v>
      </c>
    </row>
    <row r="39" spans="1:23" s="42" customFormat="1" x14ac:dyDescent="0.15">
      <c r="A39" s="41"/>
      <c r="B39" s="41"/>
      <c r="C39" s="71" t="s">
        <v>77</v>
      </c>
      <c r="D39" s="132">
        <v>250</v>
      </c>
      <c r="E39" s="132">
        <v>27</v>
      </c>
      <c r="F39" s="132">
        <v>27</v>
      </c>
      <c r="G39" s="132">
        <v>27</v>
      </c>
      <c r="H39" s="132">
        <v>27</v>
      </c>
      <c r="I39" s="132">
        <v>87</v>
      </c>
      <c r="J39" s="132">
        <v>27</v>
      </c>
      <c r="K39" s="132">
        <v>27</v>
      </c>
      <c r="L39" s="132">
        <v>27</v>
      </c>
      <c r="M39" s="132">
        <v>27</v>
      </c>
      <c r="N39" s="132">
        <v>27</v>
      </c>
      <c r="O39" s="132">
        <v>27</v>
      </c>
      <c r="P39" s="141">
        <f t="shared" si="5"/>
        <v>607</v>
      </c>
      <c r="Q39" s="57" t="s">
        <v>52</v>
      </c>
    </row>
    <row r="40" spans="1:23" s="42" customFormat="1" x14ac:dyDescent="0.15">
      <c r="A40" s="41"/>
      <c r="B40" s="41"/>
      <c r="C40" s="70" t="s">
        <v>25</v>
      </c>
      <c r="D40" s="132">
        <v>80.300776515151782</v>
      </c>
      <c r="E40" s="132">
        <v>80.300776515151782</v>
      </c>
      <c r="F40" s="132">
        <v>80.300776515151782</v>
      </c>
      <c r="G40" s="132">
        <v>80.300776515151782</v>
      </c>
      <c r="H40" s="132">
        <v>80.300776515151782</v>
      </c>
      <c r="I40" s="132">
        <v>80.300776515151782</v>
      </c>
      <c r="J40" s="132">
        <v>80.300776515151782</v>
      </c>
      <c r="K40" s="132">
        <v>80.300776515151782</v>
      </c>
      <c r="L40" s="132">
        <v>80.300776515151782</v>
      </c>
      <c r="M40" s="132">
        <v>80.300776515151782</v>
      </c>
      <c r="N40" s="132">
        <v>80.300776515151782</v>
      </c>
      <c r="O40" s="132">
        <v>80.300776515151782</v>
      </c>
      <c r="P40" s="141">
        <f t="shared" si="5"/>
        <v>963.60931818182155</v>
      </c>
      <c r="Q40" s="57" t="s">
        <v>52</v>
      </c>
    </row>
    <row r="41" spans="1:23" s="43" customFormat="1" x14ac:dyDescent="0.15">
      <c r="A41" s="41"/>
      <c r="B41" s="41"/>
      <c r="C41" s="71" t="s">
        <v>37</v>
      </c>
      <c r="D41" s="132">
        <v>333</v>
      </c>
      <c r="E41" s="132">
        <v>333</v>
      </c>
      <c r="F41" s="132">
        <v>333</v>
      </c>
      <c r="G41" s="132">
        <v>333</v>
      </c>
      <c r="H41" s="132">
        <v>333</v>
      </c>
      <c r="I41" s="132">
        <v>333</v>
      </c>
      <c r="J41" s="132">
        <v>333</v>
      </c>
      <c r="K41" s="132">
        <v>333</v>
      </c>
      <c r="L41" s="132">
        <v>333</v>
      </c>
      <c r="M41" s="132">
        <v>333</v>
      </c>
      <c r="N41" s="132">
        <v>333</v>
      </c>
      <c r="O41" s="132">
        <v>333</v>
      </c>
      <c r="P41" s="141">
        <f t="shared" si="5"/>
        <v>3996</v>
      </c>
      <c r="Q41" s="57" t="s">
        <v>76</v>
      </c>
      <c r="R41" s="43" t="s">
        <v>75</v>
      </c>
    </row>
    <row r="42" spans="1:23" s="42" customFormat="1" x14ac:dyDescent="0.15">
      <c r="A42" s="41"/>
      <c r="B42" s="41"/>
      <c r="C42" s="71" t="s">
        <v>72</v>
      </c>
      <c r="D42" s="132">
        <v>24</v>
      </c>
      <c r="E42" s="132">
        <v>24</v>
      </c>
      <c r="F42" s="132">
        <v>24</v>
      </c>
      <c r="G42" s="132">
        <v>24</v>
      </c>
      <c r="H42" s="132">
        <v>24</v>
      </c>
      <c r="I42" s="132">
        <v>24</v>
      </c>
      <c r="J42" s="132">
        <v>24</v>
      </c>
      <c r="K42" s="132">
        <v>24</v>
      </c>
      <c r="L42" s="132">
        <v>24</v>
      </c>
      <c r="M42" s="132">
        <v>24</v>
      </c>
      <c r="N42" s="132">
        <v>24</v>
      </c>
      <c r="O42" s="132">
        <v>24</v>
      </c>
      <c r="P42" s="141">
        <f>SUM(D43:O43)</f>
        <v>3600</v>
      </c>
      <c r="Q42" s="57" t="s">
        <v>52</v>
      </c>
    </row>
    <row r="43" spans="1:23" s="42" customFormat="1" x14ac:dyDescent="0.15">
      <c r="A43" s="41"/>
      <c r="B43" s="41"/>
      <c r="C43" s="72" t="s">
        <v>55</v>
      </c>
      <c r="D43" s="132">
        <v>300</v>
      </c>
      <c r="E43" s="132">
        <v>300</v>
      </c>
      <c r="F43" s="132">
        <v>300</v>
      </c>
      <c r="G43" s="132">
        <v>300</v>
      </c>
      <c r="H43" s="132">
        <v>300</v>
      </c>
      <c r="I43" s="132">
        <v>300</v>
      </c>
      <c r="J43" s="132">
        <v>300</v>
      </c>
      <c r="K43" s="132">
        <v>300</v>
      </c>
      <c r="L43" s="132">
        <v>300</v>
      </c>
      <c r="M43" s="132">
        <v>300</v>
      </c>
      <c r="N43" s="132">
        <v>300</v>
      </c>
      <c r="O43" s="132">
        <v>300</v>
      </c>
      <c r="P43" s="141">
        <f>SUM(D43:O43)</f>
        <v>3600</v>
      </c>
      <c r="Q43" s="57" t="s">
        <v>79</v>
      </c>
    </row>
    <row r="44" spans="1:23" s="42" customFormat="1" ht="14" thickBot="1" x14ac:dyDescent="0.2">
      <c r="A44" s="41"/>
      <c r="B44" s="41"/>
      <c r="C44" s="72" t="s">
        <v>81</v>
      </c>
      <c r="D44" s="143">
        <v>75</v>
      </c>
      <c r="E44" s="143">
        <v>75</v>
      </c>
      <c r="F44" s="143">
        <v>75</v>
      </c>
      <c r="G44" s="143">
        <v>75</v>
      </c>
      <c r="H44" s="143">
        <v>75</v>
      </c>
      <c r="I44" s="143">
        <v>75</v>
      </c>
      <c r="J44" s="143">
        <v>75</v>
      </c>
      <c r="K44" s="143">
        <v>75</v>
      </c>
      <c r="L44" s="143">
        <v>75</v>
      </c>
      <c r="M44" s="143">
        <v>75</v>
      </c>
      <c r="N44" s="143">
        <v>75</v>
      </c>
      <c r="O44" s="143">
        <v>75</v>
      </c>
      <c r="P44" s="141">
        <f>SUM(D44:O44)</f>
        <v>900</v>
      </c>
      <c r="Q44" s="57" t="s">
        <v>80</v>
      </c>
    </row>
    <row r="45" spans="1:23" s="42" customFormat="1" ht="14" thickBot="1" x14ac:dyDescent="0.2">
      <c r="A45" s="41"/>
      <c r="B45" s="41"/>
      <c r="C45" s="38" t="s">
        <v>20</v>
      </c>
      <c r="D45" s="144">
        <f>SUM(D22:D44)</f>
        <v>13896.300776515152</v>
      </c>
      <c r="E45" s="144">
        <f>SUM(E22:E44)</f>
        <v>11259.300776515152</v>
      </c>
      <c r="F45" s="144">
        <f>SUM(F22:F44)</f>
        <v>11259.300776515152</v>
      </c>
      <c r="G45" s="144">
        <f>SUM(G22:G44)</f>
        <v>11259.300776515152</v>
      </c>
      <c r="H45" s="144">
        <f>SUM(H22:H44)</f>
        <v>11409.300776515152</v>
      </c>
      <c r="I45" s="144">
        <f>SUM(I22:I44)</f>
        <v>11379.300776515152</v>
      </c>
      <c r="J45" s="144">
        <f>SUM(J22:J44)</f>
        <v>11269.300776515152</v>
      </c>
      <c r="K45" s="144">
        <f>SUM(K22:K44)</f>
        <v>11259.300776515152</v>
      </c>
      <c r="L45" s="144">
        <f>SUM(L22:L44)</f>
        <v>11459.300776515152</v>
      </c>
      <c r="M45" s="144">
        <f>SUM(M22:M44)</f>
        <v>11259.300776515152</v>
      </c>
      <c r="N45" s="144">
        <f>SUM(N22:N44)</f>
        <v>11309.300776515152</v>
      </c>
      <c r="O45" s="144">
        <f>SUM(O22:O44)</f>
        <v>11269.300776515152</v>
      </c>
      <c r="P45" s="145">
        <f>SUM(P22:P44)</f>
        <v>141600.60931818181</v>
      </c>
    </row>
    <row r="46" spans="1:23" s="42" customFormat="1" x14ac:dyDescent="0.15">
      <c r="A46" s="41"/>
      <c r="B46" s="2"/>
      <c r="C46" s="26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9"/>
    </row>
    <row r="47" spans="1:23" x14ac:dyDescent="0.15">
      <c r="A47" s="2"/>
      <c r="B47" s="2"/>
      <c r="C47" s="36" t="s">
        <v>21</v>
      </c>
      <c r="D47" s="30">
        <f>D18-D45</f>
        <v>8506.2204583333332</v>
      </c>
      <c r="E47" s="30">
        <f>E18-E45</f>
        <v>11143.220458333333</v>
      </c>
      <c r="F47" s="30">
        <f>F18-F45</f>
        <v>3848.988367424241</v>
      </c>
      <c r="G47" s="30">
        <f>G18-G45</f>
        <v>3848.988367424241</v>
      </c>
      <c r="H47" s="30">
        <f>H18-H45</f>
        <v>3698.988367424241</v>
      </c>
      <c r="I47" s="30">
        <f>I18-I45</f>
        <v>3728.988367424241</v>
      </c>
      <c r="J47" s="30">
        <f>J18-J45</f>
        <v>3838.988367424241</v>
      </c>
      <c r="K47" s="30">
        <f>K18-K45</f>
        <v>3848.988367424241</v>
      </c>
      <c r="L47" s="30">
        <f>L18-L45</f>
        <v>21829.126708333333</v>
      </c>
      <c r="M47" s="30">
        <f>M18-M45</f>
        <v>22029.126708333333</v>
      </c>
      <c r="N47" s="30">
        <f>N18-N45</f>
        <v>11093.220458333333</v>
      </c>
      <c r="O47" s="30">
        <f>O18-O45</f>
        <v>11133.220458333333</v>
      </c>
      <c r="P47" s="31">
        <f>P18-P45</f>
        <v>105236.06545454543</v>
      </c>
    </row>
    <row r="48" spans="1:23" x14ac:dyDescent="0.15">
      <c r="A48" s="2"/>
      <c r="B48" s="41"/>
      <c r="C48" s="44" t="s">
        <v>31</v>
      </c>
      <c r="D48" s="97">
        <f>D47/D9</f>
        <v>0.29102496697820962</v>
      </c>
      <c r="E48" s="97">
        <f>E47/E9</f>
        <v>0.3812451583876274</v>
      </c>
      <c r="F48" s="97">
        <f>F47/F9</f>
        <v>0.18859291716919124</v>
      </c>
      <c r="G48" s="97">
        <f>G47/G9</f>
        <v>0.18859291716919124</v>
      </c>
      <c r="H48" s="97">
        <f>H47/H9</f>
        <v>0.18124320995396528</v>
      </c>
      <c r="I48" s="97">
        <f>I47/I9</f>
        <v>0.18271315139701047</v>
      </c>
      <c r="J48" s="97">
        <f>J47/J9</f>
        <v>0.18810293668817618</v>
      </c>
      <c r="K48" s="97">
        <f>K47/K9</f>
        <v>0.18859291716919124</v>
      </c>
      <c r="L48" s="97">
        <f>L47/L9</f>
        <v>0.4940257858734996</v>
      </c>
      <c r="M48" s="97">
        <f>M47/M9</f>
        <v>0.49855208500103093</v>
      </c>
      <c r="N48" s="97">
        <f>N47/N9</f>
        <v>0.37953449870978484</v>
      </c>
      <c r="O48" s="97">
        <f>O47/O9</f>
        <v>0.38090302645205887</v>
      </c>
      <c r="P48" s="97">
        <f>P47/P9</f>
        <v>0.32109595775387645</v>
      </c>
    </row>
    <row r="49" spans="1:52" s="42" customFormat="1" x14ac:dyDescent="0.15">
      <c r="A49" s="41"/>
      <c r="B49" s="2"/>
      <c r="C49" s="39" t="s">
        <v>23</v>
      </c>
      <c r="D49" s="32"/>
      <c r="E49" s="33"/>
      <c r="F49" s="33"/>
      <c r="G49" s="33"/>
      <c r="H49" s="33"/>
      <c r="I49" s="33"/>
      <c r="J49" s="33"/>
      <c r="K49" s="33"/>
      <c r="L49" s="33"/>
      <c r="M49" s="34"/>
      <c r="N49" s="34"/>
      <c r="O49" s="34"/>
      <c r="P49" s="34"/>
    </row>
    <row r="50" spans="1:52" s="42" customFormat="1" x14ac:dyDescent="0.15">
      <c r="A50" s="41"/>
      <c r="S50" s="51"/>
      <c r="T50" s="41"/>
    </row>
    <row r="51" spans="1:52" s="42" customFormat="1" x14ac:dyDescent="0.15">
      <c r="A51" s="41"/>
      <c r="B51" s="4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41"/>
    </row>
    <row r="52" spans="1:52" s="42" customFormat="1" x14ac:dyDescent="0.15">
      <c r="A52" s="41"/>
      <c r="B52" s="4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41"/>
    </row>
    <row r="53" spans="1:52" x14ac:dyDescent="0.15">
      <c r="A53" s="2"/>
      <c r="B53" s="2"/>
      <c r="U53" s="2"/>
    </row>
    <row r="54" spans="1:52" x14ac:dyDescent="0.15">
      <c r="A54" s="2"/>
      <c r="B54" s="2"/>
    </row>
    <row r="55" spans="1:52" x14ac:dyDescent="0.15">
      <c r="A55" s="2"/>
      <c r="B55" s="2"/>
      <c r="C55" s="55" t="s">
        <v>221</v>
      </c>
    </row>
    <row r="56" spans="1:52" s="42" customFormat="1" x14ac:dyDescent="0.15">
      <c r="A56" s="45"/>
      <c r="B56" s="45"/>
      <c r="C56" s="46" t="s">
        <v>222</v>
      </c>
      <c r="D56" s="46"/>
      <c r="E56" s="46"/>
      <c r="F56" s="46"/>
      <c r="G56" s="46"/>
      <c r="H56" s="46"/>
      <c r="I56" s="46"/>
      <c r="J56" s="46" t="s">
        <v>213</v>
      </c>
      <c r="K56" s="46"/>
      <c r="L56" s="46"/>
      <c r="M56" s="46"/>
      <c r="N56" s="46"/>
      <c r="O56" s="46"/>
      <c r="P56" s="46"/>
      <c r="Q56" s="46"/>
      <c r="R56" s="46"/>
      <c r="AS56" s="46"/>
      <c r="AT56" s="46"/>
      <c r="AU56" s="46"/>
      <c r="AV56" s="46"/>
      <c r="AW56" s="46"/>
      <c r="AX56" s="46"/>
      <c r="AY56" s="46"/>
      <c r="AZ56" s="46"/>
    </row>
    <row r="57" spans="1:52" s="42" customFormat="1" x14ac:dyDescent="0.15">
      <c r="A57" s="45"/>
      <c r="B57" s="45"/>
      <c r="C57" s="46"/>
      <c r="D57" s="46"/>
      <c r="E57" s="46" t="s">
        <v>214</v>
      </c>
      <c r="F57" s="46">
        <v>265915</v>
      </c>
      <c r="G57" s="46" t="s">
        <v>188</v>
      </c>
      <c r="H57" s="46"/>
      <c r="I57" s="46"/>
      <c r="J57" s="46" t="s">
        <v>109</v>
      </c>
      <c r="K57" s="46"/>
      <c r="L57" s="46"/>
      <c r="M57" s="46"/>
      <c r="N57" s="46"/>
      <c r="O57" s="68" t="s">
        <v>110</v>
      </c>
      <c r="T57" s="42" t="s">
        <v>215</v>
      </c>
      <c r="AP57" s="46"/>
      <c r="AQ57" s="46"/>
      <c r="AR57" s="46"/>
      <c r="AS57" s="46"/>
      <c r="AT57" s="46"/>
      <c r="AU57" s="46"/>
      <c r="AV57" s="46"/>
      <c r="AW57" s="46"/>
    </row>
    <row r="58" spans="1:52" s="42" customFormat="1" x14ac:dyDescent="0.15">
      <c r="A58" s="45"/>
      <c r="B58" s="45"/>
      <c r="C58" s="46" t="s">
        <v>223</v>
      </c>
      <c r="D58" s="46"/>
      <c r="E58" s="98">
        <v>0.45</v>
      </c>
      <c r="F58" s="46">
        <f>SUM(F57*0.45)</f>
        <v>119661.75</v>
      </c>
      <c r="G58" s="46" t="s">
        <v>154</v>
      </c>
      <c r="H58" s="46"/>
      <c r="I58" s="46"/>
      <c r="J58" s="46" t="s">
        <v>157</v>
      </c>
      <c r="K58" s="46"/>
      <c r="L58" s="46"/>
      <c r="M58" s="46"/>
      <c r="N58" s="46"/>
      <c r="O58">
        <f>SUM($F$57*0.4)</f>
        <v>106366</v>
      </c>
      <c r="P58" s="55" t="s">
        <v>163</v>
      </c>
      <c r="Q58"/>
      <c r="R58"/>
      <c r="S58"/>
      <c r="T58">
        <f>SUM($F$57*0.15)</f>
        <v>39887.25</v>
      </c>
      <c r="U58" s="55" t="s">
        <v>168</v>
      </c>
      <c r="V58"/>
      <c r="W58"/>
      <c r="X58"/>
      <c r="Y58"/>
      <c r="AP58" s="46"/>
      <c r="AQ58" s="46"/>
      <c r="AR58" s="46"/>
      <c r="AS58" s="46"/>
      <c r="AT58" s="46"/>
      <c r="AU58" s="46"/>
      <c r="AV58" s="46"/>
      <c r="AW58" s="46"/>
    </row>
    <row r="59" spans="1:52" x14ac:dyDescent="0.15">
      <c r="A59" s="2"/>
      <c r="B59" s="2"/>
      <c r="C59">
        <f>SUM(6*4)*20</f>
        <v>480</v>
      </c>
      <c r="E59" s="95">
        <v>0.4</v>
      </c>
      <c r="F59">
        <f>SUM($F$57*0.4)</f>
        <v>106366</v>
      </c>
      <c r="G59" s="55" t="s">
        <v>155</v>
      </c>
      <c r="H59" s="55"/>
      <c r="J59">
        <f>SUM(F58/2)</f>
        <v>59830.875</v>
      </c>
      <c r="K59" s="55" t="s">
        <v>158</v>
      </c>
      <c r="O59" s="55" t="s">
        <v>165</v>
      </c>
      <c r="T59" s="55" t="s">
        <v>169</v>
      </c>
    </row>
    <row r="60" spans="1:52" x14ac:dyDescent="0.15">
      <c r="A60" s="2"/>
      <c r="B60" s="2"/>
      <c r="E60" s="95">
        <v>0.15</v>
      </c>
      <c r="F60">
        <f>SUM($F$57*0.15)</f>
        <v>39887.25</v>
      </c>
      <c r="G60" s="46" t="s">
        <v>156</v>
      </c>
      <c r="J60" s="55">
        <f>SUM(J59/4)</f>
        <v>14957.71875</v>
      </c>
      <c r="K60" s="55" t="s">
        <v>159</v>
      </c>
      <c r="O60" s="96">
        <f>SUM(O58*0.6)</f>
        <v>63819.6</v>
      </c>
      <c r="P60" s="55" t="s">
        <v>164</v>
      </c>
      <c r="T60">
        <f>SUM($T$58*0.6)</f>
        <v>23932.35</v>
      </c>
      <c r="U60" s="55" t="s">
        <v>216</v>
      </c>
    </row>
    <row r="61" spans="1:52" x14ac:dyDescent="0.15">
      <c r="A61" s="2"/>
      <c r="B61" s="2"/>
      <c r="O61" s="96">
        <f>SUM(O60/6)</f>
        <v>10636.6</v>
      </c>
      <c r="P61" s="55" t="s">
        <v>159</v>
      </c>
      <c r="T61">
        <f>SUM($T$60/6)</f>
        <v>3988.7249999999999</v>
      </c>
      <c r="U61" s="55" t="s">
        <v>217</v>
      </c>
    </row>
    <row r="62" spans="1:52" x14ac:dyDescent="0.15">
      <c r="A62" s="2"/>
      <c r="B62" s="2"/>
      <c r="F62">
        <f>SUM(250+300)</f>
        <v>550</v>
      </c>
      <c r="I62" s="55"/>
      <c r="J62" s="55" t="s">
        <v>160</v>
      </c>
      <c r="O62" s="55" t="s">
        <v>166</v>
      </c>
      <c r="T62" s="55" t="s">
        <v>170</v>
      </c>
      <c r="U62" s="55"/>
      <c r="V62" s="55"/>
      <c r="W62" s="55"/>
    </row>
    <row r="63" spans="1:52" x14ac:dyDescent="0.15">
      <c r="A63" s="2"/>
      <c r="B63" s="2"/>
      <c r="F63">
        <f>SUM(250/550)</f>
        <v>0.45454545454545453</v>
      </c>
      <c r="G63" s="55" t="s">
        <v>151</v>
      </c>
      <c r="I63" s="55"/>
      <c r="J63" s="55" t="s">
        <v>161</v>
      </c>
      <c r="O63">
        <f>SUM(O58*0.4)</f>
        <v>42546.400000000001</v>
      </c>
      <c r="P63" s="55" t="s">
        <v>167</v>
      </c>
      <c r="T63">
        <f>SUM($T$58*0.4)</f>
        <v>15954.900000000001</v>
      </c>
      <c r="U63" s="55" t="s">
        <v>216</v>
      </c>
    </row>
    <row r="64" spans="1:52" x14ac:dyDescent="0.15">
      <c r="A64" s="2"/>
      <c r="B64" s="2"/>
      <c r="F64">
        <f>SUM(150/550)</f>
        <v>0.27272727272727271</v>
      </c>
      <c r="G64" s="55" t="s">
        <v>152</v>
      </c>
      <c r="I64" s="55"/>
      <c r="J64">
        <f>SUM(J59/2)</f>
        <v>29915.4375</v>
      </c>
      <c r="K64" s="55" t="s">
        <v>153</v>
      </c>
      <c r="O64">
        <f>SUM(O63/6)</f>
        <v>7091.0666666666666</v>
      </c>
      <c r="P64" s="55" t="s">
        <v>159</v>
      </c>
      <c r="T64">
        <f>SUM($T$63/6)</f>
        <v>2659.15</v>
      </c>
      <c r="U64" s="55" t="s">
        <v>217</v>
      </c>
    </row>
    <row r="65" spans="1:23" x14ac:dyDescent="0.15">
      <c r="A65" s="2"/>
      <c r="B65" s="2"/>
      <c r="J65" s="55" t="s">
        <v>162</v>
      </c>
      <c r="O65" s="2"/>
    </row>
    <row r="66" spans="1:23" x14ac:dyDescent="0.15">
      <c r="A66" s="2"/>
      <c r="B66" s="2"/>
      <c r="J66">
        <f>SUM(J64/6)</f>
        <v>4985.90625</v>
      </c>
      <c r="K66" s="55" t="s">
        <v>153</v>
      </c>
      <c r="O66" s="2"/>
    </row>
    <row r="67" spans="1:23" x14ac:dyDescent="0.15">
      <c r="A67" s="2"/>
      <c r="B67" s="2"/>
      <c r="F67">
        <f>SUM(50/150)</f>
        <v>0.33333333333333331</v>
      </c>
      <c r="G67" s="55" t="s">
        <v>92</v>
      </c>
      <c r="O67" s="2"/>
    </row>
    <row r="68" spans="1:23" x14ac:dyDescent="0.15">
      <c r="A68" s="2"/>
      <c r="B68" s="2"/>
      <c r="F68">
        <f>(20/150)</f>
        <v>0.13333333333333333</v>
      </c>
      <c r="G68" s="55" t="s">
        <v>148</v>
      </c>
      <c r="J68" s="55" t="s">
        <v>218</v>
      </c>
      <c r="K68" s="55"/>
      <c r="L68" s="55" t="s">
        <v>179</v>
      </c>
      <c r="M68" s="55"/>
      <c r="O68" s="68" t="s">
        <v>218</v>
      </c>
      <c r="T68" s="55" t="s">
        <v>218</v>
      </c>
    </row>
    <row r="69" spans="1:23" x14ac:dyDescent="0.15">
      <c r="A69" s="2"/>
      <c r="B69" s="2"/>
      <c r="F69">
        <v>0.33</v>
      </c>
      <c r="G69" s="55" t="s">
        <v>149</v>
      </c>
      <c r="J69" s="55" t="s">
        <v>174</v>
      </c>
      <c r="K69" s="95">
        <v>0.4</v>
      </c>
      <c r="L69" s="55" t="s">
        <v>180</v>
      </c>
      <c r="M69">
        <v>6</v>
      </c>
      <c r="O69" s="55" t="s">
        <v>176</v>
      </c>
      <c r="P69" s="95">
        <v>0.4</v>
      </c>
      <c r="Q69" s="55" t="s">
        <v>182</v>
      </c>
      <c r="R69">
        <v>2.5</v>
      </c>
      <c r="T69" s="55" t="s">
        <v>93</v>
      </c>
      <c r="U69" s="95">
        <v>0.1</v>
      </c>
      <c r="V69" s="55" t="s">
        <v>93</v>
      </c>
      <c r="W69">
        <v>2</v>
      </c>
    </row>
    <row r="70" spans="1:23" x14ac:dyDescent="0.15">
      <c r="A70" s="2"/>
      <c r="B70" s="2"/>
      <c r="F70">
        <f>SUM(30/150)</f>
        <v>0.2</v>
      </c>
      <c r="G70" s="55" t="s">
        <v>150</v>
      </c>
      <c r="J70" s="55" t="s">
        <v>90</v>
      </c>
      <c r="K70" s="95">
        <v>0.35</v>
      </c>
      <c r="L70" s="55" t="s">
        <v>90</v>
      </c>
      <c r="M70">
        <v>6.75</v>
      </c>
      <c r="O70" s="55" t="s">
        <v>144</v>
      </c>
      <c r="P70" s="95">
        <v>0.35</v>
      </c>
      <c r="Q70" s="55" t="s">
        <v>183</v>
      </c>
      <c r="R70">
        <v>5.5</v>
      </c>
      <c r="T70" s="55" t="s">
        <v>92</v>
      </c>
      <c r="U70" s="95">
        <v>0.15</v>
      </c>
      <c r="V70" s="55" t="s">
        <v>186</v>
      </c>
      <c r="W70">
        <v>2</v>
      </c>
    </row>
    <row r="71" spans="1:23" x14ac:dyDescent="0.15">
      <c r="A71" s="2"/>
      <c r="B71" s="2"/>
      <c r="J71" s="55" t="s">
        <v>175</v>
      </c>
      <c r="K71" s="95">
        <v>0.1</v>
      </c>
      <c r="L71" s="55" t="s">
        <v>91</v>
      </c>
      <c r="M71">
        <v>6</v>
      </c>
      <c r="O71" s="55" t="s">
        <v>177</v>
      </c>
      <c r="P71" s="95">
        <v>0.15</v>
      </c>
      <c r="Q71" s="55" t="s">
        <v>184</v>
      </c>
      <c r="R71">
        <v>4.5</v>
      </c>
      <c r="T71" s="55" t="s">
        <v>147</v>
      </c>
      <c r="U71" s="95">
        <v>0.35</v>
      </c>
      <c r="V71" s="55" t="s">
        <v>147</v>
      </c>
      <c r="W71">
        <v>1.5</v>
      </c>
    </row>
    <row r="72" spans="1:23" x14ac:dyDescent="0.15">
      <c r="A72" s="2"/>
      <c r="B72" s="2"/>
      <c r="J72" s="55" t="s">
        <v>172</v>
      </c>
      <c r="K72" s="95">
        <v>0.15</v>
      </c>
      <c r="L72" s="55" t="s">
        <v>181</v>
      </c>
      <c r="M72">
        <v>6</v>
      </c>
      <c r="O72" s="55" t="s">
        <v>171</v>
      </c>
      <c r="P72" s="95">
        <v>0.1</v>
      </c>
      <c r="Q72" s="55" t="s">
        <v>185</v>
      </c>
      <c r="R72">
        <v>2.5</v>
      </c>
      <c r="T72" s="55" t="s">
        <v>178</v>
      </c>
      <c r="U72" s="95">
        <v>0.4</v>
      </c>
      <c r="V72" s="55" t="s">
        <v>173</v>
      </c>
      <c r="W72">
        <v>2</v>
      </c>
    </row>
    <row r="73" spans="1:23" x14ac:dyDescent="0.15">
      <c r="A73" s="2"/>
      <c r="B73" s="2"/>
      <c r="J73" s="55"/>
      <c r="N73" s="55"/>
    </row>
    <row r="74" spans="1:23" x14ac:dyDescent="0.15">
      <c r="A74" s="2"/>
      <c r="B74" s="2"/>
      <c r="I74" s="55"/>
      <c r="J74" s="55"/>
      <c r="N74" s="55"/>
    </row>
    <row r="75" spans="1:23" x14ac:dyDescent="0.15">
      <c r="A75" s="2"/>
      <c r="B75" s="2"/>
      <c r="I75" s="55"/>
    </row>
    <row r="76" spans="1:23" x14ac:dyDescent="0.15">
      <c r="A76" s="2"/>
      <c r="B76" s="2"/>
      <c r="I76" s="55"/>
      <c r="M76" s="55"/>
    </row>
    <row r="77" spans="1:23" x14ac:dyDescent="0.15">
      <c r="A77" s="2"/>
      <c r="B77" s="2"/>
      <c r="G77" s="39" t="s">
        <v>219</v>
      </c>
      <c r="H77" s="99"/>
      <c r="I77" s="32"/>
      <c r="J77" s="33"/>
      <c r="K77" s="33"/>
      <c r="L77" s="33"/>
      <c r="M77" s="33"/>
      <c r="N77" s="33"/>
      <c r="O77" s="33"/>
      <c r="P77" s="33"/>
      <c r="Q77" s="33"/>
      <c r="R77" s="34"/>
      <c r="S77" s="34"/>
      <c r="T77" s="34"/>
      <c r="U77" s="34"/>
    </row>
    <row r="78" spans="1:23" x14ac:dyDescent="0.15">
      <c r="A78" s="2"/>
      <c r="B78" s="2"/>
      <c r="G78" s="8"/>
      <c r="H78" s="100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9"/>
    </row>
    <row r="79" spans="1:23" ht="14" thickBot="1" x14ac:dyDescent="0.2">
      <c r="A79" s="2"/>
      <c r="B79" s="2"/>
      <c r="G79" s="14" t="s">
        <v>13</v>
      </c>
      <c r="H79" s="14"/>
      <c r="I79" s="7" t="s">
        <v>0</v>
      </c>
      <c r="J79" s="7" t="s">
        <v>1</v>
      </c>
      <c r="K79" s="7" t="s">
        <v>2</v>
      </c>
      <c r="L79" s="7" t="s">
        <v>3</v>
      </c>
      <c r="M79" s="7" t="s">
        <v>4</v>
      </c>
      <c r="N79" s="7" t="s">
        <v>5</v>
      </c>
      <c r="O79" s="7" t="s">
        <v>6</v>
      </c>
      <c r="P79" s="7" t="s">
        <v>7</v>
      </c>
      <c r="Q79" s="7" t="s">
        <v>8</v>
      </c>
      <c r="R79" s="7" t="s">
        <v>9</v>
      </c>
      <c r="S79" s="7" t="s">
        <v>10</v>
      </c>
      <c r="T79" s="7" t="s">
        <v>11</v>
      </c>
      <c r="U79" s="16" t="s">
        <v>12</v>
      </c>
    </row>
    <row r="80" spans="1:23" x14ac:dyDescent="0.15">
      <c r="A80" s="2"/>
      <c r="B80" s="2"/>
      <c r="G80" s="19"/>
      <c r="H80" s="87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3"/>
    </row>
    <row r="81" spans="1:21" x14ac:dyDescent="0.15">
      <c r="A81" s="2"/>
      <c r="B81" s="2"/>
      <c r="G81" s="4"/>
      <c r="H81" s="88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217"/>
    </row>
    <row r="82" spans="1:21" x14ac:dyDescent="0.15">
      <c r="A82" s="2"/>
      <c r="B82" s="2"/>
      <c r="G82" s="4" t="s">
        <v>14</v>
      </c>
      <c r="H82" s="6"/>
      <c r="I82" s="220">
        <f>SUM(I83:I85)</f>
        <v>9.7949999999999995E-2</v>
      </c>
      <c r="J82" s="220">
        <f t="shared" ref="J82:T82" si="7">SUM(J83:J85)</f>
        <v>9.7949999999999995E-2</v>
      </c>
      <c r="K82" s="220">
        <f t="shared" si="7"/>
        <v>7.8125E-2</v>
      </c>
      <c r="L82" s="220">
        <f t="shared" si="7"/>
        <v>7.8125E-2</v>
      </c>
      <c r="M82" s="220">
        <f t="shared" si="7"/>
        <v>7.8125E-2</v>
      </c>
      <c r="N82" s="220">
        <f t="shared" si="7"/>
        <v>7.8125E-2</v>
      </c>
      <c r="O82" s="220">
        <f t="shared" si="7"/>
        <v>7.8125E-2</v>
      </c>
      <c r="P82" s="220">
        <f t="shared" si="7"/>
        <v>7.8125E-2</v>
      </c>
      <c r="Q82" s="220">
        <f t="shared" si="7"/>
        <v>6.9824999999999998E-2</v>
      </c>
      <c r="R82" s="220">
        <f t="shared" si="7"/>
        <v>6.9824999999999998E-2</v>
      </c>
      <c r="S82" s="220">
        <f t="shared" si="7"/>
        <v>9.7949999999999995E-2</v>
      </c>
      <c r="T82" s="220">
        <f t="shared" si="7"/>
        <v>9.7949999999999995E-2</v>
      </c>
      <c r="U82" s="237">
        <f>SUM(U83:U85)</f>
        <v>1.0002</v>
      </c>
    </row>
    <row r="83" spans="1:21" x14ac:dyDescent="0.15">
      <c r="A83" s="2"/>
      <c r="B83" s="2"/>
      <c r="F83" s="55"/>
      <c r="G83" s="56" t="s">
        <v>43</v>
      </c>
      <c r="H83" s="218"/>
      <c r="I83" s="218">
        <v>5.6250000000000001E-2</v>
      </c>
      <c r="J83" s="218">
        <v>5.6250000000000001E-2</v>
      </c>
      <c r="K83" s="218">
        <v>2.8125000000000001E-2</v>
      </c>
      <c r="L83" s="218">
        <v>2.8125000000000001E-2</v>
      </c>
      <c r="M83" s="218">
        <v>2.8125000000000001E-2</v>
      </c>
      <c r="N83" s="218">
        <v>2.8125000000000001E-2</v>
      </c>
      <c r="O83" s="218">
        <v>2.8125000000000001E-2</v>
      </c>
      <c r="P83" s="218">
        <v>2.8125000000000001E-2</v>
      </c>
      <c r="Q83" s="218">
        <v>2.8125000000000001E-2</v>
      </c>
      <c r="R83" s="218">
        <v>2.8125000000000001E-2</v>
      </c>
      <c r="S83" s="218">
        <v>5.6250000000000001E-2</v>
      </c>
      <c r="T83" s="218">
        <v>5.6250000000000001E-2</v>
      </c>
      <c r="U83" s="227">
        <f>SUM(I83:T83)</f>
        <v>0.45000000000000012</v>
      </c>
    </row>
    <row r="84" spans="1:21" x14ac:dyDescent="0.15">
      <c r="A84" s="2"/>
      <c r="B84" s="2"/>
      <c r="F84" s="55"/>
      <c r="G84" s="18" t="s">
        <v>44</v>
      </c>
      <c r="H84" s="218"/>
      <c r="I84" s="219">
        <v>2.6700000000000002E-2</v>
      </c>
      <c r="J84" s="219">
        <v>2.6700000000000002E-2</v>
      </c>
      <c r="K84" s="219">
        <v>0.04</v>
      </c>
      <c r="L84" s="219">
        <v>0.04</v>
      </c>
      <c r="M84" s="219">
        <v>0.04</v>
      </c>
      <c r="N84" s="219">
        <v>0.04</v>
      </c>
      <c r="O84" s="219">
        <v>0.04</v>
      </c>
      <c r="P84" s="219">
        <v>0.04</v>
      </c>
      <c r="Q84" s="219">
        <v>2.6700000000000002E-2</v>
      </c>
      <c r="R84" s="219">
        <v>2.6700000000000002E-2</v>
      </c>
      <c r="S84" s="219">
        <v>2.6700000000000002E-2</v>
      </c>
      <c r="T84" s="219">
        <v>2.6700000000000002E-2</v>
      </c>
      <c r="U84" s="227">
        <f>SUM(I84:T84)</f>
        <v>0.4002</v>
      </c>
    </row>
    <row r="85" spans="1:21" x14ac:dyDescent="0.15">
      <c r="A85" s="2"/>
      <c r="B85" s="2"/>
      <c r="F85" s="55"/>
      <c r="G85" s="18" t="s">
        <v>46</v>
      </c>
      <c r="H85" s="218"/>
      <c r="I85" s="219">
        <v>1.4999999999999999E-2</v>
      </c>
      <c r="J85" s="219">
        <v>1.4999999999999999E-2</v>
      </c>
      <c r="K85" s="219">
        <v>0.01</v>
      </c>
      <c r="L85" s="219">
        <v>0.01</v>
      </c>
      <c r="M85" s="219">
        <v>0.01</v>
      </c>
      <c r="N85" s="219">
        <v>0.01</v>
      </c>
      <c r="O85" s="219">
        <v>0.01</v>
      </c>
      <c r="P85" s="219">
        <v>0.01</v>
      </c>
      <c r="Q85" s="219">
        <v>1.4999999999999999E-2</v>
      </c>
      <c r="R85" s="219">
        <v>1.4999999999999999E-2</v>
      </c>
      <c r="S85" s="219">
        <v>1.4999999999999999E-2</v>
      </c>
      <c r="T85" s="219">
        <v>1.4999999999999999E-2</v>
      </c>
      <c r="U85" s="227">
        <f>SUM(I85:T85)</f>
        <v>0.15000000000000002</v>
      </c>
    </row>
    <row r="86" spans="1:21" x14ac:dyDescent="0.15">
      <c r="A86" s="2"/>
      <c r="B86" s="2"/>
      <c r="F86" s="55"/>
      <c r="G86" s="234"/>
      <c r="H86" s="87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9"/>
    </row>
    <row r="87" spans="1:21" x14ac:dyDescent="0.15">
      <c r="A87" s="2"/>
      <c r="B87" s="2"/>
      <c r="F87" s="55"/>
      <c r="G87" s="213" t="s">
        <v>43</v>
      </c>
      <c r="H87" s="148"/>
      <c r="I87" s="235">
        <f>SUM(I88:I91)</f>
        <v>5.6250000000000001E-2</v>
      </c>
      <c r="J87" s="235">
        <f t="shared" ref="J87:T87" si="8">SUM(J88:J91)</f>
        <v>5.6250000000000001E-2</v>
      </c>
      <c r="K87" s="235">
        <f t="shared" si="8"/>
        <v>2.8125000000000001E-2</v>
      </c>
      <c r="L87" s="235">
        <f t="shared" si="8"/>
        <v>2.8125000000000001E-2</v>
      </c>
      <c r="M87" s="235">
        <f t="shared" si="8"/>
        <v>2.8125000000000001E-2</v>
      </c>
      <c r="N87" s="235">
        <f t="shared" si="8"/>
        <v>2.8125000000000001E-2</v>
      </c>
      <c r="O87" s="235">
        <f t="shared" si="8"/>
        <v>2.8125000000000001E-2</v>
      </c>
      <c r="P87" s="235">
        <f t="shared" si="8"/>
        <v>2.8125000000000001E-2</v>
      </c>
      <c r="Q87" s="235">
        <f t="shared" si="8"/>
        <v>2.8125000000000001E-2</v>
      </c>
      <c r="R87" s="235">
        <f t="shared" si="8"/>
        <v>2.8125000000000001E-2</v>
      </c>
      <c r="S87" s="235">
        <f t="shared" si="8"/>
        <v>5.6250000000000001E-2</v>
      </c>
      <c r="T87" s="235">
        <f t="shared" si="8"/>
        <v>5.6250000000000001E-2</v>
      </c>
      <c r="U87" s="238">
        <f>SUM(U88:U91)</f>
        <v>0.44999999999999996</v>
      </c>
    </row>
    <row r="88" spans="1:21" x14ac:dyDescent="0.15">
      <c r="A88" s="2"/>
      <c r="B88" s="2"/>
      <c r="C88" s="55"/>
      <c r="G88" s="56" t="s">
        <v>189</v>
      </c>
      <c r="H88" s="102"/>
      <c r="I88" s="221">
        <f>I83*0.4</f>
        <v>2.2500000000000003E-2</v>
      </c>
      <c r="J88" s="221">
        <f t="shared" ref="J88:T88" si="9">J83*0.4</f>
        <v>2.2500000000000003E-2</v>
      </c>
      <c r="K88" s="221">
        <f t="shared" si="9"/>
        <v>1.1250000000000001E-2</v>
      </c>
      <c r="L88" s="221">
        <f t="shared" si="9"/>
        <v>1.1250000000000001E-2</v>
      </c>
      <c r="M88" s="221">
        <f t="shared" si="9"/>
        <v>1.1250000000000001E-2</v>
      </c>
      <c r="N88" s="221">
        <f t="shared" si="9"/>
        <v>1.1250000000000001E-2</v>
      </c>
      <c r="O88" s="221">
        <f t="shared" si="9"/>
        <v>1.1250000000000001E-2</v>
      </c>
      <c r="P88" s="221">
        <f t="shared" si="9"/>
        <v>1.1250000000000001E-2</v>
      </c>
      <c r="Q88" s="221">
        <f t="shared" si="9"/>
        <v>1.1250000000000001E-2</v>
      </c>
      <c r="R88" s="221">
        <f t="shared" si="9"/>
        <v>1.1250000000000001E-2</v>
      </c>
      <c r="S88" s="221">
        <f t="shared" si="9"/>
        <v>2.2500000000000003E-2</v>
      </c>
      <c r="T88" s="221">
        <f t="shared" si="9"/>
        <v>2.2500000000000003E-2</v>
      </c>
      <c r="U88" s="226">
        <f>SUM(I88:T88)</f>
        <v>0.17999999999999997</v>
      </c>
    </row>
    <row r="89" spans="1:21" x14ac:dyDescent="0.15">
      <c r="A89" s="2"/>
      <c r="B89" s="2"/>
      <c r="G89" s="56" t="s">
        <v>90</v>
      </c>
      <c r="H89" s="103"/>
      <c r="I89" s="221">
        <f>I83*0.35</f>
        <v>1.96875E-2</v>
      </c>
      <c r="J89" s="221">
        <f t="shared" ref="J89:T89" si="10">J83*0.35</f>
        <v>1.96875E-2</v>
      </c>
      <c r="K89" s="221">
        <f t="shared" si="10"/>
        <v>9.8437500000000001E-3</v>
      </c>
      <c r="L89" s="221">
        <f t="shared" si="10"/>
        <v>9.8437500000000001E-3</v>
      </c>
      <c r="M89" s="221">
        <f t="shared" si="10"/>
        <v>9.8437500000000001E-3</v>
      </c>
      <c r="N89" s="221">
        <f t="shared" si="10"/>
        <v>9.8437500000000001E-3</v>
      </c>
      <c r="O89" s="221">
        <f t="shared" si="10"/>
        <v>9.8437500000000001E-3</v>
      </c>
      <c r="P89" s="221">
        <f t="shared" si="10"/>
        <v>9.8437500000000001E-3</v>
      </c>
      <c r="Q89" s="221">
        <f t="shared" si="10"/>
        <v>9.8437500000000001E-3</v>
      </c>
      <c r="R89" s="221">
        <f t="shared" si="10"/>
        <v>9.8437500000000001E-3</v>
      </c>
      <c r="S89" s="221">
        <f t="shared" si="10"/>
        <v>1.96875E-2</v>
      </c>
      <c r="T89" s="221">
        <f t="shared" si="10"/>
        <v>1.96875E-2</v>
      </c>
      <c r="U89" s="226">
        <f t="shared" ref="U89:U101" si="11">SUM(I89:T89)</f>
        <v>0.1575</v>
      </c>
    </row>
    <row r="90" spans="1:21" x14ac:dyDescent="0.15">
      <c r="A90" s="2"/>
      <c r="B90" s="2"/>
      <c r="G90" s="56" t="s">
        <v>91</v>
      </c>
      <c r="H90" s="103"/>
      <c r="I90" s="221">
        <f>SUM(I83*0.1)</f>
        <v>5.6250000000000007E-3</v>
      </c>
      <c r="J90" s="221">
        <f t="shared" ref="J90:T90" si="12">SUM(J83*0.1)</f>
        <v>5.6250000000000007E-3</v>
      </c>
      <c r="K90" s="221">
        <f t="shared" si="12"/>
        <v>2.8125000000000003E-3</v>
      </c>
      <c r="L90" s="221">
        <f t="shared" si="12"/>
        <v>2.8125000000000003E-3</v>
      </c>
      <c r="M90" s="221">
        <f t="shared" si="12"/>
        <v>2.8125000000000003E-3</v>
      </c>
      <c r="N90" s="221">
        <f t="shared" si="12"/>
        <v>2.8125000000000003E-3</v>
      </c>
      <c r="O90" s="221">
        <f t="shared" si="12"/>
        <v>2.8125000000000003E-3</v>
      </c>
      <c r="P90" s="221">
        <f t="shared" si="12"/>
        <v>2.8125000000000003E-3</v>
      </c>
      <c r="Q90" s="221">
        <f t="shared" si="12"/>
        <v>2.8125000000000003E-3</v>
      </c>
      <c r="R90" s="221">
        <f t="shared" si="12"/>
        <v>2.8125000000000003E-3</v>
      </c>
      <c r="S90" s="221">
        <f t="shared" si="12"/>
        <v>5.6250000000000007E-3</v>
      </c>
      <c r="T90" s="221">
        <f t="shared" si="12"/>
        <v>5.6250000000000007E-3</v>
      </c>
      <c r="U90" s="226">
        <f t="shared" si="11"/>
        <v>4.4999999999999991E-2</v>
      </c>
    </row>
    <row r="91" spans="1:21" x14ac:dyDescent="0.15">
      <c r="A91" s="2"/>
      <c r="B91" s="2"/>
      <c r="G91" s="56" t="s">
        <v>94</v>
      </c>
      <c r="H91" s="103"/>
      <c r="I91" s="221">
        <f>SUM(I83*0.15)</f>
        <v>8.4375000000000006E-3</v>
      </c>
      <c r="J91" s="221">
        <f t="shared" ref="J91:T91" si="13">SUM(J83*0.15)</f>
        <v>8.4375000000000006E-3</v>
      </c>
      <c r="K91" s="221">
        <f t="shared" si="13"/>
        <v>4.2187500000000003E-3</v>
      </c>
      <c r="L91" s="221">
        <f t="shared" si="13"/>
        <v>4.2187500000000003E-3</v>
      </c>
      <c r="M91" s="221">
        <f t="shared" si="13"/>
        <v>4.2187500000000003E-3</v>
      </c>
      <c r="N91" s="221">
        <f t="shared" si="13"/>
        <v>4.2187500000000003E-3</v>
      </c>
      <c r="O91" s="221">
        <f t="shared" si="13"/>
        <v>4.2187500000000003E-3</v>
      </c>
      <c r="P91" s="221">
        <f t="shared" si="13"/>
        <v>4.2187500000000003E-3</v>
      </c>
      <c r="Q91" s="221">
        <f t="shared" si="13"/>
        <v>4.2187500000000003E-3</v>
      </c>
      <c r="R91" s="221">
        <f t="shared" si="13"/>
        <v>4.2187500000000003E-3</v>
      </c>
      <c r="S91" s="221">
        <f t="shared" si="13"/>
        <v>8.4375000000000006E-3</v>
      </c>
      <c r="T91" s="221">
        <f t="shared" si="13"/>
        <v>8.4375000000000006E-3</v>
      </c>
      <c r="U91" s="226">
        <f t="shared" si="11"/>
        <v>6.7500000000000004E-2</v>
      </c>
    </row>
    <row r="92" spans="1:21" x14ac:dyDescent="0.15">
      <c r="A92" s="2"/>
      <c r="B92" s="2"/>
      <c r="G92" s="62" t="s">
        <v>44</v>
      </c>
      <c r="H92" s="88"/>
      <c r="I92" s="223">
        <f>SUM(I93:I96)</f>
        <v>2.6700000000000002E-2</v>
      </c>
      <c r="J92" s="223">
        <f t="shared" ref="J92:T92" si="14">SUM(J93:J96)</f>
        <v>2.6700000000000002E-2</v>
      </c>
      <c r="K92" s="223">
        <f t="shared" si="14"/>
        <v>3.9999999999999994E-2</v>
      </c>
      <c r="L92" s="223">
        <f t="shared" si="14"/>
        <v>3.9999999999999994E-2</v>
      </c>
      <c r="M92" s="223">
        <f t="shared" si="14"/>
        <v>3.9999999999999994E-2</v>
      </c>
      <c r="N92" s="223">
        <f t="shared" si="14"/>
        <v>3.9999999999999994E-2</v>
      </c>
      <c r="O92" s="223">
        <f t="shared" si="14"/>
        <v>3.9999999999999994E-2</v>
      </c>
      <c r="P92" s="223">
        <f t="shared" si="14"/>
        <v>3.9999999999999994E-2</v>
      </c>
      <c r="Q92" s="223">
        <f t="shared" si="14"/>
        <v>2.6700000000000002E-2</v>
      </c>
      <c r="R92" s="223">
        <f t="shared" si="14"/>
        <v>2.6700000000000002E-2</v>
      </c>
      <c r="S92" s="223">
        <f t="shared" si="14"/>
        <v>2.6700000000000002E-2</v>
      </c>
      <c r="T92" s="223">
        <f t="shared" si="14"/>
        <v>2.6700000000000002E-2</v>
      </c>
      <c r="U92" s="239">
        <f>SUM(U93:U96)</f>
        <v>0.40019999999999994</v>
      </c>
    </row>
    <row r="93" spans="1:21" x14ac:dyDescent="0.15">
      <c r="A93" s="2"/>
      <c r="B93" s="2"/>
      <c r="G93" s="56" t="s">
        <v>87</v>
      </c>
      <c r="H93" s="88"/>
      <c r="I93" s="224">
        <f>SUM(I84*0.4)</f>
        <v>1.0680000000000002E-2</v>
      </c>
      <c r="J93" s="224">
        <f t="shared" ref="J93:T93" si="15">SUM(J84*0.4)</f>
        <v>1.0680000000000002E-2</v>
      </c>
      <c r="K93" s="224">
        <f t="shared" si="15"/>
        <v>1.6E-2</v>
      </c>
      <c r="L93" s="224">
        <f t="shared" si="15"/>
        <v>1.6E-2</v>
      </c>
      <c r="M93" s="224">
        <f t="shared" si="15"/>
        <v>1.6E-2</v>
      </c>
      <c r="N93" s="224">
        <f t="shared" si="15"/>
        <v>1.6E-2</v>
      </c>
      <c r="O93" s="224">
        <f t="shared" si="15"/>
        <v>1.6E-2</v>
      </c>
      <c r="P93" s="224">
        <f t="shared" si="15"/>
        <v>1.6E-2</v>
      </c>
      <c r="Q93" s="224">
        <f t="shared" si="15"/>
        <v>1.0680000000000002E-2</v>
      </c>
      <c r="R93" s="224">
        <f t="shared" si="15"/>
        <v>1.0680000000000002E-2</v>
      </c>
      <c r="S93" s="224">
        <f t="shared" si="15"/>
        <v>1.0680000000000002E-2</v>
      </c>
      <c r="T93" s="224">
        <f t="shared" si="15"/>
        <v>1.0680000000000002E-2</v>
      </c>
      <c r="U93" s="226">
        <f t="shared" si="11"/>
        <v>0.16008</v>
      </c>
    </row>
    <row r="94" spans="1:21" x14ac:dyDescent="0.15">
      <c r="A94" s="2"/>
      <c r="B94" s="2"/>
      <c r="G94" s="56" t="s">
        <v>144</v>
      </c>
      <c r="H94" s="88"/>
      <c r="I94" s="224">
        <f>SUM(I84*0.35)</f>
        <v>9.3449999999999991E-3</v>
      </c>
      <c r="J94" s="224">
        <f t="shared" ref="J94:T94" si="16">SUM(J84*0.35)</f>
        <v>9.3449999999999991E-3</v>
      </c>
      <c r="K94" s="224">
        <f t="shared" si="16"/>
        <v>1.3999999999999999E-2</v>
      </c>
      <c r="L94" s="224">
        <f t="shared" si="16"/>
        <v>1.3999999999999999E-2</v>
      </c>
      <c r="M94" s="224">
        <f t="shared" si="16"/>
        <v>1.3999999999999999E-2</v>
      </c>
      <c r="N94" s="224">
        <f t="shared" si="16"/>
        <v>1.3999999999999999E-2</v>
      </c>
      <c r="O94" s="224">
        <f t="shared" si="16"/>
        <v>1.3999999999999999E-2</v>
      </c>
      <c r="P94" s="224">
        <f t="shared" si="16"/>
        <v>1.3999999999999999E-2</v>
      </c>
      <c r="Q94" s="224">
        <f t="shared" si="16"/>
        <v>9.3449999999999991E-3</v>
      </c>
      <c r="R94" s="224">
        <f t="shared" si="16"/>
        <v>9.3449999999999991E-3</v>
      </c>
      <c r="S94" s="224">
        <f t="shared" si="16"/>
        <v>9.3449999999999991E-3</v>
      </c>
      <c r="T94" s="224">
        <f t="shared" si="16"/>
        <v>9.3449999999999991E-3</v>
      </c>
      <c r="U94" s="226">
        <f t="shared" si="11"/>
        <v>0.14006999999999997</v>
      </c>
    </row>
    <row r="95" spans="1:21" x14ac:dyDescent="0.15">
      <c r="A95" s="2"/>
      <c r="B95" s="2"/>
      <c r="G95" s="56" t="s">
        <v>145</v>
      </c>
      <c r="H95" s="88"/>
      <c r="I95" s="224">
        <f>SUM(I84*0.15)</f>
        <v>4.0049999999999999E-3</v>
      </c>
      <c r="J95" s="224">
        <f t="shared" ref="J95:T95" si="17">SUM(J84*0.15)</f>
        <v>4.0049999999999999E-3</v>
      </c>
      <c r="K95" s="224">
        <f t="shared" si="17"/>
        <v>6.0000000000000001E-3</v>
      </c>
      <c r="L95" s="224">
        <f t="shared" si="17"/>
        <v>6.0000000000000001E-3</v>
      </c>
      <c r="M95" s="224">
        <f t="shared" si="17"/>
        <v>6.0000000000000001E-3</v>
      </c>
      <c r="N95" s="224">
        <f t="shared" si="17"/>
        <v>6.0000000000000001E-3</v>
      </c>
      <c r="O95" s="224">
        <f t="shared" si="17"/>
        <v>6.0000000000000001E-3</v>
      </c>
      <c r="P95" s="224">
        <f t="shared" si="17"/>
        <v>6.0000000000000001E-3</v>
      </c>
      <c r="Q95" s="224">
        <f t="shared" si="17"/>
        <v>4.0049999999999999E-3</v>
      </c>
      <c r="R95" s="224">
        <f t="shared" si="17"/>
        <v>4.0049999999999999E-3</v>
      </c>
      <c r="S95" s="224">
        <f t="shared" si="17"/>
        <v>4.0049999999999999E-3</v>
      </c>
      <c r="T95" s="224">
        <f t="shared" si="17"/>
        <v>4.0049999999999999E-3</v>
      </c>
      <c r="U95" s="226">
        <f t="shared" si="11"/>
        <v>6.003E-2</v>
      </c>
    </row>
    <row r="96" spans="1:21" x14ac:dyDescent="0.15">
      <c r="A96" s="2"/>
      <c r="B96" s="2"/>
      <c r="G96" s="56" t="s">
        <v>190</v>
      </c>
      <c r="H96" s="88"/>
      <c r="I96" s="224">
        <f>SUM(I84*0.1)</f>
        <v>2.6700000000000005E-3</v>
      </c>
      <c r="J96" s="224">
        <f t="shared" ref="J96:T96" si="18">SUM(J84*0.1)</f>
        <v>2.6700000000000005E-3</v>
      </c>
      <c r="K96" s="224">
        <f t="shared" si="18"/>
        <v>4.0000000000000001E-3</v>
      </c>
      <c r="L96" s="224">
        <f t="shared" si="18"/>
        <v>4.0000000000000001E-3</v>
      </c>
      <c r="M96" s="224">
        <f t="shared" si="18"/>
        <v>4.0000000000000001E-3</v>
      </c>
      <c r="N96" s="224">
        <f t="shared" si="18"/>
        <v>4.0000000000000001E-3</v>
      </c>
      <c r="O96" s="224">
        <f t="shared" si="18"/>
        <v>4.0000000000000001E-3</v>
      </c>
      <c r="P96" s="224">
        <f t="shared" si="18"/>
        <v>4.0000000000000001E-3</v>
      </c>
      <c r="Q96" s="224">
        <f t="shared" si="18"/>
        <v>2.6700000000000005E-3</v>
      </c>
      <c r="R96" s="224">
        <f t="shared" si="18"/>
        <v>2.6700000000000005E-3</v>
      </c>
      <c r="S96" s="224">
        <f t="shared" si="18"/>
        <v>2.6700000000000005E-3</v>
      </c>
      <c r="T96" s="224">
        <f t="shared" si="18"/>
        <v>2.6700000000000005E-3</v>
      </c>
      <c r="U96" s="226">
        <f t="shared" si="11"/>
        <v>4.002E-2</v>
      </c>
    </row>
    <row r="97" spans="1:31" x14ac:dyDescent="0.15">
      <c r="A97" s="2"/>
      <c r="B97" s="2"/>
      <c r="G97" s="62" t="s">
        <v>46</v>
      </c>
      <c r="H97" s="87"/>
      <c r="I97" s="223">
        <f>SUM(I98:I101)</f>
        <v>1.4999999999999999E-2</v>
      </c>
      <c r="J97" s="223">
        <f t="shared" ref="J97:T97" si="19">SUM(J98:J101)</f>
        <v>1.4999999999999999E-2</v>
      </c>
      <c r="K97" s="223">
        <f t="shared" si="19"/>
        <v>0.01</v>
      </c>
      <c r="L97" s="223">
        <f t="shared" si="19"/>
        <v>0.01</v>
      </c>
      <c r="M97" s="223">
        <f t="shared" si="19"/>
        <v>0.01</v>
      </c>
      <c r="N97" s="223">
        <f t="shared" si="19"/>
        <v>0.01</v>
      </c>
      <c r="O97" s="223">
        <f t="shared" si="19"/>
        <v>0.01</v>
      </c>
      <c r="P97" s="223">
        <f t="shared" si="19"/>
        <v>0.01</v>
      </c>
      <c r="Q97" s="223">
        <f t="shared" si="19"/>
        <v>1.4999999999999999E-2</v>
      </c>
      <c r="R97" s="223">
        <f t="shared" si="19"/>
        <v>1.4999999999999999E-2</v>
      </c>
      <c r="S97" s="223">
        <f t="shared" si="19"/>
        <v>1.4999999999999999E-2</v>
      </c>
      <c r="T97" s="223">
        <f t="shared" si="19"/>
        <v>1.4999999999999999E-2</v>
      </c>
      <c r="U97" s="222">
        <f>SUM(U98:U101)</f>
        <v>0.14999999999999997</v>
      </c>
    </row>
    <row r="98" spans="1:31" x14ac:dyDescent="0.15">
      <c r="A98" s="2"/>
      <c r="B98" s="2"/>
      <c r="G98" s="107" t="s">
        <v>92</v>
      </c>
      <c r="H98" s="108"/>
      <c r="I98" s="230">
        <f>I85*0.15</f>
        <v>2.2499999999999998E-3</v>
      </c>
      <c r="J98" s="230">
        <f t="shared" ref="J98:T98" si="20">J85*0.15</f>
        <v>2.2499999999999998E-3</v>
      </c>
      <c r="K98" s="230">
        <f t="shared" si="20"/>
        <v>1.5E-3</v>
      </c>
      <c r="L98" s="230">
        <f t="shared" si="20"/>
        <v>1.5E-3</v>
      </c>
      <c r="M98" s="230">
        <f t="shared" si="20"/>
        <v>1.5E-3</v>
      </c>
      <c r="N98" s="230">
        <f t="shared" si="20"/>
        <v>1.5E-3</v>
      </c>
      <c r="O98" s="230">
        <f t="shared" si="20"/>
        <v>1.5E-3</v>
      </c>
      <c r="P98" s="230">
        <f t="shared" si="20"/>
        <v>1.5E-3</v>
      </c>
      <c r="Q98" s="230">
        <f t="shared" si="20"/>
        <v>2.2499999999999998E-3</v>
      </c>
      <c r="R98" s="230">
        <f t="shared" si="20"/>
        <v>2.2499999999999998E-3</v>
      </c>
      <c r="S98" s="230">
        <f t="shared" si="20"/>
        <v>2.2499999999999998E-3</v>
      </c>
      <c r="T98" s="230">
        <f t="shared" si="20"/>
        <v>2.2499999999999998E-3</v>
      </c>
      <c r="U98" s="226">
        <f t="shared" si="11"/>
        <v>2.2499999999999992E-2</v>
      </c>
    </row>
    <row r="99" spans="1:31" x14ac:dyDescent="0.15">
      <c r="A99" s="2"/>
      <c r="B99" s="2"/>
      <c r="G99" s="109" t="s">
        <v>93</v>
      </c>
      <c r="H99" s="108"/>
      <c r="I99" s="229">
        <f>SUM(I85*0.1)</f>
        <v>1.5E-3</v>
      </c>
      <c r="J99" s="229">
        <f t="shared" ref="J99:T99" si="21">SUM(J85*0.1)</f>
        <v>1.5E-3</v>
      </c>
      <c r="K99" s="229">
        <f t="shared" si="21"/>
        <v>1E-3</v>
      </c>
      <c r="L99" s="229">
        <f t="shared" si="21"/>
        <v>1E-3</v>
      </c>
      <c r="M99" s="229">
        <f t="shared" si="21"/>
        <v>1E-3</v>
      </c>
      <c r="N99" s="229">
        <f t="shared" si="21"/>
        <v>1E-3</v>
      </c>
      <c r="O99" s="229">
        <f t="shared" si="21"/>
        <v>1E-3</v>
      </c>
      <c r="P99" s="229">
        <f t="shared" si="21"/>
        <v>1E-3</v>
      </c>
      <c r="Q99" s="229">
        <f t="shared" si="21"/>
        <v>1.5E-3</v>
      </c>
      <c r="R99" s="229">
        <f t="shared" si="21"/>
        <v>1.5E-3</v>
      </c>
      <c r="S99" s="229">
        <f t="shared" si="21"/>
        <v>1.5E-3</v>
      </c>
      <c r="T99" s="229">
        <f t="shared" si="21"/>
        <v>1.5E-3</v>
      </c>
      <c r="U99" s="226">
        <f t="shared" si="11"/>
        <v>1.4999999999999999E-2</v>
      </c>
    </row>
    <row r="100" spans="1:31" x14ac:dyDescent="0.15">
      <c r="A100" s="2"/>
      <c r="B100" s="2"/>
      <c r="G100" s="109" t="s">
        <v>89</v>
      </c>
      <c r="H100" s="108"/>
      <c r="I100" s="231">
        <f>I85*0.4</f>
        <v>6.0000000000000001E-3</v>
      </c>
      <c r="J100" s="231">
        <f t="shared" ref="J100:T100" si="22">J85*0.4</f>
        <v>6.0000000000000001E-3</v>
      </c>
      <c r="K100" s="231">
        <f t="shared" si="22"/>
        <v>4.0000000000000001E-3</v>
      </c>
      <c r="L100" s="231">
        <f t="shared" si="22"/>
        <v>4.0000000000000001E-3</v>
      </c>
      <c r="M100" s="231">
        <f t="shared" si="22"/>
        <v>4.0000000000000001E-3</v>
      </c>
      <c r="N100" s="231">
        <f t="shared" si="22"/>
        <v>4.0000000000000001E-3</v>
      </c>
      <c r="O100" s="231">
        <f t="shared" si="22"/>
        <v>4.0000000000000001E-3</v>
      </c>
      <c r="P100" s="231">
        <f t="shared" si="22"/>
        <v>4.0000000000000001E-3</v>
      </c>
      <c r="Q100" s="231">
        <f t="shared" si="22"/>
        <v>6.0000000000000001E-3</v>
      </c>
      <c r="R100" s="231">
        <f t="shared" si="22"/>
        <v>6.0000000000000001E-3</v>
      </c>
      <c r="S100" s="231">
        <f t="shared" si="22"/>
        <v>6.0000000000000001E-3</v>
      </c>
      <c r="T100" s="231">
        <f t="shared" si="22"/>
        <v>6.0000000000000001E-3</v>
      </c>
      <c r="U100" s="226">
        <f t="shared" si="11"/>
        <v>0.06</v>
      </c>
    </row>
    <row r="101" spans="1:31" ht="14" thickBot="1" x14ac:dyDescent="0.2">
      <c r="A101" s="2"/>
      <c r="B101" s="2"/>
      <c r="G101" s="104" t="s">
        <v>147</v>
      </c>
      <c r="H101" s="105"/>
      <c r="I101" s="228">
        <f>I85*0.35</f>
        <v>5.2499999999999995E-3</v>
      </c>
      <c r="J101" s="228">
        <f t="shared" ref="J101:T101" si="23">J85*0.35</f>
        <v>5.2499999999999995E-3</v>
      </c>
      <c r="K101" s="228">
        <f t="shared" si="23"/>
        <v>3.4999999999999996E-3</v>
      </c>
      <c r="L101" s="228">
        <f t="shared" si="23"/>
        <v>3.4999999999999996E-3</v>
      </c>
      <c r="M101" s="228">
        <f t="shared" si="23"/>
        <v>3.4999999999999996E-3</v>
      </c>
      <c r="N101" s="228">
        <f t="shared" si="23"/>
        <v>3.4999999999999996E-3</v>
      </c>
      <c r="O101" s="228">
        <f t="shared" si="23"/>
        <v>3.4999999999999996E-3</v>
      </c>
      <c r="P101" s="228">
        <f t="shared" si="23"/>
        <v>3.4999999999999996E-3</v>
      </c>
      <c r="Q101" s="228">
        <f t="shared" si="23"/>
        <v>5.2499999999999995E-3</v>
      </c>
      <c r="R101" s="228">
        <f t="shared" si="23"/>
        <v>5.2499999999999995E-3</v>
      </c>
      <c r="S101" s="228">
        <f t="shared" si="23"/>
        <v>5.2499999999999995E-3</v>
      </c>
      <c r="T101" s="228">
        <f t="shared" si="23"/>
        <v>5.2499999999999995E-3</v>
      </c>
      <c r="U101" s="232">
        <f t="shared" si="11"/>
        <v>5.2499999999999991E-2</v>
      </c>
    </row>
    <row r="102" spans="1:31" ht="14" thickBot="1" x14ac:dyDescent="0.2">
      <c r="A102" s="2"/>
      <c r="B102" s="2"/>
      <c r="G102" s="233" t="s">
        <v>22</v>
      </c>
      <c r="H102" s="101"/>
      <c r="I102" s="225">
        <f>SUM(I87,I92,I97)</f>
        <v>9.7949999999999995E-2</v>
      </c>
      <c r="J102" s="225">
        <f t="shared" ref="J102:T102" si="24">SUM(J87,J92,J97)</f>
        <v>9.7949999999999995E-2</v>
      </c>
      <c r="K102" s="225">
        <f t="shared" si="24"/>
        <v>7.8124999999999986E-2</v>
      </c>
      <c r="L102" s="225">
        <f t="shared" si="24"/>
        <v>7.8124999999999986E-2</v>
      </c>
      <c r="M102" s="225">
        <f t="shared" si="24"/>
        <v>7.8124999999999986E-2</v>
      </c>
      <c r="N102" s="225">
        <f t="shared" si="24"/>
        <v>7.8124999999999986E-2</v>
      </c>
      <c r="O102" s="225">
        <f t="shared" si="24"/>
        <v>7.8124999999999986E-2</v>
      </c>
      <c r="P102" s="225">
        <f t="shared" si="24"/>
        <v>7.8124999999999986E-2</v>
      </c>
      <c r="Q102" s="225">
        <f t="shared" si="24"/>
        <v>6.9824999999999998E-2</v>
      </c>
      <c r="R102" s="225">
        <f t="shared" si="24"/>
        <v>6.9824999999999998E-2</v>
      </c>
      <c r="S102" s="225">
        <f t="shared" si="24"/>
        <v>9.7949999999999995E-2</v>
      </c>
      <c r="T102" s="225">
        <f t="shared" si="24"/>
        <v>9.7949999999999995E-2</v>
      </c>
      <c r="U102" s="236">
        <f>SUM(U88:U91,U93:U96,U98:U101)</f>
        <v>1.0001999999999998</v>
      </c>
    </row>
    <row r="103" spans="1:31" x14ac:dyDescent="0.15">
      <c r="A103" s="2"/>
      <c r="B103" s="2"/>
    </row>
    <row r="104" spans="1:31" x14ac:dyDescent="0.15">
      <c r="A104" s="2"/>
      <c r="B104" s="2"/>
    </row>
    <row r="105" spans="1:31" x14ac:dyDescent="0.15">
      <c r="A105" s="2"/>
      <c r="B105" s="2"/>
      <c r="M105" s="55"/>
    </row>
    <row r="106" spans="1:31" x14ac:dyDescent="0.15">
      <c r="A106" s="2"/>
      <c r="B106" s="2"/>
    </row>
    <row r="107" spans="1:31" x14ac:dyDescent="0.15">
      <c r="A107" s="2"/>
      <c r="B107" s="2"/>
    </row>
    <row r="108" spans="1:31" x14ac:dyDescent="0.15">
      <c r="A108" s="2"/>
      <c r="B108" s="2"/>
    </row>
    <row r="109" spans="1:31" x14ac:dyDescent="0.15">
      <c r="A109" s="2"/>
      <c r="B109" s="2"/>
      <c r="C109" s="45"/>
    </row>
    <row r="110" spans="1:31" x14ac:dyDescent="0.15">
      <c r="A110" s="2"/>
      <c r="B110" s="2"/>
      <c r="C110" s="45"/>
      <c r="F110" s="46"/>
      <c r="V110" s="46"/>
      <c r="AA110" s="46"/>
      <c r="AB110" s="46"/>
      <c r="AC110" s="46"/>
      <c r="AD110" s="46"/>
      <c r="AE110" s="46"/>
    </row>
    <row r="111" spans="1:31" x14ac:dyDescent="0.15">
      <c r="A111" s="2"/>
      <c r="B111" s="2"/>
      <c r="C111" s="45"/>
      <c r="F111" s="39" t="s">
        <v>23</v>
      </c>
      <c r="G111" s="99"/>
      <c r="H111" s="32"/>
      <c r="I111" s="33"/>
      <c r="J111" s="33"/>
      <c r="K111" s="33"/>
      <c r="L111" s="33"/>
      <c r="M111" s="33"/>
      <c r="N111" s="33"/>
      <c r="O111" s="33"/>
      <c r="P111" s="33"/>
      <c r="Q111" s="34"/>
      <c r="R111" s="34"/>
      <c r="S111" s="34"/>
      <c r="T111" s="34"/>
      <c r="V111" s="46"/>
      <c r="AA111" s="46"/>
      <c r="AB111" s="46"/>
      <c r="AC111" s="46"/>
      <c r="AD111" s="46"/>
      <c r="AE111" s="46"/>
    </row>
    <row r="112" spans="1:31" x14ac:dyDescent="0.15">
      <c r="A112" s="2"/>
      <c r="B112" s="2"/>
      <c r="C112" s="45"/>
      <c r="F112" s="8"/>
      <c r="G112" s="100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9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</row>
    <row r="113" spans="1:31" ht="14" thickBot="1" x14ac:dyDescent="0.2">
      <c r="A113" s="2"/>
      <c r="B113" s="2"/>
      <c r="C113" s="45"/>
      <c r="F113" s="14" t="s">
        <v>13</v>
      </c>
      <c r="G113" s="14"/>
      <c r="H113" s="7" t="s">
        <v>0</v>
      </c>
      <c r="I113" s="7" t="s">
        <v>1</v>
      </c>
      <c r="J113" s="7" t="s">
        <v>2</v>
      </c>
      <c r="K113" s="7" t="s">
        <v>3</v>
      </c>
      <c r="L113" s="7" t="s">
        <v>4</v>
      </c>
      <c r="M113" s="7" t="s">
        <v>5</v>
      </c>
      <c r="N113" s="7" t="s">
        <v>6</v>
      </c>
      <c r="O113" s="7" t="s">
        <v>7</v>
      </c>
      <c r="P113" s="7" t="s">
        <v>8</v>
      </c>
      <c r="Q113" s="7" t="s">
        <v>9</v>
      </c>
      <c r="R113" s="7" t="s">
        <v>10</v>
      </c>
      <c r="S113" s="7" t="s">
        <v>11</v>
      </c>
      <c r="T113" s="16" t="s">
        <v>12</v>
      </c>
      <c r="W113" s="46"/>
      <c r="X113" s="46"/>
      <c r="Y113" s="46"/>
      <c r="Z113" s="46"/>
      <c r="AA113" s="46"/>
      <c r="AB113" s="46"/>
      <c r="AC113" s="46"/>
      <c r="AD113" s="46"/>
      <c r="AE113" s="46"/>
    </row>
    <row r="114" spans="1:31" x14ac:dyDescent="0.15">
      <c r="A114" s="2"/>
      <c r="B114" s="2"/>
      <c r="C114" s="45"/>
      <c r="F114" s="19"/>
      <c r="G114" s="87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3"/>
      <c r="W114" s="174"/>
      <c r="X114" s="175"/>
      <c r="Y114" s="175"/>
      <c r="Z114" s="175"/>
      <c r="AA114" s="175"/>
      <c r="AB114" s="175"/>
      <c r="AC114" s="175"/>
      <c r="AD114" s="175"/>
      <c r="AE114" s="176"/>
    </row>
    <row r="115" spans="1:31" ht="14" thickBot="1" x14ac:dyDescent="0.2">
      <c r="A115" s="2"/>
      <c r="B115" s="2"/>
      <c r="C115" s="45"/>
      <c r="F115" s="4" t="s">
        <v>14</v>
      </c>
      <c r="G115" s="88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10"/>
      <c r="U115" s="46"/>
      <c r="W115" s="177" t="s">
        <v>191</v>
      </c>
      <c r="X115" s="162"/>
      <c r="Y115" s="165"/>
      <c r="Z115" s="163"/>
      <c r="AA115" s="163"/>
      <c r="AB115" s="163"/>
      <c r="AC115" s="164"/>
      <c r="AD115" s="164"/>
      <c r="AE115" s="178"/>
    </row>
    <row r="116" spans="1:31" ht="14" thickTop="1" x14ac:dyDescent="0.15">
      <c r="A116" s="2"/>
      <c r="B116" s="2"/>
      <c r="C116" s="45"/>
      <c r="F116" s="60" t="s">
        <v>43</v>
      </c>
      <c r="G116" s="88"/>
      <c r="H116" s="110">
        <v>14957.71875</v>
      </c>
      <c r="I116" s="110">
        <v>14957.71875</v>
      </c>
      <c r="J116" s="110">
        <v>4985.90625</v>
      </c>
      <c r="K116" s="110">
        <v>4985.90625</v>
      </c>
      <c r="L116" s="110">
        <v>4985.90625</v>
      </c>
      <c r="M116" s="110">
        <v>4985.90625</v>
      </c>
      <c r="N116" s="110">
        <v>4985.90625</v>
      </c>
      <c r="O116" s="110">
        <v>4985.90625</v>
      </c>
      <c r="P116" s="110">
        <v>29915.4375</v>
      </c>
      <c r="Q116" s="110">
        <v>29915.4375</v>
      </c>
      <c r="R116" s="110">
        <v>14957.71875</v>
      </c>
      <c r="S116" s="110">
        <v>14957.71875</v>
      </c>
      <c r="T116" s="111">
        <f>SUM(H115:S116)</f>
        <v>149577.1875</v>
      </c>
      <c r="U116" s="46"/>
      <c r="W116" s="179" t="s">
        <v>110</v>
      </c>
      <c r="X116" s="86"/>
      <c r="Y116" s="147"/>
      <c r="Z116" s="54"/>
      <c r="AA116" s="54"/>
      <c r="AB116" s="54"/>
      <c r="AC116" s="180"/>
      <c r="AD116" s="180"/>
      <c r="AE116" s="181"/>
    </row>
    <row r="117" spans="1:31" x14ac:dyDescent="0.15">
      <c r="A117" s="2"/>
      <c r="B117" s="2"/>
      <c r="C117" s="45"/>
      <c r="F117" s="56" t="s">
        <v>189</v>
      </c>
      <c r="G117" s="102"/>
      <c r="H117" s="112">
        <f>SUM(H116*0.4)</f>
        <v>5983.0875000000005</v>
      </c>
      <c r="I117" s="112">
        <f t="shared" ref="I117:S117" si="25">SUM(I116*0.4)</f>
        <v>5983.0875000000005</v>
      </c>
      <c r="J117" s="112">
        <f t="shared" si="25"/>
        <v>1994.3625000000002</v>
      </c>
      <c r="K117" s="112">
        <f t="shared" si="25"/>
        <v>1994.3625000000002</v>
      </c>
      <c r="L117" s="112">
        <f t="shared" si="25"/>
        <v>1994.3625000000002</v>
      </c>
      <c r="M117" s="112">
        <f t="shared" si="25"/>
        <v>1994.3625000000002</v>
      </c>
      <c r="N117" s="112">
        <f t="shared" si="25"/>
        <v>1994.3625000000002</v>
      </c>
      <c r="O117" s="112">
        <f t="shared" si="25"/>
        <v>1994.3625000000002</v>
      </c>
      <c r="P117" s="112">
        <f t="shared" si="25"/>
        <v>11966.175000000001</v>
      </c>
      <c r="Q117" s="112">
        <f t="shared" si="25"/>
        <v>11966.175000000001</v>
      </c>
      <c r="R117" s="112">
        <f t="shared" si="25"/>
        <v>5983.0875000000005</v>
      </c>
      <c r="S117" s="112">
        <f t="shared" si="25"/>
        <v>5983.0875000000005</v>
      </c>
      <c r="T117" s="150">
        <f>SUM(H117:S117)</f>
        <v>59830.875000000007</v>
      </c>
      <c r="U117" s="46"/>
      <c r="W117" s="182" t="s">
        <v>87</v>
      </c>
      <c r="X117" s="154"/>
      <c r="Y117" s="155"/>
      <c r="Z117" s="171" t="s">
        <v>109</v>
      </c>
      <c r="AA117" s="154"/>
      <c r="AB117" s="155"/>
      <c r="AC117" s="159" t="s">
        <v>91</v>
      </c>
      <c r="AD117" s="154"/>
      <c r="AE117" s="184"/>
    </row>
    <row r="118" spans="1:31" x14ac:dyDescent="0.15">
      <c r="A118" s="2"/>
      <c r="B118" s="2"/>
      <c r="C118" s="45"/>
      <c r="F118" s="56" t="s">
        <v>90</v>
      </c>
      <c r="G118" s="103"/>
      <c r="H118" s="112">
        <f>SUM(H116*0.35)</f>
        <v>5235.2015624999995</v>
      </c>
      <c r="I118" s="112">
        <f t="shared" ref="I118:S118" si="26">SUM(I116*0.35)</f>
        <v>5235.2015624999995</v>
      </c>
      <c r="J118" s="112">
        <f t="shared" si="26"/>
        <v>1745.0671874999998</v>
      </c>
      <c r="K118" s="112">
        <f t="shared" si="26"/>
        <v>1745.0671874999998</v>
      </c>
      <c r="L118" s="112">
        <f t="shared" si="26"/>
        <v>1745.0671874999998</v>
      </c>
      <c r="M118" s="112">
        <f t="shared" si="26"/>
        <v>1745.0671874999998</v>
      </c>
      <c r="N118" s="112">
        <f t="shared" si="26"/>
        <v>1745.0671874999998</v>
      </c>
      <c r="O118" s="112">
        <f t="shared" si="26"/>
        <v>1745.0671874999998</v>
      </c>
      <c r="P118" s="112">
        <f t="shared" si="26"/>
        <v>10470.403124999999</v>
      </c>
      <c r="Q118" s="112">
        <f t="shared" si="26"/>
        <v>10470.403124999999</v>
      </c>
      <c r="R118" s="112">
        <f t="shared" si="26"/>
        <v>5235.2015624999995</v>
      </c>
      <c r="S118" s="112">
        <f t="shared" si="26"/>
        <v>5235.2015624999995</v>
      </c>
      <c r="T118" s="111">
        <f t="shared" ref="T118:T119" si="27">SUM(H118:S118)</f>
        <v>52352.015624999993</v>
      </c>
      <c r="W118" s="183" t="s">
        <v>192</v>
      </c>
      <c r="X118" s="65" t="s">
        <v>130</v>
      </c>
      <c r="Y118" s="156">
        <f>SUM(0.18*4)</f>
        <v>0.72</v>
      </c>
      <c r="Z118" s="159" t="s">
        <v>88</v>
      </c>
      <c r="AA118" s="160"/>
      <c r="AB118" s="161"/>
      <c r="AC118" s="67" t="s">
        <v>102</v>
      </c>
      <c r="AD118" s="65" t="s">
        <v>123</v>
      </c>
      <c r="AE118" s="185">
        <v>0.41</v>
      </c>
    </row>
    <row r="119" spans="1:31" x14ac:dyDescent="0.15">
      <c r="A119" s="2"/>
      <c r="B119" s="2"/>
      <c r="C119" s="45"/>
      <c r="F119" s="56" t="s">
        <v>91</v>
      </c>
      <c r="G119" s="103"/>
      <c r="H119" s="112">
        <f>SUM(H116*0.1)</f>
        <v>1495.7718750000001</v>
      </c>
      <c r="I119" s="112">
        <f t="shared" ref="I119:S119" si="28">SUM(I116*0.1)</f>
        <v>1495.7718750000001</v>
      </c>
      <c r="J119" s="112">
        <f t="shared" si="28"/>
        <v>498.59062500000005</v>
      </c>
      <c r="K119" s="112">
        <f t="shared" si="28"/>
        <v>498.59062500000005</v>
      </c>
      <c r="L119" s="112">
        <f t="shared" si="28"/>
        <v>498.59062500000005</v>
      </c>
      <c r="M119" s="112">
        <f t="shared" si="28"/>
        <v>498.59062500000005</v>
      </c>
      <c r="N119" s="112">
        <f t="shared" si="28"/>
        <v>498.59062500000005</v>
      </c>
      <c r="O119" s="112">
        <f t="shared" si="28"/>
        <v>498.59062500000005</v>
      </c>
      <c r="P119" s="112">
        <f t="shared" si="28"/>
        <v>2991.5437500000003</v>
      </c>
      <c r="Q119" s="112">
        <f t="shared" si="28"/>
        <v>2991.5437500000003</v>
      </c>
      <c r="R119" s="112">
        <f t="shared" si="28"/>
        <v>1495.7718750000001</v>
      </c>
      <c r="S119" s="112">
        <f t="shared" si="28"/>
        <v>1495.7718750000001</v>
      </c>
      <c r="T119" s="111">
        <f t="shared" si="27"/>
        <v>14957.718750000002</v>
      </c>
      <c r="W119" s="183" t="s">
        <v>193</v>
      </c>
      <c r="X119" s="65" t="s">
        <v>132</v>
      </c>
      <c r="Y119" s="156">
        <v>0.32</v>
      </c>
      <c r="Z119" s="75" t="s">
        <v>95</v>
      </c>
      <c r="AA119" s="65" t="s">
        <v>116</v>
      </c>
      <c r="AB119" s="156">
        <f>SUM(128*0.05)</f>
        <v>6.4</v>
      </c>
      <c r="AC119" s="61" t="s">
        <v>192</v>
      </c>
      <c r="AD119" s="65" t="s">
        <v>130</v>
      </c>
      <c r="AE119" s="185">
        <v>0.18</v>
      </c>
    </row>
    <row r="120" spans="1:31" x14ac:dyDescent="0.15">
      <c r="A120" s="2"/>
      <c r="B120" s="2"/>
      <c r="C120" s="45"/>
      <c r="F120" s="56" t="s">
        <v>94</v>
      </c>
      <c r="G120" s="103"/>
      <c r="H120" s="112">
        <f>SUM(H116*0.15)</f>
        <v>2243.6578125000001</v>
      </c>
      <c r="I120" s="112">
        <f t="shared" ref="I120:S120" si="29">SUM(I116*0.15)</f>
        <v>2243.6578125000001</v>
      </c>
      <c r="J120" s="112">
        <f t="shared" si="29"/>
        <v>747.88593749999995</v>
      </c>
      <c r="K120" s="112">
        <f t="shared" si="29"/>
        <v>747.88593749999995</v>
      </c>
      <c r="L120" s="112">
        <f t="shared" si="29"/>
        <v>747.88593749999995</v>
      </c>
      <c r="M120" s="112">
        <f t="shared" si="29"/>
        <v>747.88593749999995</v>
      </c>
      <c r="N120" s="112">
        <f t="shared" si="29"/>
        <v>747.88593749999995</v>
      </c>
      <c r="O120" s="112">
        <f t="shared" si="29"/>
        <v>747.88593749999995</v>
      </c>
      <c r="P120" s="112">
        <f t="shared" si="29"/>
        <v>4487.3156250000002</v>
      </c>
      <c r="Q120" s="112">
        <f t="shared" si="29"/>
        <v>4487.3156250000002</v>
      </c>
      <c r="R120" s="112">
        <f t="shared" si="29"/>
        <v>2243.6578125000001</v>
      </c>
      <c r="S120" s="112">
        <f t="shared" si="29"/>
        <v>2243.6578125000001</v>
      </c>
      <c r="T120" s="111">
        <f>SUM(H120:S120)</f>
        <v>22436.578125000004</v>
      </c>
      <c r="W120" s="186" t="s">
        <v>194</v>
      </c>
      <c r="X120" s="79" t="s">
        <v>129</v>
      </c>
      <c r="Y120" s="157">
        <v>0.08</v>
      </c>
      <c r="Z120" s="66" t="s">
        <v>98</v>
      </c>
      <c r="AA120" s="65" t="s">
        <v>130</v>
      </c>
      <c r="AB120" s="156">
        <f>SUM(0.54*4)</f>
        <v>2.16</v>
      </c>
      <c r="AC120" s="67" t="s">
        <v>121</v>
      </c>
      <c r="AD120" s="65" t="s">
        <v>129</v>
      </c>
      <c r="AE120" s="185">
        <f>SUM(0.04*16)</f>
        <v>0.64</v>
      </c>
    </row>
    <row r="121" spans="1:31" x14ac:dyDescent="0.15">
      <c r="A121" s="2"/>
      <c r="B121" s="2"/>
      <c r="C121" s="45"/>
      <c r="F121" s="62" t="s">
        <v>44</v>
      </c>
      <c r="G121" s="88"/>
      <c r="H121" s="113">
        <v>7091.0666666666666</v>
      </c>
      <c r="I121" s="113">
        <v>7091.0666666666666</v>
      </c>
      <c r="J121" s="113">
        <v>10636.6</v>
      </c>
      <c r="K121" s="113">
        <v>10636.6</v>
      </c>
      <c r="L121" s="113">
        <v>10636.6</v>
      </c>
      <c r="M121" s="113">
        <v>10636.6</v>
      </c>
      <c r="N121" s="113">
        <v>10636.6</v>
      </c>
      <c r="O121" s="113">
        <v>10636.6</v>
      </c>
      <c r="P121" s="113">
        <v>7091.0666666666666</v>
      </c>
      <c r="Q121" s="113">
        <v>7091.0666666666666</v>
      </c>
      <c r="R121" s="113">
        <v>7091.0666666666666</v>
      </c>
      <c r="S121" s="113">
        <v>7091.0666666666666</v>
      </c>
      <c r="T121" s="114">
        <f>SUM(H121:S121)</f>
        <v>106366</v>
      </c>
      <c r="W121" s="187" t="s">
        <v>142</v>
      </c>
      <c r="X121" s="170"/>
      <c r="Y121" s="158">
        <f>SUM(Y118:Y120)</f>
        <v>1.1200000000000001</v>
      </c>
      <c r="Z121" s="59" t="s">
        <v>96</v>
      </c>
      <c r="AA121" s="65" t="s">
        <v>118</v>
      </c>
      <c r="AB121" s="156">
        <f>SUM(0.3*6)</f>
        <v>1.7999999999999998</v>
      </c>
      <c r="AC121" s="67" t="s">
        <v>205</v>
      </c>
      <c r="AD121" s="65" t="s">
        <v>127</v>
      </c>
      <c r="AE121" s="185">
        <v>0.21</v>
      </c>
    </row>
    <row r="122" spans="1:31" x14ac:dyDescent="0.15">
      <c r="A122" s="2"/>
      <c r="B122" s="2"/>
      <c r="C122" s="45"/>
      <c r="F122" s="56" t="s">
        <v>87</v>
      </c>
      <c r="G122" s="88"/>
      <c r="H122" s="115">
        <f>SUM(H121*0.4)</f>
        <v>2836.4266666666667</v>
      </c>
      <c r="I122" s="115">
        <f t="shared" ref="I122:S122" si="30">SUM(I121*0.4)</f>
        <v>2836.4266666666667</v>
      </c>
      <c r="J122" s="115">
        <f t="shared" si="30"/>
        <v>4254.6400000000003</v>
      </c>
      <c r="K122" s="115">
        <f t="shared" si="30"/>
        <v>4254.6400000000003</v>
      </c>
      <c r="L122" s="115">
        <f t="shared" si="30"/>
        <v>4254.6400000000003</v>
      </c>
      <c r="M122" s="115">
        <f t="shared" si="30"/>
        <v>4254.6400000000003</v>
      </c>
      <c r="N122" s="115">
        <f t="shared" si="30"/>
        <v>4254.6400000000003</v>
      </c>
      <c r="O122" s="115">
        <f t="shared" si="30"/>
        <v>4254.6400000000003</v>
      </c>
      <c r="P122" s="115">
        <f t="shared" si="30"/>
        <v>2836.4266666666667</v>
      </c>
      <c r="Q122" s="115">
        <f t="shared" si="30"/>
        <v>2836.4266666666667</v>
      </c>
      <c r="R122" s="115">
        <f t="shared" si="30"/>
        <v>2836.4266666666667</v>
      </c>
      <c r="S122" s="115">
        <f t="shared" si="30"/>
        <v>2836.4266666666667</v>
      </c>
      <c r="T122" s="114">
        <f t="shared" ref="T122:T125" si="31">SUM(H122:S122)</f>
        <v>42546.400000000001</v>
      </c>
      <c r="W122" s="183"/>
      <c r="X122" s="65"/>
      <c r="Y122" s="156">
        <f>SUM(Y121*0.4)+Y121</f>
        <v>1.5680000000000001</v>
      </c>
      <c r="Z122" s="59" t="s">
        <v>97</v>
      </c>
      <c r="AA122" s="65" t="s">
        <v>119</v>
      </c>
      <c r="AB122" s="156">
        <f>SUM(0.55*6)</f>
        <v>3.3000000000000003</v>
      </c>
      <c r="AC122" s="67" t="s">
        <v>209</v>
      </c>
      <c r="AD122" s="65" t="s">
        <v>131</v>
      </c>
      <c r="AE122" s="185">
        <v>0.88</v>
      </c>
    </row>
    <row r="123" spans="1:31" x14ac:dyDescent="0.15">
      <c r="A123" s="2"/>
      <c r="B123" s="2"/>
      <c r="C123" s="45"/>
      <c r="F123" s="56" t="s">
        <v>144</v>
      </c>
      <c r="G123" s="88"/>
      <c r="H123" s="115">
        <f>SUM(H121*0.35)</f>
        <v>2481.873333333333</v>
      </c>
      <c r="I123" s="115">
        <f t="shared" ref="I123:S123" si="32">SUM(I121*0.35)</f>
        <v>2481.873333333333</v>
      </c>
      <c r="J123" s="115">
        <f t="shared" si="32"/>
        <v>3722.81</v>
      </c>
      <c r="K123" s="115">
        <f t="shared" si="32"/>
        <v>3722.81</v>
      </c>
      <c r="L123" s="115">
        <f t="shared" si="32"/>
        <v>3722.81</v>
      </c>
      <c r="M123" s="115">
        <f t="shared" si="32"/>
        <v>3722.81</v>
      </c>
      <c r="N123" s="115">
        <f t="shared" si="32"/>
        <v>3722.81</v>
      </c>
      <c r="O123" s="115">
        <f t="shared" si="32"/>
        <v>3722.81</v>
      </c>
      <c r="P123" s="115">
        <f t="shared" si="32"/>
        <v>2481.873333333333</v>
      </c>
      <c r="Q123" s="115">
        <f t="shared" si="32"/>
        <v>2481.873333333333</v>
      </c>
      <c r="R123" s="115">
        <f t="shared" si="32"/>
        <v>2481.873333333333</v>
      </c>
      <c r="S123" s="115">
        <f t="shared" si="32"/>
        <v>2481.873333333333</v>
      </c>
      <c r="T123" s="114">
        <f t="shared" si="31"/>
        <v>37228.100000000006</v>
      </c>
      <c r="W123" s="188" t="s">
        <v>144</v>
      </c>
      <c r="X123" s="153"/>
      <c r="Y123" s="157"/>
      <c r="Z123" s="66" t="s">
        <v>100</v>
      </c>
      <c r="AA123" s="65" t="s">
        <v>117</v>
      </c>
      <c r="AB123" s="156">
        <f>SUM(0.625/3)</f>
        <v>0.20833333333333334</v>
      </c>
      <c r="AC123" s="67" t="s">
        <v>210</v>
      </c>
      <c r="AD123" s="6" t="s">
        <v>116</v>
      </c>
      <c r="AE123" s="185">
        <f>SUM(0.05*40)</f>
        <v>2</v>
      </c>
    </row>
    <row r="124" spans="1:31" x14ac:dyDescent="0.15">
      <c r="A124" s="2"/>
      <c r="B124" s="2"/>
      <c r="C124" s="45"/>
      <c r="F124" s="56" t="s">
        <v>145</v>
      </c>
      <c r="G124" s="88"/>
      <c r="H124" s="115">
        <f>SUM(H121*0.15)</f>
        <v>1063.6599999999999</v>
      </c>
      <c r="I124" s="115">
        <f t="shared" ref="I124:S124" si="33">SUM(I121*0.15)</f>
        <v>1063.6599999999999</v>
      </c>
      <c r="J124" s="115">
        <f t="shared" si="33"/>
        <v>1595.49</v>
      </c>
      <c r="K124" s="115">
        <f t="shared" si="33"/>
        <v>1595.49</v>
      </c>
      <c r="L124" s="115">
        <f t="shared" si="33"/>
        <v>1595.49</v>
      </c>
      <c r="M124" s="115">
        <f t="shared" si="33"/>
        <v>1595.49</v>
      </c>
      <c r="N124" s="115">
        <f t="shared" si="33"/>
        <v>1595.49</v>
      </c>
      <c r="O124" s="115">
        <f t="shared" si="33"/>
        <v>1595.49</v>
      </c>
      <c r="P124" s="115">
        <f t="shared" si="33"/>
        <v>1063.6599999999999</v>
      </c>
      <c r="Q124" s="115">
        <f t="shared" si="33"/>
        <v>1063.6599999999999</v>
      </c>
      <c r="R124" s="115">
        <f t="shared" si="33"/>
        <v>1063.6599999999999</v>
      </c>
      <c r="S124" s="115">
        <f t="shared" si="33"/>
        <v>1063.6599999999999</v>
      </c>
      <c r="T124" s="114">
        <f t="shared" si="31"/>
        <v>15954.899999999998</v>
      </c>
      <c r="W124" s="183" t="s">
        <v>192</v>
      </c>
      <c r="X124" s="65" t="s">
        <v>130</v>
      </c>
      <c r="Y124" s="156">
        <f>SUM(0.18*4)</f>
        <v>0.72</v>
      </c>
      <c r="Z124" s="59" t="s">
        <v>101</v>
      </c>
      <c r="AA124" s="65" t="s">
        <v>120</v>
      </c>
      <c r="AB124" s="156">
        <f>SUM(0.07*12)</f>
        <v>0.84000000000000008</v>
      </c>
      <c r="AC124" s="67" t="s">
        <v>207</v>
      </c>
      <c r="AD124" s="65" t="s">
        <v>129</v>
      </c>
      <c r="AE124" s="185">
        <f>SUM(0.04*56)</f>
        <v>2.2400000000000002</v>
      </c>
    </row>
    <row r="125" spans="1:31" x14ac:dyDescent="0.15">
      <c r="A125" s="2"/>
      <c r="B125" s="2"/>
      <c r="C125" s="45"/>
      <c r="F125" s="56" t="s">
        <v>190</v>
      </c>
      <c r="G125" s="88"/>
      <c r="H125" s="115">
        <f>SUM(H121*0.1)</f>
        <v>709.10666666666668</v>
      </c>
      <c r="I125" s="115">
        <f t="shared" ref="I125:S125" si="34">SUM(I121*0.1)</f>
        <v>709.10666666666668</v>
      </c>
      <c r="J125" s="115">
        <f t="shared" si="34"/>
        <v>1063.6600000000001</v>
      </c>
      <c r="K125" s="115">
        <f t="shared" si="34"/>
        <v>1063.6600000000001</v>
      </c>
      <c r="L125" s="115">
        <f t="shared" si="34"/>
        <v>1063.6600000000001</v>
      </c>
      <c r="M125" s="115">
        <f t="shared" si="34"/>
        <v>1063.6600000000001</v>
      </c>
      <c r="N125" s="115">
        <f t="shared" si="34"/>
        <v>1063.6600000000001</v>
      </c>
      <c r="O125" s="115">
        <f t="shared" si="34"/>
        <v>1063.6600000000001</v>
      </c>
      <c r="P125" s="115">
        <f t="shared" si="34"/>
        <v>709.10666666666668</v>
      </c>
      <c r="Q125" s="115">
        <f t="shared" si="34"/>
        <v>709.10666666666668</v>
      </c>
      <c r="R125" s="115">
        <f t="shared" si="34"/>
        <v>709.10666666666668</v>
      </c>
      <c r="S125" s="115">
        <f t="shared" si="34"/>
        <v>709.10666666666668</v>
      </c>
      <c r="T125" s="114">
        <f t="shared" si="31"/>
        <v>10636.6</v>
      </c>
      <c r="W125" s="189" t="s">
        <v>195</v>
      </c>
      <c r="X125" s="65" t="s">
        <v>135</v>
      </c>
      <c r="Y125" s="156">
        <v>0.44</v>
      </c>
      <c r="Z125" s="80" t="s">
        <v>121</v>
      </c>
      <c r="AA125" s="79" t="s">
        <v>129</v>
      </c>
      <c r="AB125" s="157">
        <f>SUM(0.04*16)</f>
        <v>0.64</v>
      </c>
      <c r="AC125" s="67" t="s">
        <v>106</v>
      </c>
      <c r="AD125" s="65" t="s">
        <v>126</v>
      </c>
      <c r="AE125" s="185">
        <v>0.02</v>
      </c>
    </row>
    <row r="126" spans="1:31" x14ac:dyDescent="0.15">
      <c r="A126" s="2"/>
      <c r="B126" s="2"/>
      <c r="C126" s="45"/>
      <c r="F126" s="62" t="s">
        <v>46</v>
      </c>
      <c r="G126" s="87"/>
      <c r="H126" s="113">
        <v>3988.7249999999999</v>
      </c>
      <c r="I126" s="113">
        <v>3988.7249999999999</v>
      </c>
      <c r="J126" s="113">
        <v>2659.15</v>
      </c>
      <c r="K126" s="113">
        <v>2659.15</v>
      </c>
      <c r="L126" s="113">
        <v>2659.15</v>
      </c>
      <c r="M126" s="113">
        <v>2659.15</v>
      </c>
      <c r="N126" s="113">
        <v>2659.15</v>
      </c>
      <c r="O126" s="113">
        <v>2659.15</v>
      </c>
      <c r="P126" s="113">
        <v>3988.7249999999999</v>
      </c>
      <c r="Q126" s="113">
        <v>3988.7249999999999</v>
      </c>
      <c r="R126" s="113">
        <v>3988.7249999999999</v>
      </c>
      <c r="S126" s="113">
        <v>3988.7249999999999</v>
      </c>
      <c r="T126" s="116">
        <f>SUM(H126:S126)</f>
        <v>39887.25</v>
      </c>
      <c r="W126" s="189" t="s">
        <v>196</v>
      </c>
      <c r="X126" s="65" t="s">
        <v>136</v>
      </c>
      <c r="Y126" s="156">
        <f>SUM(0.17*12)</f>
        <v>2.04</v>
      </c>
      <c r="Z126" s="84"/>
      <c r="AA126" s="78"/>
      <c r="AB126" s="173"/>
      <c r="AC126" s="85" t="s">
        <v>100</v>
      </c>
      <c r="AD126" s="83" t="s">
        <v>117</v>
      </c>
      <c r="AE126" s="190">
        <v>1.25</v>
      </c>
    </row>
    <row r="127" spans="1:31" x14ac:dyDescent="0.15">
      <c r="A127" s="2"/>
      <c r="B127" s="2"/>
      <c r="C127" s="45"/>
      <c r="F127" s="107" t="s">
        <v>92</v>
      </c>
      <c r="G127" s="108"/>
      <c r="H127" s="117">
        <f>SUM(H126*0.15)</f>
        <v>598.30874999999992</v>
      </c>
      <c r="I127" s="117">
        <f t="shared" ref="I127:S127" si="35">SUM(I126*0.15)</f>
        <v>598.30874999999992</v>
      </c>
      <c r="J127" s="117">
        <f t="shared" si="35"/>
        <v>398.8725</v>
      </c>
      <c r="K127" s="117">
        <f t="shared" si="35"/>
        <v>398.8725</v>
      </c>
      <c r="L127" s="117">
        <f t="shared" si="35"/>
        <v>398.8725</v>
      </c>
      <c r="M127" s="117">
        <f t="shared" si="35"/>
        <v>398.8725</v>
      </c>
      <c r="N127" s="117">
        <f t="shared" si="35"/>
        <v>398.8725</v>
      </c>
      <c r="O127" s="117">
        <f t="shared" si="35"/>
        <v>398.8725</v>
      </c>
      <c r="P127" s="117">
        <f t="shared" si="35"/>
        <v>598.30874999999992</v>
      </c>
      <c r="Q127" s="117">
        <f t="shared" si="35"/>
        <v>598.30874999999992</v>
      </c>
      <c r="R127" s="117">
        <f t="shared" si="35"/>
        <v>598.30874999999992</v>
      </c>
      <c r="S127" s="117">
        <f t="shared" si="35"/>
        <v>598.30874999999992</v>
      </c>
      <c r="T127" s="116">
        <f t="shared" ref="T127:T130" si="36">SUM(H127:S127)</f>
        <v>5983.0874999999996</v>
      </c>
      <c r="W127" s="189" t="s">
        <v>197</v>
      </c>
      <c r="X127" s="65" t="s">
        <v>137</v>
      </c>
      <c r="Y127" s="156">
        <v>0.02</v>
      </c>
      <c r="Z127" s="81" t="s">
        <v>143</v>
      </c>
      <c r="AA127" s="73"/>
      <c r="AB127" s="158">
        <f>SUM(AB119:AB125)</f>
        <v>15.348333333333334</v>
      </c>
      <c r="AC127" s="207"/>
      <c r="AD127" s="68"/>
      <c r="AE127" s="208"/>
    </row>
    <row r="128" spans="1:31" x14ac:dyDescent="0.15">
      <c r="A128" s="2"/>
      <c r="B128" s="2"/>
      <c r="C128" s="45"/>
      <c r="F128" s="109" t="s">
        <v>93</v>
      </c>
      <c r="G128" s="108"/>
      <c r="H128" s="117">
        <f>SUM(H126*0.1)</f>
        <v>398.8725</v>
      </c>
      <c r="I128" s="117">
        <f t="shared" ref="I128:S128" si="37">SUM(I126*0.1)</f>
        <v>398.8725</v>
      </c>
      <c r="J128" s="117">
        <f t="shared" si="37"/>
        <v>265.91500000000002</v>
      </c>
      <c r="K128" s="117">
        <f t="shared" si="37"/>
        <v>265.91500000000002</v>
      </c>
      <c r="L128" s="117">
        <f t="shared" si="37"/>
        <v>265.91500000000002</v>
      </c>
      <c r="M128" s="117">
        <f t="shared" si="37"/>
        <v>265.91500000000002</v>
      </c>
      <c r="N128" s="117">
        <f t="shared" si="37"/>
        <v>265.91500000000002</v>
      </c>
      <c r="O128" s="117">
        <f t="shared" si="37"/>
        <v>265.91500000000002</v>
      </c>
      <c r="P128" s="117">
        <f t="shared" si="37"/>
        <v>398.8725</v>
      </c>
      <c r="Q128" s="117">
        <f t="shared" si="37"/>
        <v>398.8725</v>
      </c>
      <c r="R128" s="117">
        <f t="shared" si="37"/>
        <v>398.8725</v>
      </c>
      <c r="S128" s="117">
        <f t="shared" si="37"/>
        <v>398.8725</v>
      </c>
      <c r="T128" s="116">
        <f t="shared" si="36"/>
        <v>3988.7249999999999</v>
      </c>
      <c r="W128" s="189" t="s">
        <v>198</v>
      </c>
      <c r="X128" s="65" t="s">
        <v>136</v>
      </c>
      <c r="Y128" s="156">
        <f>SUM(0.17*8)</f>
        <v>1.36</v>
      </c>
      <c r="Z128" s="169" t="s">
        <v>146</v>
      </c>
      <c r="AA128" s="170"/>
      <c r="AB128" s="168">
        <f>SUM(AB127/8)</f>
        <v>1.9185416666666668</v>
      </c>
      <c r="AC128" s="81" t="s">
        <v>143</v>
      </c>
      <c r="AD128" s="74"/>
      <c r="AE128" s="209">
        <f>SUM(AE118:AE126)</f>
        <v>7.83</v>
      </c>
    </row>
    <row r="129" spans="1:55" x14ac:dyDescent="0.15">
      <c r="A129" s="2"/>
      <c r="B129" s="2"/>
      <c r="C129" s="45"/>
      <c r="F129" s="109" t="s">
        <v>89</v>
      </c>
      <c r="G129" s="108"/>
      <c r="H129" s="117">
        <f>SUM(H126*0.4)</f>
        <v>1595.49</v>
      </c>
      <c r="I129" s="117">
        <f t="shared" ref="I129:S129" si="38">SUM(I126*0.4)</f>
        <v>1595.49</v>
      </c>
      <c r="J129" s="117">
        <f t="shared" si="38"/>
        <v>1063.6600000000001</v>
      </c>
      <c r="K129" s="117">
        <f t="shared" si="38"/>
        <v>1063.6600000000001</v>
      </c>
      <c r="L129" s="117">
        <f t="shared" si="38"/>
        <v>1063.6600000000001</v>
      </c>
      <c r="M129" s="117">
        <f t="shared" si="38"/>
        <v>1063.6600000000001</v>
      </c>
      <c r="N129" s="117">
        <f t="shared" si="38"/>
        <v>1063.6600000000001</v>
      </c>
      <c r="O129" s="117">
        <f t="shared" si="38"/>
        <v>1063.6600000000001</v>
      </c>
      <c r="P129" s="117">
        <f t="shared" si="38"/>
        <v>1595.49</v>
      </c>
      <c r="Q129" s="117">
        <f t="shared" si="38"/>
        <v>1595.49</v>
      </c>
      <c r="R129" s="117">
        <f t="shared" si="38"/>
        <v>1595.49</v>
      </c>
      <c r="S129" s="117">
        <f t="shared" si="38"/>
        <v>1595.49</v>
      </c>
      <c r="T129" s="116">
        <f t="shared" si="36"/>
        <v>15954.9</v>
      </c>
      <c r="W129" s="191" t="s">
        <v>199</v>
      </c>
      <c r="X129" s="79" t="s">
        <v>131</v>
      </c>
      <c r="Y129" s="157">
        <v>0.11</v>
      </c>
      <c r="Z129" s="169"/>
      <c r="AA129" s="216"/>
      <c r="AB129" s="168"/>
      <c r="AC129" s="166" t="s">
        <v>146</v>
      </c>
      <c r="AD129" s="167"/>
      <c r="AE129" s="192">
        <f>SUM(AE128/8)</f>
        <v>0.97875000000000001</v>
      </c>
    </row>
    <row r="130" spans="1:55" ht="14" thickBot="1" x14ac:dyDescent="0.2">
      <c r="A130" s="2"/>
      <c r="B130" s="2"/>
      <c r="C130" s="45"/>
      <c r="F130" s="104" t="s">
        <v>147</v>
      </c>
      <c r="G130" s="106"/>
      <c r="H130" s="117">
        <f>SUM(H126*0.35)</f>
        <v>1396.0537499999998</v>
      </c>
      <c r="I130" s="117">
        <f t="shared" ref="I130:S130" si="39">SUM(I126*0.35)</f>
        <v>1396.0537499999998</v>
      </c>
      <c r="J130" s="117">
        <f t="shared" si="39"/>
        <v>930.70249999999999</v>
      </c>
      <c r="K130" s="117">
        <f t="shared" si="39"/>
        <v>930.70249999999999</v>
      </c>
      <c r="L130" s="117">
        <f t="shared" si="39"/>
        <v>930.70249999999999</v>
      </c>
      <c r="M130" s="117">
        <f t="shared" si="39"/>
        <v>930.70249999999999</v>
      </c>
      <c r="N130" s="117">
        <f t="shared" si="39"/>
        <v>930.70249999999999</v>
      </c>
      <c r="O130" s="117">
        <f t="shared" si="39"/>
        <v>930.70249999999999</v>
      </c>
      <c r="P130" s="117">
        <f t="shared" si="39"/>
        <v>1396.0537499999998</v>
      </c>
      <c r="Q130" s="117">
        <f t="shared" si="39"/>
        <v>1396.0537499999998</v>
      </c>
      <c r="R130" s="117">
        <f t="shared" si="39"/>
        <v>1396.0537499999998</v>
      </c>
      <c r="S130" s="117">
        <f t="shared" si="39"/>
        <v>1396.0537499999998</v>
      </c>
      <c r="T130" s="116">
        <f t="shared" si="36"/>
        <v>13960.537499999997</v>
      </c>
      <c r="W130" s="193" t="s">
        <v>142</v>
      </c>
      <c r="X130" s="170"/>
      <c r="Y130" s="158">
        <f>SUM(Y124:Y129)</f>
        <v>4.6900000000000004</v>
      </c>
      <c r="Z130" s="152"/>
      <c r="AA130" s="65"/>
      <c r="AB130" s="156"/>
      <c r="AC130" s="151"/>
      <c r="AD130" s="6"/>
      <c r="AE130" s="185"/>
    </row>
    <row r="131" spans="1:55" ht="14" thickBot="1" x14ac:dyDescent="0.2">
      <c r="A131" s="2"/>
      <c r="B131" s="2"/>
      <c r="C131" s="45"/>
      <c r="F131" s="25" t="s">
        <v>22</v>
      </c>
      <c r="G131" s="89"/>
      <c r="H131" s="118">
        <f t="shared" ref="H131:S131" si="40">SUM(H116:H126)</f>
        <v>48086.295833333337</v>
      </c>
      <c r="I131" s="118">
        <f t="shared" si="40"/>
        <v>48086.295833333337</v>
      </c>
      <c r="J131" s="118">
        <f t="shared" si="40"/>
        <v>33904.162499999999</v>
      </c>
      <c r="K131" s="118">
        <f t="shared" si="40"/>
        <v>33904.162499999999</v>
      </c>
      <c r="L131" s="118">
        <f t="shared" si="40"/>
        <v>33904.162499999999</v>
      </c>
      <c r="M131" s="118">
        <f t="shared" si="40"/>
        <v>33904.162499999999</v>
      </c>
      <c r="N131" s="118">
        <f t="shared" si="40"/>
        <v>33904.162499999999</v>
      </c>
      <c r="O131" s="118">
        <f t="shared" si="40"/>
        <v>33904.162499999999</v>
      </c>
      <c r="P131" s="118">
        <f t="shared" si="40"/>
        <v>78001.733333333352</v>
      </c>
      <c r="Q131" s="118">
        <f t="shared" si="40"/>
        <v>78001.733333333352</v>
      </c>
      <c r="R131" s="118">
        <f t="shared" si="40"/>
        <v>48086.295833333337</v>
      </c>
      <c r="S131" s="118">
        <f t="shared" si="40"/>
        <v>48086.295833333337</v>
      </c>
      <c r="T131" s="119">
        <f>SUM(T117:T120,T122:T125,T127:T130)</f>
        <v>295830.4375</v>
      </c>
      <c r="W131" s="189"/>
      <c r="X131" s="65"/>
      <c r="Y131" s="156"/>
      <c r="Z131" s="76" t="s">
        <v>90</v>
      </c>
      <c r="AA131" s="86"/>
      <c r="AB131" s="156"/>
      <c r="AC131" s="76" t="s">
        <v>94</v>
      </c>
      <c r="AD131" s="153"/>
      <c r="AE131" s="194"/>
    </row>
    <row r="132" spans="1:55" x14ac:dyDescent="0.15">
      <c r="A132" s="2"/>
      <c r="B132" s="2"/>
      <c r="C132" s="45"/>
      <c r="F132" s="17"/>
      <c r="G132" s="90"/>
      <c r="H132" s="20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3"/>
      <c r="W132" s="188" t="s">
        <v>114</v>
      </c>
      <c r="X132" s="153"/>
      <c r="Y132" s="157"/>
      <c r="Z132" s="61" t="s">
        <v>103</v>
      </c>
      <c r="AA132" s="65" t="s">
        <v>122</v>
      </c>
      <c r="AB132" s="156">
        <f>SUM(4.72*4)</f>
        <v>18.88</v>
      </c>
      <c r="AC132" s="67" t="s">
        <v>205</v>
      </c>
      <c r="AD132" s="65" t="s">
        <v>127</v>
      </c>
      <c r="AE132" s="185">
        <v>0.21</v>
      </c>
    </row>
    <row r="133" spans="1:55" x14ac:dyDescent="0.15">
      <c r="A133" s="2"/>
      <c r="B133" s="2"/>
      <c r="C133" s="45"/>
      <c r="F133" s="49" t="s">
        <v>17</v>
      </c>
      <c r="G133" s="91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11"/>
      <c r="W133" s="183" t="s">
        <v>194</v>
      </c>
      <c r="X133" s="65" t="s">
        <v>129</v>
      </c>
      <c r="Y133" s="156">
        <v>0.08</v>
      </c>
      <c r="Z133" s="67" t="s">
        <v>99</v>
      </c>
      <c r="AA133" s="65" t="s">
        <v>129</v>
      </c>
      <c r="AB133" s="156">
        <f>SUM(0.04*16)</f>
        <v>0.64</v>
      </c>
      <c r="AC133" s="67" t="s">
        <v>210</v>
      </c>
      <c r="AD133" s="6" t="s">
        <v>116</v>
      </c>
      <c r="AE133" s="185">
        <f>SUM(0.05*8)</f>
        <v>0.4</v>
      </c>
    </row>
    <row r="134" spans="1:55" x14ac:dyDescent="0.15">
      <c r="A134" s="2"/>
      <c r="B134" s="2"/>
      <c r="C134" s="45"/>
      <c r="F134" s="50" t="s">
        <v>35</v>
      </c>
      <c r="G134" s="109"/>
      <c r="H134" s="48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35"/>
      <c r="W134" s="189" t="s">
        <v>200</v>
      </c>
      <c r="X134" s="65" t="s">
        <v>138</v>
      </c>
      <c r="Y134" s="156">
        <f>SUM(1.08/2)</f>
        <v>0.54</v>
      </c>
      <c r="Z134" s="67" t="s">
        <v>102</v>
      </c>
      <c r="AA134" s="65" t="s">
        <v>123</v>
      </c>
      <c r="AB134" s="156"/>
      <c r="AC134" s="67" t="s">
        <v>209</v>
      </c>
      <c r="AD134" s="65" t="s">
        <v>131</v>
      </c>
      <c r="AE134" s="185">
        <f>SUM(0.11*16)</f>
        <v>1.76</v>
      </c>
    </row>
    <row r="135" spans="1:55" x14ac:dyDescent="0.15">
      <c r="A135" s="2"/>
      <c r="B135" s="2"/>
      <c r="C135" s="45"/>
      <c r="F135" s="60" t="s">
        <v>43</v>
      </c>
      <c r="G135" s="146"/>
      <c r="H135" s="112">
        <f>SUM(H136:H139)</f>
        <v>5155.9810520833335</v>
      </c>
      <c r="I135" s="112">
        <f t="shared" ref="I135:Q135" si="41">SUM(I136:I139)</f>
        <v>5155.9810520833335</v>
      </c>
      <c r="J135" s="112">
        <f t="shared" si="41"/>
        <v>1718.6603506944441</v>
      </c>
      <c r="K135" s="112">
        <f t="shared" si="41"/>
        <v>1718.6603506944441</v>
      </c>
      <c r="L135" s="112">
        <f t="shared" si="41"/>
        <v>1718.6603506944441</v>
      </c>
      <c r="M135" s="112">
        <f t="shared" si="41"/>
        <v>1718.6603506944441</v>
      </c>
      <c r="N135" s="112">
        <f t="shared" si="41"/>
        <v>1718.6603506944441</v>
      </c>
      <c r="O135" s="112">
        <f t="shared" si="41"/>
        <v>1718.6603506944441</v>
      </c>
      <c r="P135" s="112">
        <f t="shared" si="41"/>
        <v>10311.962104166667</v>
      </c>
      <c r="Q135" s="112">
        <f t="shared" si="41"/>
        <v>10311.962104166667</v>
      </c>
      <c r="R135" s="112">
        <f>SUM(R136:R139)</f>
        <v>5155.9810520833335</v>
      </c>
      <c r="S135" s="112">
        <f>SUM(S136:S139)</f>
        <v>5155.9810520833335</v>
      </c>
      <c r="T135" s="112">
        <f>SUM(T136:T139)</f>
        <v>51559.810520833336</v>
      </c>
      <c r="W135" s="189" t="s">
        <v>201</v>
      </c>
      <c r="X135" s="65" t="s">
        <v>139</v>
      </c>
      <c r="Y135" s="156">
        <f>SUM(1.48/20)</f>
        <v>7.3999999999999996E-2</v>
      </c>
      <c r="Z135" s="61" t="s">
        <v>104</v>
      </c>
      <c r="AA135" s="65" t="s">
        <v>124</v>
      </c>
      <c r="AB135" s="156">
        <f>SUM(0.32*2)</f>
        <v>0.64</v>
      </c>
      <c r="AC135" s="61" t="s">
        <v>211</v>
      </c>
      <c r="AD135" s="5" t="s">
        <v>131</v>
      </c>
      <c r="AE135" s="195">
        <f>SUM(36*0.11)</f>
        <v>3.96</v>
      </c>
    </row>
    <row r="136" spans="1:55" x14ac:dyDescent="0.15">
      <c r="A136" s="2"/>
      <c r="B136" s="2"/>
      <c r="C136" s="45"/>
      <c r="F136" s="56" t="s">
        <v>189</v>
      </c>
      <c r="G136" s="102"/>
      <c r="H136" s="112">
        <f>SUM(H117/6)*1.92</f>
        <v>1914.5880000000002</v>
      </c>
      <c r="I136" s="112">
        <f t="shared" ref="I136:S136" si="42">SUM(I117/6)*1.92</f>
        <v>1914.5880000000002</v>
      </c>
      <c r="J136" s="112">
        <f t="shared" si="42"/>
        <v>638.19600000000003</v>
      </c>
      <c r="K136" s="112">
        <f t="shared" si="42"/>
        <v>638.19600000000003</v>
      </c>
      <c r="L136" s="112">
        <f t="shared" si="42"/>
        <v>638.19600000000003</v>
      </c>
      <c r="M136" s="112">
        <f t="shared" si="42"/>
        <v>638.19600000000003</v>
      </c>
      <c r="N136" s="112">
        <f t="shared" si="42"/>
        <v>638.19600000000003</v>
      </c>
      <c r="O136" s="112">
        <f t="shared" si="42"/>
        <v>638.19600000000003</v>
      </c>
      <c r="P136" s="112">
        <f t="shared" si="42"/>
        <v>3829.1760000000004</v>
      </c>
      <c r="Q136" s="112">
        <f t="shared" si="42"/>
        <v>3829.1760000000004</v>
      </c>
      <c r="R136" s="112">
        <f t="shared" si="42"/>
        <v>1914.5880000000002</v>
      </c>
      <c r="S136" s="112">
        <f t="shared" si="42"/>
        <v>1914.5880000000002</v>
      </c>
      <c r="T136" s="114">
        <f>SUM(H136:S136)</f>
        <v>19145.88</v>
      </c>
      <c r="W136" s="183" t="s">
        <v>91</v>
      </c>
      <c r="X136" s="69" t="s">
        <v>140</v>
      </c>
      <c r="Y136" s="156">
        <v>0.12</v>
      </c>
      <c r="Z136" s="61" t="s">
        <v>105</v>
      </c>
      <c r="AA136" s="65" t="s">
        <v>125</v>
      </c>
      <c r="AB136" s="156">
        <v>0.39</v>
      </c>
      <c r="AC136" s="82" t="s">
        <v>193</v>
      </c>
      <c r="AD136" s="83" t="s">
        <v>132</v>
      </c>
      <c r="AE136" s="195">
        <f>SUM(0.2*16*3)</f>
        <v>9.6000000000000014</v>
      </c>
    </row>
    <row r="137" spans="1:55" x14ac:dyDescent="0.15">
      <c r="A137" s="2"/>
      <c r="B137" s="2"/>
      <c r="C137" s="45"/>
      <c r="F137" s="56" t="s">
        <v>90</v>
      </c>
      <c r="G137" s="103"/>
      <c r="H137" s="112">
        <f t="shared" ref="H137:S137" si="43">SUM(H118/6.75)*2.9</f>
        <v>2249.1977083333331</v>
      </c>
      <c r="I137" s="112">
        <f t="shared" si="43"/>
        <v>2249.1977083333331</v>
      </c>
      <c r="J137" s="112">
        <f t="shared" si="43"/>
        <v>749.73256944444438</v>
      </c>
      <c r="K137" s="112">
        <f t="shared" si="43"/>
        <v>749.73256944444438</v>
      </c>
      <c r="L137" s="112">
        <f t="shared" si="43"/>
        <v>749.73256944444438</v>
      </c>
      <c r="M137" s="112">
        <f t="shared" si="43"/>
        <v>749.73256944444438</v>
      </c>
      <c r="N137" s="112">
        <f t="shared" si="43"/>
        <v>749.73256944444438</v>
      </c>
      <c r="O137" s="112">
        <f t="shared" si="43"/>
        <v>749.73256944444438</v>
      </c>
      <c r="P137" s="112">
        <f t="shared" si="43"/>
        <v>4498.3954166666663</v>
      </c>
      <c r="Q137" s="112">
        <f t="shared" si="43"/>
        <v>4498.3954166666663</v>
      </c>
      <c r="R137" s="112">
        <f t="shared" si="43"/>
        <v>2249.1977083333331</v>
      </c>
      <c r="S137" s="112">
        <f t="shared" si="43"/>
        <v>2249.1977083333331</v>
      </c>
      <c r="T137" s="114">
        <f t="shared" ref="T137:T149" si="44">SUM(H137:S137)</f>
        <v>22491.977083333331</v>
      </c>
      <c r="W137" s="186" t="s">
        <v>202</v>
      </c>
      <c r="X137" s="79" t="s">
        <v>130</v>
      </c>
      <c r="Y137" s="157">
        <f>SUM(0.18*3)</f>
        <v>0.54</v>
      </c>
      <c r="Z137" s="67" t="s">
        <v>106</v>
      </c>
      <c r="AA137" s="65" t="s">
        <v>126</v>
      </c>
      <c r="AB137" s="156">
        <v>0.01</v>
      </c>
      <c r="AC137" s="84" t="s">
        <v>143</v>
      </c>
      <c r="AD137" s="73"/>
      <c r="AE137" s="196">
        <f>SUM(AE132:AE136)</f>
        <v>15.930000000000001</v>
      </c>
      <c r="AU137" s="21"/>
      <c r="AV137" s="21"/>
      <c r="AW137" s="21"/>
    </row>
    <row r="138" spans="1:55" s="2" customFormat="1" x14ac:dyDescent="0.15">
      <c r="C138" s="45"/>
      <c r="D138" s="21"/>
      <c r="E138" s="21"/>
      <c r="F138" s="56" t="s">
        <v>91</v>
      </c>
      <c r="G138" s="103"/>
      <c r="H138" s="112">
        <f t="shared" ref="H138:S138" si="45">SUM(H119/6)*0.98</f>
        <v>244.30940625000002</v>
      </c>
      <c r="I138" s="112">
        <f t="shared" si="45"/>
        <v>244.30940625000002</v>
      </c>
      <c r="J138" s="112">
        <f t="shared" si="45"/>
        <v>81.436468750000003</v>
      </c>
      <c r="K138" s="112">
        <f t="shared" si="45"/>
        <v>81.436468750000003</v>
      </c>
      <c r="L138" s="112">
        <f t="shared" si="45"/>
        <v>81.436468750000003</v>
      </c>
      <c r="M138" s="112">
        <f t="shared" si="45"/>
        <v>81.436468750000003</v>
      </c>
      <c r="N138" s="112">
        <f t="shared" si="45"/>
        <v>81.436468750000003</v>
      </c>
      <c r="O138" s="112">
        <f t="shared" si="45"/>
        <v>81.436468750000003</v>
      </c>
      <c r="P138" s="112">
        <f t="shared" si="45"/>
        <v>488.61881250000005</v>
      </c>
      <c r="Q138" s="112">
        <f t="shared" si="45"/>
        <v>488.61881250000005</v>
      </c>
      <c r="R138" s="112">
        <f t="shared" si="45"/>
        <v>244.30940625000002</v>
      </c>
      <c r="S138" s="112">
        <f t="shared" si="45"/>
        <v>244.30940625000002</v>
      </c>
      <c r="T138" s="114">
        <f t="shared" si="44"/>
        <v>2443.0940625000003</v>
      </c>
      <c r="U138"/>
      <c r="V138"/>
      <c r="W138" s="187" t="s">
        <v>142</v>
      </c>
      <c r="X138" s="170"/>
      <c r="Y138" s="158">
        <f>SUM(Y133:Y137)</f>
        <v>1.3540000000000001</v>
      </c>
      <c r="Z138" s="61" t="s">
        <v>107</v>
      </c>
      <c r="AA138" s="65" t="s">
        <v>120</v>
      </c>
      <c r="AB138" s="156">
        <f>SUM(0.07*6)</f>
        <v>0.42000000000000004</v>
      </c>
      <c r="AC138" s="60" t="s">
        <v>146</v>
      </c>
      <c r="AD138" s="12"/>
      <c r="AE138" s="197">
        <f>SUM(AE137/8)</f>
        <v>1.9912500000000002</v>
      </c>
      <c r="AS138" s="21"/>
      <c r="AT138" s="21"/>
      <c r="AU138"/>
      <c r="AV138"/>
      <c r="AW138"/>
      <c r="AX138"/>
      <c r="AY138"/>
      <c r="AZ138"/>
      <c r="BA138"/>
      <c r="BB138"/>
      <c r="BC138"/>
    </row>
    <row r="139" spans="1:55" x14ac:dyDescent="0.15">
      <c r="A139" s="2"/>
      <c r="B139" s="2"/>
      <c r="C139" s="45"/>
      <c r="F139" s="56" t="s">
        <v>94</v>
      </c>
      <c r="G139" s="103"/>
      <c r="H139" s="112">
        <f t="shared" ref="H139:S139" si="46">SUM(H120/6)*2</f>
        <v>747.88593750000007</v>
      </c>
      <c r="I139" s="112">
        <f t="shared" si="46"/>
        <v>747.88593750000007</v>
      </c>
      <c r="J139" s="112">
        <f t="shared" si="46"/>
        <v>249.29531249999999</v>
      </c>
      <c r="K139" s="112">
        <f t="shared" si="46"/>
        <v>249.29531249999999</v>
      </c>
      <c r="L139" s="112">
        <f t="shared" si="46"/>
        <v>249.29531249999999</v>
      </c>
      <c r="M139" s="112">
        <f t="shared" si="46"/>
        <v>249.29531249999999</v>
      </c>
      <c r="N139" s="112">
        <f t="shared" si="46"/>
        <v>249.29531249999999</v>
      </c>
      <c r="O139" s="112">
        <f t="shared" si="46"/>
        <v>249.29531249999999</v>
      </c>
      <c r="P139" s="112">
        <f t="shared" si="46"/>
        <v>1495.7718750000001</v>
      </c>
      <c r="Q139" s="112">
        <f t="shared" si="46"/>
        <v>1495.7718750000001</v>
      </c>
      <c r="R139" s="112">
        <f t="shared" si="46"/>
        <v>747.88593750000007</v>
      </c>
      <c r="S139" s="112">
        <f t="shared" si="46"/>
        <v>747.88593750000007</v>
      </c>
      <c r="T139" s="114">
        <f t="shared" si="44"/>
        <v>7478.8593750000009</v>
      </c>
      <c r="W139" s="183"/>
      <c r="X139" s="65"/>
      <c r="Y139" s="156"/>
      <c r="Z139" s="67" t="s">
        <v>205</v>
      </c>
      <c r="AA139" s="65" t="s">
        <v>127</v>
      </c>
      <c r="AB139" s="156">
        <v>0.21</v>
      </c>
      <c r="AC139" s="92"/>
      <c r="AD139" s="211"/>
      <c r="AE139" s="212"/>
    </row>
    <row r="140" spans="1:55" x14ac:dyDescent="0.15">
      <c r="A140" s="2"/>
      <c r="B140" s="2"/>
      <c r="C140" s="45"/>
      <c r="F140" s="62" t="s">
        <v>44</v>
      </c>
      <c r="G140" s="146"/>
      <c r="H140" s="120">
        <f>SUM(R92:R95)</f>
        <v>5.0730000000000004E-2</v>
      </c>
      <c r="I140" s="120">
        <f t="shared" ref="I140:T140" si="47">SUM(F141:F144)</f>
        <v>0</v>
      </c>
      <c r="J140" s="120">
        <f t="shared" si="47"/>
        <v>0</v>
      </c>
      <c r="K140" s="120">
        <f t="shared" si="47"/>
        <v>4743.837647676768</v>
      </c>
      <c r="L140" s="120">
        <f t="shared" si="47"/>
        <v>4743.837647676768</v>
      </c>
      <c r="M140" s="120">
        <f t="shared" si="47"/>
        <v>7115.756471515152</v>
      </c>
      <c r="N140" s="120">
        <f t="shared" si="47"/>
        <v>7115.756471515152</v>
      </c>
      <c r="O140" s="120">
        <f t="shared" si="47"/>
        <v>7115.756471515152</v>
      </c>
      <c r="P140" s="120">
        <f t="shared" si="47"/>
        <v>7115.756471515152</v>
      </c>
      <c r="Q140" s="120">
        <f>SUM(N141:N144)</f>
        <v>7115.756471515152</v>
      </c>
      <c r="R140" s="120">
        <f>SUM(O141:O144)</f>
        <v>7115.756471515152</v>
      </c>
      <c r="S140" s="120">
        <f>SUM(P141:P144)</f>
        <v>4743.837647676768</v>
      </c>
      <c r="T140" s="120">
        <f t="shared" si="47"/>
        <v>4743.837647676768</v>
      </c>
      <c r="W140" s="188" t="s">
        <v>115</v>
      </c>
      <c r="X140" s="153"/>
      <c r="Y140" s="157"/>
      <c r="Z140" s="61" t="s">
        <v>206</v>
      </c>
      <c r="AA140" s="65" t="s">
        <v>128</v>
      </c>
      <c r="AB140" s="156">
        <f>SUM(1.08/2)</f>
        <v>0.54</v>
      </c>
      <c r="AC140" s="213"/>
      <c r="AD140" s="214"/>
      <c r="AE140" s="215"/>
    </row>
    <row r="141" spans="1:55" x14ac:dyDescent="0.15">
      <c r="A141" s="2"/>
      <c r="B141" s="2"/>
      <c r="C141" s="45"/>
      <c r="F141" s="56" t="s">
        <v>87</v>
      </c>
      <c r="G141" s="64"/>
      <c r="H141" s="120">
        <f t="shared" ref="H141:S141" si="48">SUM(H122/2.5)*1.57</f>
        <v>1781.2759466666669</v>
      </c>
      <c r="I141" s="120">
        <f t="shared" si="48"/>
        <v>1781.2759466666669</v>
      </c>
      <c r="J141" s="120">
        <f t="shared" si="48"/>
        <v>2671.9139200000004</v>
      </c>
      <c r="K141" s="120">
        <f t="shared" si="48"/>
        <v>2671.9139200000004</v>
      </c>
      <c r="L141" s="120">
        <f t="shared" si="48"/>
        <v>2671.9139200000004</v>
      </c>
      <c r="M141" s="120">
        <f t="shared" si="48"/>
        <v>2671.9139200000004</v>
      </c>
      <c r="N141" s="120">
        <f t="shared" si="48"/>
        <v>2671.9139200000004</v>
      </c>
      <c r="O141" s="120">
        <f t="shared" si="48"/>
        <v>2671.9139200000004</v>
      </c>
      <c r="P141" s="120">
        <f t="shared" si="48"/>
        <v>1781.2759466666669</v>
      </c>
      <c r="Q141" s="120">
        <f t="shared" si="48"/>
        <v>1781.2759466666669</v>
      </c>
      <c r="R141" s="120">
        <f t="shared" si="48"/>
        <v>1781.2759466666669</v>
      </c>
      <c r="S141" s="120">
        <f t="shared" si="48"/>
        <v>1781.2759466666669</v>
      </c>
      <c r="T141" s="114">
        <f t="shared" si="44"/>
        <v>26719.139200000009</v>
      </c>
      <c r="W141" s="183" t="s">
        <v>194</v>
      </c>
      <c r="X141" s="65" t="s">
        <v>129</v>
      </c>
      <c r="Y141" s="156">
        <v>0.08</v>
      </c>
      <c r="Z141" s="67" t="s">
        <v>207</v>
      </c>
      <c r="AA141" s="65" t="s">
        <v>129</v>
      </c>
      <c r="AB141" s="156">
        <f>SUM(0.04*8)</f>
        <v>0.32</v>
      </c>
      <c r="AC141" s="77" t="s">
        <v>111</v>
      </c>
      <c r="AD141" s="63"/>
      <c r="AE141" s="197"/>
      <c r="AX141" s="21"/>
      <c r="AY141" s="21"/>
      <c r="AZ141" s="21"/>
      <c r="BA141" s="21"/>
      <c r="BB141" s="2"/>
      <c r="BC141" s="2"/>
    </row>
    <row r="142" spans="1:55" x14ac:dyDescent="0.15">
      <c r="A142" s="2"/>
      <c r="B142" s="2"/>
      <c r="C142" s="45"/>
      <c r="F142" s="56" t="s">
        <v>144</v>
      </c>
      <c r="G142" s="64"/>
      <c r="H142" s="120">
        <f t="shared" ref="H142:S142" si="49">SUM(H123/5.5)*4.69</f>
        <v>2116.3610787878788</v>
      </c>
      <c r="I142" s="120">
        <f t="shared" si="49"/>
        <v>2116.3610787878788</v>
      </c>
      <c r="J142" s="120">
        <f t="shared" si="49"/>
        <v>3174.5416181818186</v>
      </c>
      <c r="K142" s="120">
        <f t="shared" si="49"/>
        <v>3174.5416181818186</v>
      </c>
      <c r="L142" s="120">
        <f t="shared" si="49"/>
        <v>3174.5416181818186</v>
      </c>
      <c r="M142" s="120">
        <f t="shared" si="49"/>
        <v>3174.5416181818186</v>
      </c>
      <c r="N142" s="120">
        <f t="shared" si="49"/>
        <v>3174.5416181818186</v>
      </c>
      <c r="O142" s="120">
        <f t="shared" si="49"/>
        <v>3174.5416181818186</v>
      </c>
      <c r="P142" s="120">
        <f t="shared" si="49"/>
        <v>2116.3610787878788</v>
      </c>
      <c r="Q142" s="120">
        <f t="shared" si="49"/>
        <v>2116.3610787878788</v>
      </c>
      <c r="R142" s="120">
        <f t="shared" si="49"/>
        <v>2116.3610787878788</v>
      </c>
      <c r="S142" s="120">
        <f t="shared" si="49"/>
        <v>2116.3610787878788</v>
      </c>
      <c r="T142" s="114">
        <f t="shared" si="44"/>
        <v>31745.416181818182</v>
      </c>
      <c r="W142" s="183" t="s">
        <v>192</v>
      </c>
      <c r="X142" s="65" t="s">
        <v>130</v>
      </c>
      <c r="Y142" s="156">
        <f>SUM(0.18*4)</f>
        <v>0.72</v>
      </c>
      <c r="Z142" s="210" t="s">
        <v>208</v>
      </c>
      <c r="AA142" s="79" t="s">
        <v>129</v>
      </c>
      <c r="AB142" s="157">
        <f>SUM(0.04*24)</f>
        <v>0.96</v>
      </c>
      <c r="AC142" s="56" t="s">
        <v>212</v>
      </c>
      <c r="AD142" s="65" t="s">
        <v>133</v>
      </c>
      <c r="AE142" s="185"/>
    </row>
    <row r="143" spans="1:55" x14ac:dyDescent="0.15">
      <c r="A143" s="2"/>
      <c r="B143" s="2"/>
      <c r="F143" s="56" t="s">
        <v>145</v>
      </c>
      <c r="G143" s="64"/>
      <c r="H143" s="120">
        <f t="shared" ref="H143:S143" si="50">SUM(H124/4.5)*1.9</f>
        <v>449.10088888888879</v>
      </c>
      <c r="I143" s="120">
        <f t="shared" si="50"/>
        <v>449.10088888888879</v>
      </c>
      <c r="J143" s="120">
        <f t="shared" si="50"/>
        <v>673.65133333333335</v>
      </c>
      <c r="K143" s="120">
        <f t="shared" si="50"/>
        <v>673.65133333333335</v>
      </c>
      <c r="L143" s="120">
        <f t="shared" si="50"/>
        <v>673.65133333333335</v>
      </c>
      <c r="M143" s="120">
        <f t="shared" si="50"/>
        <v>673.65133333333335</v>
      </c>
      <c r="N143" s="120">
        <f t="shared" si="50"/>
        <v>673.65133333333335</v>
      </c>
      <c r="O143" s="120">
        <f t="shared" si="50"/>
        <v>673.65133333333335</v>
      </c>
      <c r="P143" s="120">
        <f t="shared" si="50"/>
        <v>449.10088888888879</v>
      </c>
      <c r="Q143" s="120">
        <f t="shared" si="50"/>
        <v>449.10088888888879</v>
      </c>
      <c r="R143" s="120">
        <f t="shared" si="50"/>
        <v>449.10088888888879</v>
      </c>
      <c r="S143" s="120">
        <f t="shared" si="50"/>
        <v>449.10088888888879</v>
      </c>
      <c r="T143" s="114">
        <f t="shared" si="44"/>
        <v>6736.5133333333342</v>
      </c>
      <c r="W143" s="189" t="s">
        <v>203</v>
      </c>
      <c r="X143" s="65" t="s">
        <v>141</v>
      </c>
      <c r="Y143" s="156">
        <f>SUM(0.26*2)</f>
        <v>0.52</v>
      </c>
      <c r="Z143" s="151"/>
      <c r="AA143" s="68"/>
      <c r="AB143" s="172"/>
      <c r="AC143" s="56" t="s">
        <v>92</v>
      </c>
      <c r="AD143" s="65" t="s">
        <v>112</v>
      </c>
      <c r="AE143" s="185"/>
    </row>
    <row r="144" spans="1:55" x14ac:dyDescent="0.15">
      <c r="A144" s="2"/>
      <c r="B144" s="2"/>
      <c r="F144" s="56" t="s">
        <v>190</v>
      </c>
      <c r="G144" s="64"/>
      <c r="H144" s="120">
        <f t="shared" ref="H144:S144" si="51">SUM(H125/2.5)*1.4</f>
        <v>397.09973333333335</v>
      </c>
      <c r="I144" s="120">
        <f t="shared" si="51"/>
        <v>397.09973333333335</v>
      </c>
      <c r="J144" s="120">
        <f t="shared" si="51"/>
        <v>595.64960000000008</v>
      </c>
      <c r="K144" s="120">
        <f t="shared" si="51"/>
        <v>595.64960000000008</v>
      </c>
      <c r="L144" s="120">
        <f t="shared" si="51"/>
        <v>595.64960000000008</v>
      </c>
      <c r="M144" s="120">
        <f t="shared" si="51"/>
        <v>595.64960000000008</v>
      </c>
      <c r="N144" s="120">
        <f t="shared" si="51"/>
        <v>595.64960000000008</v>
      </c>
      <c r="O144" s="120">
        <f t="shared" si="51"/>
        <v>595.64960000000008</v>
      </c>
      <c r="P144" s="120">
        <f t="shared" si="51"/>
        <v>397.09973333333335</v>
      </c>
      <c r="Q144" s="120">
        <f t="shared" si="51"/>
        <v>397.09973333333335</v>
      </c>
      <c r="R144" s="120">
        <f t="shared" si="51"/>
        <v>397.09973333333335</v>
      </c>
      <c r="S144" s="120">
        <f t="shared" si="51"/>
        <v>397.09973333333335</v>
      </c>
      <c r="T144" s="114">
        <f t="shared" si="44"/>
        <v>5956.496000000001</v>
      </c>
      <c r="W144" s="191" t="s">
        <v>204</v>
      </c>
      <c r="X144" s="79" t="s">
        <v>129</v>
      </c>
      <c r="Y144" s="157">
        <v>0.08</v>
      </c>
      <c r="Z144" s="81" t="s">
        <v>143</v>
      </c>
      <c r="AA144" s="74"/>
      <c r="AB144" s="158">
        <f>SUM(AB132:AB142)</f>
        <v>23.010000000000005</v>
      </c>
      <c r="AC144" s="56" t="s">
        <v>93</v>
      </c>
      <c r="AD144" s="65" t="s">
        <v>113</v>
      </c>
      <c r="AE144" s="185"/>
      <c r="AU144" s="21"/>
      <c r="AV144" s="21"/>
      <c r="AW144" s="21"/>
    </row>
    <row r="145" spans="3:55" s="2" customFormat="1" ht="14" thickBot="1" x14ac:dyDescent="0.2">
      <c r="C145"/>
      <c r="D145"/>
      <c r="E145"/>
      <c r="F145" s="62" t="s">
        <v>46</v>
      </c>
      <c r="G145" s="147"/>
      <c r="H145" s="121">
        <f t="shared" ref="H145:Q145" si="52">SUM(K146:K149)</f>
        <v>105.7012125</v>
      </c>
      <c r="I145" s="121">
        <f t="shared" si="52"/>
        <v>105.7012125</v>
      </c>
      <c r="J145" s="121">
        <f t="shared" si="52"/>
        <v>105.7012125</v>
      </c>
      <c r="K145" s="121">
        <f t="shared" si="52"/>
        <v>105.7012125</v>
      </c>
      <c r="L145" s="121">
        <f t="shared" si="52"/>
        <v>105.7012125</v>
      </c>
      <c r="M145" s="121">
        <f t="shared" si="52"/>
        <v>158.55181875</v>
      </c>
      <c r="N145" s="121">
        <f>SUM(Q146:Q149)</f>
        <v>158.55181875</v>
      </c>
      <c r="O145" s="121">
        <f>SUM(R146:R149)</f>
        <v>158.55181875</v>
      </c>
      <c r="P145" s="121">
        <f>SUM(S146:S149)</f>
        <v>158.55181875</v>
      </c>
      <c r="Q145" s="121">
        <f t="shared" si="52"/>
        <v>1585.5181874999998</v>
      </c>
      <c r="R145" s="121">
        <f>SUM(U151:U154)</f>
        <v>0</v>
      </c>
      <c r="S145" s="121">
        <f>SUM(V146:V149)</f>
        <v>0</v>
      </c>
      <c r="T145" s="121">
        <f>SUM(W148:W151)</f>
        <v>0</v>
      </c>
      <c r="U145"/>
      <c r="V145"/>
      <c r="W145" s="198" t="s">
        <v>142</v>
      </c>
      <c r="X145" s="199"/>
      <c r="Y145" s="200" t="e">
        <f>SUM(#REF!)</f>
        <v>#REF!</v>
      </c>
      <c r="Z145" s="201" t="s">
        <v>146</v>
      </c>
      <c r="AA145" s="202"/>
      <c r="AB145" s="203">
        <f>SUM(AB144/8)</f>
        <v>2.8762500000000006</v>
      </c>
      <c r="AC145" s="204" t="s">
        <v>108</v>
      </c>
      <c r="AD145" s="205" t="s">
        <v>134</v>
      </c>
      <c r="AE145" s="206"/>
      <c r="AS145" s="21"/>
      <c r="AT145" s="21"/>
      <c r="AU145" s="15"/>
      <c r="AV145" s="15"/>
      <c r="AW145" s="15"/>
      <c r="AX145"/>
      <c r="AY145"/>
      <c r="AZ145"/>
      <c r="BA145"/>
      <c r="BB145"/>
      <c r="BC145"/>
    </row>
    <row r="146" spans="3:55" s="1" customFormat="1" x14ac:dyDescent="0.15">
      <c r="C146"/>
      <c r="D146"/>
      <c r="E146"/>
      <c r="F146" s="107" t="s">
        <v>92</v>
      </c>
      <c r="G146" s="108"/>
      <c r="H146" s="122">
        <f t="shared" ref="H146:S146" si="53">SUM(H127/2)*0.03</f>
        <v>8.9746312499999981</v>
      </c>
      <c r="I146" s="122">
        <f t="shared" si="53"/>
        <v>8.9746312499999981</v>
      </c>
      <c r="J146" s="122">
        <f t="shared" si="53"/>
        <v>5.9830874999999999</v>
      </c>
      <c r="K146" s="122">
        <f t="shared" si="53"/>
        <v>5.9830874999999999</v>
      </c>
      <c r="L146" s="122">
        <f t="shared" si="53"/>
        <v>5.9830874999999999</v>
      </c>
      <c r="M146" s="122">
        <f t="shared" si="53"/>
        <v>5.9830874999999999</v>
      </c>
      <c r="N146" s="122">
        <f t="shared" si="53"/>
        <v>5.9830874999999999</v>
      </c>
      <c r="O146" s="122">
        <f t="shared" si="53"/>
        <v>5.9830874999999999</v>
      </c>
      <c r="P146" s="122">
        <f t="shared" si="53"/>
        <v>8.9746312499999981</v>
      </c>
      <c r="Q146" s="122">
        <f t="shared" si="53"/>
        <v>8.9746312499999981</v>
      </c>
      <c r="R146" s="122">
        <f t="shared" si="53"/>
        <v>8.9746312499999981</v>
      </c>
      <c r="S146" s="122">
        <f t="shared" si="53"/>
        <v>8.9746312499999981</v>
      </c>
      <c r="T146" s="114">
        <f t="shared" si="44"/>
        <v>89.746312499999988</v>
      </c>
      <c r="U146"/>
      <c r="V146"/>
      <c r="W146"/>
      <c r="X146"/>
      <c r="Y146"/>
      <c r="Z146"/>
      <c r="AA146"/>
      <c r="AB146"/>
      <c r="AC146"/>
      <c r="AD146"/>
      <c r="AE146"/>
      <c r="AS146" s="15"/>
      <c r="AT146" s="15"/>
      <c r="AU146"/>
      <c r="AV146"/>
      <c r="AW146"/>
      <c r="AX146"/>
      <c r="AY146"/>
      <c r="AZ146"/>
      <c r="BA146"/>
      <c r="BB146"/>
      <c r="BC146"/>
    </row>
    <row r="147" spans="3:55" x14ac:dyDescent="0.15">
      <c r="F147" s="109" t="s">
        <v>93</v>
      </c>
      <c r="G147" s="108"/>
      <c r="H147" s="122">
        <f t="shared" ref="H147:S147" si="54">SUM(H128/2)*0.13</f>
        <v>25.926712500000001</v>
      </c>
      <c r="I147" s="122">
        <f t="shared" si="54"/>
        <v>25.926712500000001</v>
      </c>
      <c r="J147" s="122">
        <f t="shared" si="54"/>
        <v>17.284475</v>
      </c>
      <c r="K147" s="122">
        <f t="shared" si="54"/>
        <v>17.284475</v>
      </c>
      <c r="L147" s="122">
        <f t="shared" si="54"/>
        <v>17.284475</v>
      </c>
      <c r="M147" s="122">
        <f t="shared" si="54"/>
        <v>17.284475</v>
      </c>
      <c r="N147" s="122">
        <f t="shared" si="54"/>
        <v>17.284475</v>
      </c>
      <c r="O147" s="122">
        <f t="shared" si="54"/>
        <v>17.284475</v>
      </c>
      <c r="P147" s="122">
        <f t="shared" si="54"/>
        <v>25.926712500000001</v>
      </c>
      <c r="Q147" s="122">
        <f t="shared" si="54"/>
        <v>25.926712500000001</v>
      </c>
      <c r="R147" s="122">
        <f t="shared" si="54"/>
        <v>25.926712500000001</v>
      </c>
      <c r="S147" s="122">
        <f t="shared" si="54"/>
        <v>25.926712500000001</v>
      </c>
      <c r="T147" s="114">
        <f t="shared" si="44"/>
        <v>259.26712500000002</v>
      </c>
    </row>
    <row r="148" spans="3:55" x14ac:dyDescent="0.15">
      <c r="F148" s="109" t="s">
        <v>89</v>
      </c>
      <c r="G148" s="108"/>
      <c r="H148" s="122">
        <f t="shared" ref="H148:S148" si="55">SUM(H129/2)*0.12</f>
        <v>95.729399999999998</v>
      </c>
      <c r="I148" s="122">
        <f t="shared" si="55"/>
        <v>95.729399999999998</v>
      </c>
      <c r="J148" s="122">
        <f t="shared" si="55"/>
        <v>63.819600000000001</v>
      </c>
      <c r="K148" s="122">
        <f t="shared" si="55"/>
        <v>63.819600000000001</v>
      </c>
      <c r="L148" s="122">
        <f t="shared" si="55"/>
        <v>63.819600000000001</v>
      </c>
      <c r="M148" s="122">
        <f t="shared" si="55"/>
        <v>63.819600000000001</v>
      </c>
      <c r="N148" s="122">
        <f t="shared" si="55"/>
        <v>63.819600000000001</v>
      </c>
      <c r="O148" s="122">
        <f t="shared" si="55"/>
        <v>63.819600000000001</v>
      </c>
      <c r="P148" s="122">
        <f t="shared" si="55"/>
        <v>95.729399999999998</v>
      </c>
      <c r="Q148" s="122">
        <f t="shared" si="55"/>
        <v>95.729399999999998</v>
      </c>
      <c r="R148" s="122">
        <f t="shared" si="55"/>
        <v>95.729399999999998</v>
      </c>
      <c r="S148" s="122">
        <f t="shared" si="55"/>
        <v>95.729399999999998</v>
      </c>
      <c r="T148" s="114">
        <f t="shared" si="44"/>
        <v>957.29399999999987</v>
      </c>
      <c r="AX148" s="21"/>
      <c r="AY148" s="21"/>
      <c r="AZ148" s="21"/>
      <c r="BA148" s="21"/>
      <c r="BB148" s="21"/>
      <c r="BC148" s="21"/>
    </row>
    <row r="149" spans="3:55" ht="14" thickBot="1" x14ac:dyDescent="0.2">
      <c r="F149" s="104" t="s">
        <v>147</v>
      </c>
      <c r="G149" s="106"/>
      <c r="H149" s="122">
        <f t="shared" ref="H149:S149" si="56">SUM(H130/1.5)*0.03</f>
        <v>27.921074999999995</v>
      </c>
      <c r="I149" s="122">
        <f t="shared" si="56"/>
        <v>27.921074999999995</v>
      </c>
      <c r="J149" s="122">
        <f t="shared" si="56"/>
        <v>18.614049999999999</v>
      </c>
      <c r="K149" s="122">
        <f t="shared" si="56"/>
        <v>18.614049999999999</v>
      </c>
      <c r="L149" s="122">
        <f t="shared" si="56"/>
        <v>18.614049999999999</v>
      </c>
      <c r="M149" s="122">
        <f t="shared" si="56"/>
        <v>18.614049999999999</v>
      </c>
      <c r="N149" s="122">
        <f t="shared" si="56"/>
        <v>18.614049999999999</v>
      </c>
      <c r="O149" s="122">
        <f t="shared" si="56"/>
        <v>18.614049999999999</v>
      </c>
      <c r="P149" s="122">
        <f t="shared" si="56"/>
        <v>27.921074999999995</v>
      </c>
      <c r="Q149" s="122">
        <f t="shared" si="56"/>
        <v>27.921074999999995</v>
      </c>
      <c r="R149" s="122">
        <f t="shared" si="56"/>
        <v>27.921074999999995</v>
      </c>
      <c r="S149" s="122">
        <f t="shared" si="56"/>
        <v>27.921074999999995</v>
      </c>
      <c r="T149" s="114">
        <f t="shared" si="44"/>
        <v>279.21074999999996</v>
      </c>
      <c r="AX149" s="15"/>
      <c r="AY149" s="15"/>
      <c r="AZ149" s="15"/>
      <c r="BA149" s="15"/>
      <c r="BB149" s="15"/>
      <c r="BC149" s="15"/>
    </row>
    <row r="150" spans="3:55" ht="14" thickBot="1" x14ac:dyDescent="0.2">
      <c r="F150" s="25" t="s">
        <v>15</v>
      </c>
      <c r="G150" s="149"/>
      <c r="H150" s="123">
        <f t="shared" ref="H150:S150" si="57">SUM(H134:H145)</f>
        <v>15161.551694343434</v>
      </c>
      <c r="I150" s="123">
        <f t="shared" si="57"/>
        <v>15161.500964343433</v>
      </c>
      <c r="J150" s="123">
        <f t="shared" si="57"/>
        <v>10658.778385404041</v>
      </c>
      <c r="K150" s="123">
        <f t="shared" si="57"/>
        <v>15402.616033080809</v>
      </c>
      <c r="L150" s="123">
        <f t="shared" si="57"/>
        <v>15402.616033080809</v>
      </c>
      <c r="M150" s="123">
        <f t="shared" si="57"/>
        <v>17827.385463169194</v>
      </c>
      <c r="N150" s="123">
        <f t="shared" si="57"/>
        <v>17827.385463169194</v>
      </c>
      <c r="O150" s="123">
        <f t="shared" si="57"/>
        <v>17827.385463169194</v>
      </c>
      <c r="P150" s="123">
        <f t="shared" si="57"/>
        <v>32642.070146275255</v>
      </c>
      <c r="Q150" s="123">
        <f t="shared" si="57"/>
        <v>34069.036515025255</v>
      </c>
      <c r="R150" s="123">
        <f t="shared" si="57"/>
        <v>22171.556223358588</v>
      </c>
      <c r="S150" s="123">
        <f t="shared" si="57"/>
        <v>19799.637399520205</v>
      </c>
      <c r="T150" s="119">
        <f>SUM(T136:T139,Q141:Q144,W148:W151)</f>
        <v>56303.64816851011</v>
      </c>
    </row>
    <row r="151" spans="3:55" x14ac:dyDescent="0.15">
      <c r="Q151" s="94">
        <f>SUM(T131-T150)</f>
        <v>239526.78933148988</v>
      </c>
      <c r="R151" s="94">
        <f>SUM(Q151-P45)</f>
        <v>97926.180013308069</v>
      </c>
      <c r="S151">
        <f>SUM(T150/T131)</f>
        <v>0.1903240540233799</v>
      </c>
    </row>
    <row r="153" spans="3:55" x14ac:dyDescent="0.15">
      <c r="K153" s="55"/>
    </row>
    <row r="154" spans="3:55" x14ac:dyDescent="0.15">
      <c r="G154">
        <f>SUM(R151*0.25)</f>
        <v>24481.545003327017</v>
      </c>
    </row>
    <row r="155" spans="3:55" x14ac:dyDescent="0.15">
      <c r="G155" s="55" t="s">
        <v>187</v>
      </c>
    </row>
    <row r="157" spans="3:55" x14ac:dyDescent="0.15">
      <c r="G157">
        <f>SUM(G154/12)</f>
        <v>2040.1287502772514</v>
      </c>
    </row>
    <row r="162" spans="22:36" x14ac:dyDescent="0.15">
      <c r="AF162" s="21"/>
      <c r="AG162" s="21"/>
      <c r="AH162" s="21"/>
      <c r="AI162" s="21"/>
      <c r="AJ162" s="21"/>
    </row>
    <row r="169" spans="22:36" x14ac:dyDescent="0.15">
      <c r="V169" s="21"/>
      <c r="AF169" s="21"/>
      <c r="AG169" s="21"/>
      <c r="AH169" s="21"/>
      <c r="AI169" s="21"/>
      <c r="AJ169" s="21"/>
    </row>
    <row r="170" spans="22:36" x14ac:dyDescent="0.15">
      <c r="V170" s="15"/>
      <c r="AF170" s="15"/>
      <c r="AG170" s="15"/>
      <c r="AH170" s="15"/>
      <c r="AI170" s="15"/>
      <c r="AJ170" s="15"/>
    </row>
    <row r="171" spans="22:36" x14ac:dyDescent="0.15">
      <c r="W171" s="21"/>
      <c r="X171" s="21"/>
      <c r="Y171" s="21"/>
      <c r="Z171" s="21"/>
      <c r="AA171" s="21"/>
      <c r="AB171" s="21"/>
      <c r="AC171" s="21"/>
      <c r="AD171" s="21"/>
      <c r="AE171" s="21"/>
    </row>
    <row r="172" spans="22:36" x14ac:dyDescent="0.15">
      <c r="W172" s="15"/>
      <c r="X172" s="15"/>
      <c r="Y172" s="15"/>
      <c r="Z172" s="15"/>
      <c r="AA172" s="15"/>
      <c r="AB172" s="15"/>
      <c r="AC172" s="15"/>
      <c r="AD172" s="15"/>
      <c r="AE172" s="15"/>
    </row>
    <row r="184" spans="9:21" x14ac:dyDescent="0.15"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</row>
    <row r="188" spans="9:21" x14ac:dyDescent="0.15">
      <c r="I188" s="21"/>
    </row>
    <row r="189" spans="9:21" x14ac:dyDescent="0.15">
      <c r="U189" s="21"/>
    </row>
    <row r="191" spans="9:21" x14ac:dyDescent="0.15"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</row>
    <row r="192" spans="9:21" x14ac:dyDescent="0.15"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</row>
    <row r="195" spans="9:22" x14ac:dyDescent="0.15">
      <c r="I195" s="21"/>
    </row>
    <row r="196" spans="9:22" x14ac:dyDescent="0.15">
      <c r="I196" s="15"/>
      <c r="U196" s="21"/>
    </row>
    <row r="197" spans="9:22" x14ac:dyDescent="0.15">
      <c r="U197" s="15"/>
    </row>
    <row r="208" spans="9:22" x14ac:dyDescent="0.15">
      <c r="V208" s="21"/>
    </row>
    <row r="210" spans="22:26" x14ac:dyDescent="0.15">
      <c r="W210" s="21"/>
      <c r="X210" s="21"/>
      <c r="Y210" s="21"/>
      <c r="Z210" s="21"/>
    </row>
    <row r="215" spans="22:26" x14ac:dyDescent="0.15">
      <c r="V215" s="21"/>
    </row>
    <row r="216" spans="22:26" x14ac:dyDescent="0.15">
      <c r="V216" s="15"/>
    </row>
    <row r="217" spans="22:26" x14ac:dyDescent="0.15">
      <c r="W217" s="21"/>
      <c r="X217" s="21"/>
      <c r="Y217" s="21"/>
      <c r="Z217" s="21"/>
    </row>
    <row r="218" spans="22:26" x14ac:dyDescent="0.15">
      <c r="W218" s="15"/>
      <c r="X218" s="15"/>
      <c r="Y218" s="15"/>
      <c r="Z218" s="15"/>
    </row>
  </sheetData>
  <phoneticPr fontId="0" type="noConversion"/>
  <hyperlinks>
    <hyperlink ref="T25" r:id="rId1" xr:uid="{00000000-0004-0000-0000-000000000000}"/>
    <hyperlink ref="X28" r:id="rId2" xr:uid="{00000000-0004-0000-0000-000001000000}"/>
    <hyperlink ref="Q32" r:id="rId3" xr:uid="{00000000-0004-0000-0000-000002000000}"/>
    <hyperlink ref="Q31" r:id="rId4" display="../../Downloads/Farmers Market License Fillable Application (1).pdf" xr:uid="{00000000-0004-0000-0000-000003000000}"/>
    <hyperlink ref="Q29" r:id="rId5" display="../../Downloads/Food Establishment License Application 2019.pdf" xr:uid="{00000000-0004-0000-0000-000004000000}"/>
    <hyperlink ref="Q30" r:id="rId6" xr:uid="{00000000-0004-0000-0000-000005000000}"/>
    <hyperlink ref="S32" r:id="rId7" display="../../Downloads/Food Establishment License Application 2019.pdf" xr:uid="{00000000-0004-0000-0000-000006000000}"/>
    <hyperlink ref="Q28" r:id="rId8" xr:uid="{00000000-0004-0000-0000-000007000000}"/>
    <hyperlink ref="Q36" r:id="rId9" xr:uid="{00000000-0004-0000-0000-000008000000}"/>
    <hyperlink ref="R36" r:id="rId10" xr:uid="{00000000-0004-0000-0000-000009000000}"/>
    <hyperlink ref="Q25" r:id="rId11" xr:uid="{00000000-0004-0000-0000-00000A000000}"/>
    <hyperlink ref="Q39" r:id="rId12" xr:uid="{00000000-0004-0000-0000-00000B000000}"/>
    <hyperlink ref="R37" r:id="rId13" location="step=choose" display="https://shop.centurylink.com/MasterWebPortal/freeRange/shop/SMBNCBundle_viewSmbNcBundlesPage.action?view=choose&amp;term=24&amp;type=InternetVOIP&amp;configPage=true&amp;pageVisited=preInternetPage - step=choose" xr:uid="{00000000-0004-0000-0000-00000C000000}"/>
    <hyperlink ref="Q38" r:id="rId14" xr:uid="{00000000-0004-0000-0000-00000D000000}"/>
    <hyperlink ref="R38" r:id="rId15" xr:uid="{00000000-0004-0000-0000-00000E000000}"/>
    <hyperlink ref="Q41" r:id="rId16" xr:uid="{00000000-0004-0000-0000-00000F000000}"/>
    <hyperlink ref="Q27" r:id="rId17" xr:uid="{00000000-0004-0000-0000-000010000000}"/>
    <hyperlink ref="Q40" r:id="rId18" xr:uid="{00000000-0004-0000-0000-000011000000}"/>
    <hyperlink ref="Q42" r:id="rId19" xr:uid="{00000000-0004-0000-0000-000012000000}"/>
    <hyperlink ref="Q43" r:id="rId20" location=":~:targetText=Iowa%20City%20residents%3A%20%246.50%20for,Charge%20per%20ton%20is%20%2442.50." display="https://www.icgov.org/city-government/departments-and-divisions/landfill-and-recycling-center - :~:targetText=Iowa%20City%20residents%3A%20%246.50%20for,Charge%20per%20ton%20is%20%2442.50." xr:uid="{00000000-0004-0000-0000-000013000000}"/>
    <hyperlink ref="Q44" r:id="rId21" location=":~:targetText=The%20range%20of%20costs%20varies,off%20and%20running%20for%20%245%2C000." display="https://www.entrepreneur.com/article/233385 - :~:targetText=The%20range%20of%20costs%20varies,off%20and%20running%20for%20%245%2C000." xr:uid="{00000000-0004-0000-0000-000014000000}"/>
    <hyperlink ref="Q26" r:id="rId22" xr:uid="{00000000-0004-0000-0000-000015000000}"/>
    <hyperlink ref="T23" r:id="rId23" xr:uid="{00000000-0004-0000-0000-000016000000}"/>
    <hyperlink ref="Q34" r:id="rId24" xr:uid="{00000000-0004-0000-0000-000017000000}"/>
    <hyperlink ref="Q33" r:id="rId25" xr:uid="{00000000-0004-0000-0000-000018000000}"/>
    <hyperlink ref="Q35" r:id="rId26" xr:uid="{00000000-0004-0000-0000-000019000000}"/>
  </hyperlinks>
  <printOptions horizontalCentered="1"/>
  <pageMargins left="0.23622047244094491" right="0.23622047244094491" top="0.74803149606299213" bottom="0.74803149606299213" header="0.23622047244094491" footer="0.51181102362204722"/>
  <pageSetup scale="54" orientation="landscape"/>
  <headerFooter alignWithMargins="0">
    <oddHeader>&amp;LDate: &amp;D</oddHeader>
  </headerFooter>
  <colBreaks count="1" manualBreakCount="1">
    <brk id="2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C10" sqref="C10"/>
    </sheetView>
  </sheetViews>
  <sheetFormatPr baseColWidth="10" defaultRowHeight="13" x14ac:dyDescent="0.15"/>
  <sheetData>
    <row r="1" spans="1:3" x14ac:dyDescent="0.15">
      <c r="A1" t="s">
        <v>26</v>
      </c>
    </row>
    <row r="3" spans="1:3" x14ac:dyDescent="0.15">
      <c r="A3" t="s">
        <v>27</v>
      </c>
      <c r="B3" t="s">
        <v>28</v>
      </c>
    </row>
    <row r="4" spans="1:3" x14ac:dyDescent="0.15">
      <c r="B4" t="s">
        <v>29</v>
      </c>
    </row>
    <row r="6" spans="1:3" x14ac:dyDescent="0.15">
      <c r="A6" t="s">
        <v>30</v>
      </c>
      <c r="C6" t="s">
        <v>32</v>
      </c>
    </row>
    <row r="8" spans="1:3" x14ac:dyDescent="0.15">
      <c r="A8" t="s">
        <v>31</v>
      </c>
      <c r="C8" t="s">
        <v>33</v>
      </c>
    </row>
  </sheetData>
  <pageMargins left="0.75" right="0.75" top="1" bottom="1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Profit and Loss Statement</vt:lpstr>
      <vt:lpstr>Sheet1</vt:lpstr>
      <vt:lpstr>'Profit and Loss Statement'!Print_Area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Income Statement - 12 Months</dc:title>
  <dc:creator>Microsoft Corporation</dc:creator>
  <cp:lastModifiedBy>Microsoft Office User</cp:lastModifiedBy>
  <cp:lastPrinted>2008-03-21T14:58:42Z</cp:lastPrinted>
  <dcterms:created xsi:type="dcterms:W3CDTF">1998-01-28T03:20:06Z</dcterms:created>
  <dcterms:modified xsi:type="dcterms:W3CDTF">2019-11-21T01:17:40Z</dcterms:modified>
</cp:coreProperties>
</file>