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5" windowWidth="15150" windowHeight="7920" tabRatio="795" firstSheet="3" activeTab="23"/>
  </bookViews>
  <sheets>
    <sheet name="SUM" sheetId="3" r:id="rId1"/>
    <sheet name="AVERAGE" sheetId="19" r:id="rId2"/>
    <sheet name="MAX,MIN" sheetId="20" r:id="rId3"/>
    <sheet name="ROUND" sheetId="7" r:id="rId4"/>
    <sheet name="INT" sheetId="33" r:id="rId5"/>
    <sheet name="RANK" sheetId="21" r:id="rId6"/>
    <sheet name="IF" sheetId="16" r:id="rId7"/>
    <sheet name="중첩IF" sheetId="17" r:id="rId8"/>
    <sheet name="AND,OR" sheetId="18" r:id="rId9"/>
    <sheet name="문자열함수" sheetId="28" r:id="rId10"/>
    <sheet name="&amp;연산자" sheetId="27" r:id="rId11"/>
    <sheet name="날짜시간" sheetId="29" r:id="rId12"/>
    <sheet name="SUMIF" sheetId="32" r:id="rId13"/>
    <sheet name="COUNTIF" sheetId="23" r:id="rId14"/>
    <sheet name="다중조건" sheetId="42" r:id="rId15"/>
    <sheet name="찾기참조" sheetId="43" r:id="rId16"/>
    <sheet name="DB1" sheetId="38" r:id="rId17"/>
    <sheet name="DB2" sheetId="39" r:id="rId18"/>
    <sheet name="DB3" sheetId="41" r:id="rId19"/>
    <sheet name="frequency" sheetId="48" r:id="rId20"/>
    <sheet name="배열수식" sheetId="44" r:id="rId21"/>
    <sheet name="배열기초" sheetId="45" r:id="rId22"/>
    <sheet name="SUMPRODUCT" sheetId="46" r:id="rId23"/>
    <sheet name="SIF" sheetId="47" r:id="rId24"/>
  </sheets>
  <definedNames>
    <definedName name="_xlnm._FilterDatabase" localSheetId="12" hidden="1">SUMIF!$A$2:$F$15</definedName>
    <definedName name="성별" localSheetId="19">#REF!</definedName>
    <definedName name="성별" localSheetId="23">#REF!</definedName>
    <definedName name="성별" localSheetId="14">#REF!</definedName>
    <definedName name="성별" localSheetId="15">#REF!</definedName>
    <definedName name="성별">#REF!</definedName>
  </definedNames>
  <calcPr calcId="145621"/>
</workbook>
</file>

<file path=xl/calcChain.xml><?xml version="1.0" encoding="utf-8"?>
<calcChain xmlns="http://schemas.openxmlformats.org/spreadsheetml/2006/main">
  <c r="D36" i="7" l="1"/>
  <c r="E36" i="7"/>
  <c r="F36" i="7"/>
  <c r="C36" i="7"/>
  <c r="K3" i="44" l="1"/>
  <c r="K4" i="44"/>
  <c r="F29" i="48" a="1"/>
  <c r="F31" i="48" s="1"/>
  <c r="I28" i="48"/>
  <c r="G28" i="48"/>
  <c r="F28" i="48"/>
  <c r="I27" i="48"/>
  <c r="G27" i="48"/>
  <c r="F27" i="48"/>
  <c r="G26" i="48"/>
  <c r="F26" i="48"/>
  <c r="I26" i="48" s="1"/>
  <c r="G25" i="48"/>
  <c r="F25" i="48"/>
  <c r="I25" i="48" s="1"/>
  <c r="I24" i="48"/>
  <c r="G24" i="48"/>
  <c r="F24" i="48"/>
  <c r="I23" i="48"/>
  <c r="G23" i="48"/>
  <c r="F23" i="48"/>
  <c r="G22" i="48"/>
  <c r="F22" i="48"/>
  <c r="I22" i="48" s="1"/>
  <c r="G21" i="48"/>
  <c r="F21" i="48"/>
  <c r="I21" i="48" s="1"/>
  <c r="I20" i="48"/>
  <c r="G20" i="48"/>
  <c r="F20" i="48"/>
  <c r="I19" i="48"/>
  <c r="G19" i="48"/>
  <c r="F19" i="48"/>
  <c r="G18" i="48"/>
  <c r="F18" i="48"/>
  <c r="I18" i="48" s="1"/>
  <c r="G17" i="48"/>
  <c r="F17" i="48"/>
  <c r="I17" i="48" s="1"/>
  <c r="D4" i="48" a="1"/>
  <c r="D6" i="48" s="1"/>
  <c r="D4" i="48" l="1"/>
  <c r="F29" i="48"/>
  <c r="D5" i="48"/>
  <c r="F30" i="48"/>
  <c r="J20" i="47" l="1" a="1"/>
  <c r="J20" i="47" s="1"/>
  <c r="D20" i="47" a="1"/>
  <c r="D20" i="47" s="1"/>
  <c r="K9" i="47" a="1"/>
  <c r="K9" i="47" s="1"/>
  <c r="C9" i="47"/>
  <c r="I8" i="47"/>
  <c r="J8" i="47" s="1"/>
  <c r="F8" i="47"/>
  <c r="I7" i="47"/>
  <c r="J7" i="47" s="1"/>
  <c r="F7" i="47"/>
  <c r="J6" i="47"/>
  <c r="I6" i="47"/>
  <c r="F6" i="47"/>
  <c r="I5" i="47"/>
  <c r="J5" i="47" s="1"/>
  <c r="F5" i="47"/>
  <c r="I4" i="47"/>
  <c r="J4" i="47" s="1"/>
  <c r="F4" i="47"/>
  <c r="E15" i="46" a="1"/>
  <c r="E15" i="46" s="1"/>
  <c r="E14" i="46" a="1"/>
  <c r="E14" i="46" s="1"/>
  <c r="E13" i="46" a="1"/>
  <c r="E13" i="46" s="1"/>
  <c r="E12" i="46" a="1"/>
  <c r="E12" i="46" s="1"/>
  <c r="F18" i="45" a="1"/>
  <c r="F18" i="45" s="1"/>
  <c r="C18" i="45" a="1"/>
  <c r="C18" i="45" s="1"/>
  <c r="F17" i="45" a="1"/>
  <c r="F17" i="45" s="1"/>
  <c r="C17" i="45" a="1"/>
  <c r="C17" i="45" s="1"/>
  <c r="F16" i="45" a="1"/>
  <c r="F16" i="45" s="1"/>
  <c r="C16" i="45" a="1"/>
  <c r="C16" i="45" s="1"/>
  <c r="K14" i="45" a="1"/>
  <c r="K14" i="45" s="1"/>
  <c r="L9" i="45"/>
  <c r="L8" i="45"/>
  <c r="L7" i="45"/>
  <c r="L6" i="45"/>
  <c r="L5" i="45"/>
  <c r="L4" i="45"/>
  <c r="L3" i="45"/>
  <c r="K21" i="44" a="1"/>
  <c r="K21" i="44" s="1"/>
  <c r="I19" i="44"/>
  <c r="H19" i="44"/>
  <c r="J19" i="44" s="1"/>
  <c r="K19" i="44" s="1"/>
  <c r="I18" i="44"/>
  <c r="H18" i="44"/>
  <c r="I17" i="44"/>
  <c r="H17" i="44"/>
  <c r="J17" i="44" s="1"/>
  <c r="K17" i="44" s="1"/>
  <c r="I16" i="44"/>
  <c r="H16" i="44"/>
  <c r="I15" i="44"/>
  <c r="H15" i="44"/>
  <c r="J15" i="44" s="1"/>
  <c r="K15" i="44" s="1"/>
  <c r="I14" i="44"/>
  <c r="H14" i="44"/>
  <c r="K10" i="44" a="1"/>
  <c r="K10" i="44" s="1"/>
  <c r="I8" i="44"/>
  <c r="H8" i="44"/>
  <c r="J8" i="44" s="1"/>
  <c r="K8" i="44" s="1"/>
  <c r="I7" i="44"/>
  <c r="H7" i="44"/>
  <c r="J7" i="44" s="1"/>
  <c r="K7" i="44" s="1"/>
  <c r="I6" i="44"/>
  <c r="H6" i="44"/>
  <c r="J6" i="44" s="1"/>
  <c r="K6" i="44" s="1"/>
  <c r="D6" i="44"/>
  <c r="C6" i="44"/>
  <c r="I5" i="44"/>
  <c r="J5" i="44" s="1"/>
  <c r="K5" i="44" s="1"/>
  <c r="H5" i="44"/>
  <c r="D5" i="44"/>
  <c r="C5" i="44"/>
  <c r="I4" i="44"/>
  <c r="H4" i="44"/>
  <c r="D4" i="44"/>
  <c r="C4" i="44"/>
  <c r="I3" i="44"/>
  <c r="H3" i="44"/>
  <c r="D3" i="44"/>
  <c r="C3" i="44"/>
  <c r="E11" i="43"/>
  <c r="D11" i="43"/>
  <c r="J10" i="43"/>
  <c r="E10" i="43"/>
  <c r="D10" i="43"/>
  <c r="J9" i="43"/>
  <c r="E9" i="43"/>
  <c r="D9" i="43"/>
  <c r="J8" i="43"/>
  <c r="E8" i="43"/>
  <c r="D8" i="43"/>
  <c r="J7" i="43"/>
  <c r="E7" i="43"/>
  <c r="D7" i="43"/>
  <c r="J6" i="43"/>
  <c r="E6" i="43"/>
  <c r="D6" i="43"/>
  <c r="J5" i="43"/>
  <c r="E5" i="43"/>
  <c r="D5" i="43"/>
  <c r="J4" i="43"/>
  <c r="E4" i="43"/>
  <c r="D4" i="43"/>
  <c r="K18" i="42"/>
  <c r="J18" i="42"/>
  <c r="I18" i="42"/>
  <c r="E18" i="42"/>
  <c r="D18" i="42"/>
  <c r="C18" i="42"/>
  <c r="K15" i="42"/>
  <c r="J15" i="42"/>
  <c r="I15" i="42"/>
  <c r="E15" i="42"/>
  <c r="D15" i="42"/>
  <c r="C15" i="42"/>
  <c r="I12" i="42"/>
  <c r="C12" i="42"/>
  <c r="J4" i="44" l="1"/>
  <c r="K9" i="44" s="1"/>
  <c r="J3" i="44"/>
  <c r="J14" i="44"/>
  <c r="K14" i="44" s="1"/>
  <c r="K20" i="44" s="1"/>
  <c r="J16" i="44"/>
  <c r="K16" i="44" s="1"/>
  <c r="J18" i="44"/>
  <c r="K18" i="44" s="1"/>
  <c r="L10" i="45"/>
  <c r="F13" i="32" l="1"/>
  <c r="F12" i="32"/>
  <c r="D12" i="32"/>
  <c r="D11" i="32"/>
  <c r="E11" i="32"/>
  <c r="F11" i="32"/>
  <c r="E12" i="32"/>
  <c r="D13" i="32"/>
  <c r="E13" i="32"/>
  <c r="C12" i="32"/>
  <c r="C13" i="32"/>
  <c r="C11" i="32"/>
  <c r="F15" i="41"/>
  <c r="G13" i="41"/>
  <c r="G12" i="41"/>
  <c r="G10" i="41"/>
  <c r="G9" i="41"/>
  <c r="G8" i="41"/>
  <c r="G7" i="41"/>
  <c r="G6" i="41"/>
  <c r="G5" i="41"/>
  <c r="G4" i="41"/>
  <c r="E16" i="39"/>
  <c r="E14" i="39"/>
  <c r="F15" i="39"/>
  <c r="E15" i="39"/>
  <c r="F14" i="39"/>
  <c r="G23" i="38"/>
  <c r="G21" i="38"/>
  <c r="G16" i="38"/>
  <c r="G19" i="38"/>
  <c r="G17" i="38"/>
  <c r="G15" i="38"/>
  <c r="H4" i="38"/>
  <c r="H5" i="38"/>
  <c r="H6" i="38"/>
  <c r="H7" i="38"/>
  <c r="H8" i="38"/>
  <c r="H9" i="38"/>
  <c r="H10" i="38"/>
  <c r="H11" i="38"/>
  <c r="H3" i="38"/>
  <c r="D35" i="23"/>
  <c r="D14" i="23"/>
  <c r="D8" i="23"/>
  <c r="D6" i="23"/>
  <c r="D4" i="23"/>
  <c r="D10" i="23"/>
  <c r="D16" i="23"/>
  <c r="D15" i="23"/>
  <c r="D13" i="23"/>
  <c r="D12" i="23"/>
  <c r="E17" i="32"/>
  <c r="E16" i="32"/>
  <c r="E15" i="32"/>
  <c r="E14" i="32"/>
  <c r="F25" i="29"/>
  <c r="F34" i="29"/>
  <c r="E37" i="29"/>
  <c r="D37" i="29"/>
  <c r="F37" i="29" s="1"/>
  <c r="D36" i="29"/>
  <c r="E36" i="29" s="1"/>
  <c r="D35" i="29"/>
  <c r="E35" i="29" s="1"/>
  <c r="E34" i="29"/>
  <c r="D34" i="29"/>
  <c r="D33" i="29"/>
  <c r="E33" i="29" s="1"/>
  <c r="D32" i="29"/>
  <c r="E32" i="29" s="1"/>
  <c r="E31" i="29"/>
  <c r="D31" i="29"/>
  <c r="F31" i="29" s="1"/>
  <c r="D30" i="29"/>
  <c r="E30" i="29" s="1"/>
  <c r="D29" i="29"/>
  <c r="E29" i="29" s="1"/>
  <c r="E28" i="29"/>
  <c r="D28" i="29"/>
  <c r="F28" i="29" s="1"/>
  <c r="D27" i="29"/>
  <c r="E27" i="29" s="1"/>
  <c r="D26" i="29"/>
  <c r="E26" i="29" s="1"/>
  <c r="E25" i="29"/>
  <c r="D25" i="29"/>
  <c r="C13" i="29"/>
  <c r="C12" i="29"/>
  <c r="C11" i="29"/>
  <c r="C6" i="29"/>
  <c r="C5" i="29"/>
  <c r="C4" i="29"/>
  <c r="E18" i="27"/>
  <c r="D19" i="27"/>
  <c r="D20" i="27"/>
  <c r="D21" i="27"/>
  <c r="D22" i="27"/>
  <c r="D23" i="27"/>
  <c r="D24" i="27"/>
  <c r="D25" i="27"/>
  <c r="D26" i="27"/>
  <c r="D18" i="27"/>
  <c r="D4" i="27"/>
  <c r="D5" i="27"/>
  <c r="D6" i="27"/>
  <c r="D7" i="27"/>
  <c r="D8" i="27"/>
  <c r="D9" i="27"/>
  <c r="D10" i="27"/>
  <c r="D3" i="27"/>
  <c r="B24" i="28"/>
  <c r="B25" i="28"/>
  <c r="B26" i="28"/>
  <c r="B27" i="28"/>
  <c r="B28" i="28"/>
  <c r="B29" i="28"/>
  <c r="B30" i="28"/>
  <c r="B23" i="28"/>
  <c r="D17" i="28"/>
  <c r="D16" i="28"/>
  <c r="D15" i="28"/>
  <c r="D11" i="28"/>
  <c r="D10" i="28"/>
  <c r="D9" i="28"/>
  <c r="G21" i="18"/>
  <c r="G22" i="18"/>
  <c r="G23" i="18"/>
  <c r="G24" i="18"/>
  <c r="G25" i="18"/>
  <c r="G26" i="18"/>
  <c r="G27" i="18"/>
  <c r="G28" i="18"/>
  <c r="G29" i="18"/>
  <c r="G30" i="18"/>
  <c r="E30" i="18"/>
  <c r="F30" i="18" s="1"/>
  <c r="F29" i="18"/>
  <c r="E29" i="18"/>
  <c r="E28" i="18"/>
  <c r="F28" i="18" s="1"/>
  <c r="F27" i="18"/>
  <c r="E27" i="18"/>
  <c r="E26" i="18"/>
  <c r="F26" i="18" s="1"/>
  <c r="F25" i="18"/>
  <c r="E25" i="18"/>
  <c r="F24" i="18"/>
  <c r="E24" i="18"/>
  <c r="E23" i="18"/>
  <c r="F23" i="18" s="1"/>
  <c r="E22" i="18"/>
  <c r="F22" i="18" s="1"/>
  <c r="F21" i="18"/>
  <c r="E21" i="18"/>
  <c r="D3" i="18"/>
  <c r="E3" i="18"/>
  <c r="E4" i="18"/>
  <c r="E5" i="18"/>
  <c r="E6" i="18"/>
  <c r="E7" i="18"/>
  <c r="E8" i="18"/>
  <c r="E9" i="18"/>
  <c r="D4" i="18"/>
  <c r="D5" i="18"/>
  <c r="D6" i="18"/>
  <c r="D7" i="18"/>
  <c r="D8" i="18"/>
  <c r="D9" i="18"/>
  <c r="D33" i="17"/>
  <c r="E33" i="17" s="1"/>
  <c r="D32" i="17"/>
  <c r="E32" i="17" s="1"/>
  <c r="D31" i="17"/>
  <c r="E31" i="17" s="1"/>
  <c r="D30" i="17"/>
  <c r="E30" i="17" s="1"/>
  <c r="D29" i="17"/>
  <c r="E29" i="17" s="1"/>
  <c r="D28" i="17"/>
  <c r="E28" i="17" s="1"/>
  <c r="D27" i="17"/>
  <c r="E27" i="17" s="1"/>
  <c r="D26" i="17"/>
  <c r="E26" i="17" s="1"/>
  <c r="D25" i="17"/>
  <c r="E25" i="17" s="1"/>
  <c r="D24" i="17"/>
  <c r="E24" i="17" s="1"/>
  <c r="D23" i="17"/>
  <c r="E23" i="17" s="1"/>
  <c r="D22" i="17"/>
  <c r="E22" i="17" s="1"/>
  <c r="D3" i="16"/>
  <c r="E19" i="21"/>
  <c r="E20" i="21"/>
  <c r="E21" i="21"/>
  <c r="E22" i="21"/>
  <c r="E23" i="21"/>
  <c r="E24" i="21"/>
  <c r="E25" i="21"/>
  <c r="E26" i="21"/>
  <c r="E27" i="21"/>
  <c r="D3" i="21"/>
  <c r="C3" i="21"/>
  <c r="D4" i="21"/>
  <c r="D5" i="21"/>
  <c r="D6" i="21"/>
  <c r="D7" i="21"/>
  <c r="D8" i="21"/>
  <c r="D9" i="21"/>
  <c r="G18" i="38" l="1"/>
  <c r="G22" i="38"/>
  <c r="G20" i="38"/>
  <c r="F33" i="29"/>
  <c r="G14" i="38"/>
  <c r="G13" i="38"/>
  <c r="F30" i="29"/>
  <c r="F29" i="29"/>
  <c r="F35" i="29"/>
  <c r="F27" i="29"/>
  <c r="F26" i="29"/>
  <c r="F36" i="29"/>
  <c r="F32" i="29"/>
  <c r="C4" i="21"/>
  <c r="C5" i="21"/>
  <c r="C6" i="21"/>
  <c r="C7" i="21"/>
  <c r="C8" i="21"/>
  <c r="C9" i="21"/>
  <c r="B5" i="33"/>
  <c r="B4" i="33"/>
  <c r="D24" i="33"/>
  <c r="E24" i="33" s="1"/>
  <c r="D23" i="33"/>
  <c r="E23" i="33" s="1"/>
  <c r="D22" i="33"/>
  <c r="E22" i="33" s="1"/>
  <c r="D21" i="33"/>
  <c r="E21" i="33" s="1"/>
  <c r="D20" i="33"/>
  <c r="E20" i="33" s="1"/>
  <c r="D19" i="33"/>
  <c r="E19" i="33" s="1"/>
  <c r="D18" i="33"/>
  <c r="E18" i="33" s="1"/>
  <c r="D17" i="33"/>
  <c r="E17" i="33" s="1"/>
  <c r="D16" i="33"/>
  <c r="E16" i="33" s="1"/>
  <c r="D15" i="33"/>
  <c r="E15" i="33" s="1"/>
  <c r="D14" i="33"/>
  <c r="E14" i="33" s="1"/>
  <c r="B31" i="20"/>
  <c r="C31" i="20"/>
  <c r="D31" i="20"/>
  <c r="B11" i="20"/>
  <c r="C11" i="20"/>
  <c r="D11" i="20"/>
  <c r="C10" i="20"/>
  <c r="D10" i="20"/>
  <c r="B10" i="20"/>
  <c r="B9" i="20"/>
  <c r="C9" i="20"/>
  <c r="D9" i="20"/>
  <c r="B26" i="19"/>
  <c r="C26" i="19"/>
  <c r="D26" i="19"/>
  <c r="B8" i="19"/>
  <c r="C8" i="19"/>
  <c r="D8" i="19"/>
  <c r="C29" i="3"/>
  <c r="D29" i="3"/>
  <c r="E29" i="3"/>
  <c r="D5" i="28"/>
  <c r="D4" i="28"/>
  <c r="D3" i="28"/>
  <c r="C20" i="7"/>
  <c r="C19" i="7"/>
  <c r="C18" i="7"/>
  <c r="C13" i="7"/>
  <c r="C12" i="7"/>
  <c r="C11" i="7"/>
  <c r="C6" i="7"/>
  <c r="C5" i="7"/>
  <c r="C4" i="7"/>
  <c r="D4" i="16"/>
  <c r="D5" i="16"/>
  <c r="D6" i="16"/>
  <c r="D7" i="16"/>
  <c r="F4" i="41"/>
  <c r="F8" i="41"/>
  <c r="F9" i="41"/>
  <c r="F11" i="41"/>
  <c r="F6" i="41"/>
  <c r="F13" i="41"/>
  <c r="E4" i="41"/>
  <c r="E5" i="41"/>
  <c r="E6" i="41"/>
  <c r="E7" i="41"/>
  <c r="E8" i="41"/>
  <c r="E9" i="41"/>
  <c r="E10" i="41"/>
  <c r="E11" i="41"/>
  <c r="E12" i="41"/>
  <c r="E13" i="41"/>
  <c r="F5" i="41"/>
  <c r="F7" i="41"/>
  <c r="F10" i="41"/>
  <c r="F12" i="41"/>
  <c r="E3" i="17"/>
  <c r="F3" i="17" s="1"/>
  <c r="D3" i="17"/>
  <c r="D4" i="17"/>
  <c r="E4" i="17"/>
  <c r="F4" i="17" s="1"/>
  <c r="D5" i="17"/>
  <c r="E5" i="17"/>
  <c r="F5" i="17" s="1"/>
  <c r="D6" i="17"/>
  <c r="E6" i="17"/>
  <c r="F6" i="17" s="1"/>
  <c r="D7" i="17"/>
  <c r="E7" i="17"/>
  <c r="F7" i="17" s="1"/>
  <c r="D8" i="17"/>
  <c r="E8" i="17"/>
  <c r="F8" i="17" s="1"/>
  <c r="D9" i="17"/>
  <c r="E9" i="17"/>
  <c r="F9" i="17" s="1"/>
  <c r="D10" i="17"/>
  <c r="E10" i="17"/>
  <c r="F10" i="17" s="1"/>
  <c r="E28" i="16"/>
  <c r="F28" i="16" s="1"/>
  <c r="E16" i="16"/>
  <c r="F16" i="16" s="1"/>
  <c r="E17" i="16"/>
  <c r="F17" i="16" s="1"/>
  <c r="E18" i="16"/>
  <c r="F18" i="16" s="1"/>
  <c r="E19" i="16"/>
  <c r="F19" i="16" s="1"/>
  <c r="E20" i="16"/>
  <c r="F20" i="16" s="1"/>
  <c r="E21" i="16"/>
  <c r="F21" i="16" s="1"/>
  <c r="E22" i="16"/>
  <c r="F22" i="16" s="1"/>
  <c r="E23" i="16"/>
  <c r="F23" i="16" s="1"/>
  <c r="E24" i="16"/>
  <c r="F24" i="16" s="1"/>
  <c r="E25" i="16"/>
  <c r="F25" i="16" s="1"/>
  <c r="E26" i="16"/>
  <c r="F26" i="16" s="1"/>
  <c r="E27" i="16"/>
  <c r="F27" i="16" s="1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F16" i="41" l="1"/>
  <c r="F14" i="41"/>
</calcChain>
</file>

<file path=xl/sharedStrings.xml><?xml version="1.0" encoding="utf-8"?>
<sst xmlns="http://schemas.openxmlformats.org/spreadsheetml/2006/main" count="1078" uniqueCount="792">
  <si>
    <t xml:space="preserve">지점별 재고 현황 </t>
    <phoneticPr fontId="5" type="noConversion"/>
  </si>
  <si>
    <t>단위: 대</t>
    <phoneticPr fontId="5" type="noConversion"/>
  </si>
  <si>
    <t>지점</t>
    <phoneticPr fontId="5" type="noConversion"/>
  </si>
  <si>
    <t>매입수량</t>
    <phoneticPr fontId="5" type="noConversion"/>
  </si>
  <si>
    <t>판매수량</t>
    <phoneticPr fontId="5" type="noConversion"/>
  </si>
  <si>
    <t>재고수량</t>
    <phoneticPr fontId="5" type="noConversion"/>
  </si>
  <si>
    <t>부산</t>
    <phoneticPr fontId="5" type="noConversion"/>
  </si>
  <si>
    <t>영등포</t>
    <phoneticPr fontId="5" type="noConversion"/>
  </si>
  <si>
    <t>강북</t>
    <phoneticPr fontId="5" type="noConversion"/>
  </si>
  <si>
    <t>강서</t>
    <phoneticPr fontId="5" type="noConversion"/>
  </si>
  <si>
    <t>강동</t>
    <phoneticPr fontId="5" type="noConversion"/>
  </si>
  <si>
    <t>강남</t>
    <phoneticPr fontId="5" type="noConversion"/>
  </si>
  <si>
    <t>광주</t>
    <phoneticPr fontId="5" type="noConversion"/>
  </si>
  <si>
    <t>사원명</t>
    <phoneticPr fontId="5" type="noConversion"/>
  </si>
  <si>
    <t>컴퓨터활용 평가</t>
    <phoneticPr fontId="5" type="noConversion"/>
  </si>
  <si>
    <t>상공주식회사 인사고과</t>
    <phoneticPr fontId="5" type="noConversion"/>
  </si>
  <si>
    <t>성명</t>
    <phoneticPr fontId="5" type="noConversion"/>
  </si>
  <si>
    <t>부서</t>
    <phoneticPr fontId="5" type="noConversion"/>
  </si>
  <si>
    <t>점수</t>
    <phoneticPr fontId="5" type="noConversion"/>
  </si>
  <si>
    <t>류민수</t>
    <phoneticPr fontId="5" type="noConversion"/>
  </si>
  <si>
    <t>경리부</t>
    <phoneticPr fontId="5" type="noConversion"/>
  </si>
  <si>
    <t>라우석</t>
    <phoneticPr fontId="5" type="noConversion"/>
  </si>
  <si>
    <t>영업부</t>
    <phoneticPr fontId="5" type="noConversion"/>
  </si>
  <si>
    <t>김민석</t>
    <phoneticPr fontId="5" type="noConversion"/>
  </si>
  <si>
    <t>관리부</t>
    <phoneticPr fontId="5" type="noConversion"/>
  </si>
  <si>
    <t>박우민</t>
    <phoneticPr fontId="5" type="noConversion"/>
  </si>
  <si>
    <t>강우식</t>
    <phoneticPr fontId="5" type="noConversion"/>
  </si>
  <si>
    <t>필기</t>
    <phoneticPr fontId="5" type="noConversion"/>
  </si>
  <si>
    <t>실기</t>
    <phoneticPr fontId="5" type="noConversion"/>
  </si>
  <si>
    <t>총점</t>
    <phoneticPr fontId="5" type="noConversion"/>
  </si>
  <si>
    <t>평균</t>
    <phoneticPr fontId="5" type="noConversion"/>
  </si>
  <si>
    <t>판정</t>
    <phoneticPr fontId="5" type="noConversion"/>
  </si>
  <si>
    <t>김구호</t>
    <phoneticPr fontId="5" type="noConversion"/>
  </si>
  <si>
    <t>하창명</t>
    <phoneticPr fontId="5" type="noConversion"/>
  </si>
  <si>
    <t>민구연</t>
    <phoneticPr fontId="5" type="noConversion"/>
  </si>
  <si>
    <t>이상희</t>
    <phoneticPr fontId="5" type="noConversion"/>
  </si>
  <si>
    <t>오정민</t>
    <phoneticPr fontId="5" type="noConversion"/>
  </si>
  <si>
    <t>영어</t>
    <phoneticPr fontId="5" type="noConversion"/>
  </si>
  <si>
    <t>전산</t>
    <phoneticPr fontId="5" type="noConversion"/>
  </si>
  <si>
    <t>박시영</t>
    <phoneticPr fontId="5" type="noConversion"/>
  </si>
  <si>
    <t>김명훈</t>
    <phoneticPr fontId="5" type="noConversion"/>
  </si>
  <si>
    <t>서태훈</t>
    <phoneticPr fontId="5" type="noConversion"/>
  </si>
  <si>
    <t>강수현</t>
    <phoneticPr fontId="5" type="noConversion"/>
  </si>
  <si>
    <t>정미숙</t>
    <phoneticPr fontId="5" type="noConversion"/>
  </si>
  <si>
    <t>김보람</t>
    <phoneticPr fontId="5" type="noConversion"/>
  </si>
  <si>
    <t>최정민</t>
    <phoneticPr fontId="5" type="noConversion"/>
  </si>
  <si>
    <t xml:space="preserve"> 연수 평가 결과</t>
    <phoneticPr fontId="5" type="noConversion"/>
  </si>
  <si>
    <t>연수 성적</t>
    <phoneticPr fontId="5" type="noConversion"/>
  </si>
  <si>
    <t>상담개론</t>
    <phoneticPr fontId="5" type="noConversion"/>
  </si>
  <si>
    <t>영업실습</t>
    <phoneticPr fontId="5" type="noConversion"/>
  </si>
  <si>
    <t>어학</t>
    <phoneticPr fontId="5" type="noConversion"/>
  </si>
  <si>
    <t>김덕우</t>
    <phoneticPr fontId="5" type="noConversion"/>
  </si>
  <si>
    <t>남효수</t>
    <phoneticPr fontId="5" type="noConversion"/>
  </si>
  <si>
    <t>정지용</t>
    <phoneticPr fontId="5" type="noConversion"/>
  </si>
  <si>
    <t>탁호영</t>
    <phoneticPr fontId="5" type="noConversion"/>
  </si>
  <si>
    <t>구연아</t>
    <phoneticPr fontId="5" type="noConversion"/>
  </si>
  <si>
    <t>김미나</t>
    <phoneticPr fontId="5" type="noConversion"/>
  </si>
  <si>
    <t>교양</t>
    <phoneticPr fontId="5" type="noConversion"/>
  </si>
  <si>
    <t>컴퓨터</t>
    <phoneticPr fontId="5" type="noConversion"/>
  </si>
  <si>
    <t>김인혜</t>
    <phoneticPr fontId="5" type="noConversion"/>
  </si>
  <si>
    <t>박영희</t>
    <phoneticPr fontId="5" type="noConversion"/>
  </si>
  <si>
    <t>도남덕</t>
    <phoneticPr fontId="5" type="noConversion"/>
  </si>
  <si>
    <t>나남희</t>
    <phoneticPr fontId="5" type="noConversion"/>
  </si>
  <si>
    <t>기말고사 성적표</t>
    <phoneticPr fontId="5" type="noConversion"/>
  </si>
  <si>
    <t>학번</t>
    <phoneticPr fontId="5" type="noConversion"/>
  </si>
  <si>
    <t>박정호</t>
    <phoneticPr fontId="5" type="noConversion"/>
  </si>
  <si>
    <t>신정희</t>
    <phoneticPr fontId="5" type="noConversion"/>
  </si>
  <si>
    <t>김용태</t>
    <phoneticPr fontId="5" type="noConversion"/>
  </si>
  <si>
    <t>김진영</t>
    <phoneticPr fontId="5" type="noConversion"/>
  </si>
  <si>
    <t>유현숙</t>
    <phoneticPr fontId="5" type="noConversion"/>
  </si>
  <si>
    <t>최정렬</t>
    <phoneticPr fontId="5" type="noConversion"/>
  </si>
  <si>
    <t>강창희</t>
    <phoneticPr fontId="5" type="noConversion"/>
  </si>
  <si>
    <t>박인수</t>
    <phoneticPr fontId="5" type="noConversion"/>
  </si>
  <si>
    <t>최대값</t>
    <phoneticPr fontId="5" type="noConversion"/>
  </si>
  <si>
    <t>최소값</t>
    <phoneticPr fontId="5" type="noConversion"/>
  </si>
  <si>
    <t>차이값</t>
    <phoneticPr fontId="5" type="noConversion"/>
  </si>
  <si>
    <t>신면철</t>
    <phoneticPr fontId="5" type="noConversion"/>
  </si>
  <si>
    <t>김해진</t>
    <phoneticPr fontId="5" type="noConversion"/>
  </si>
  <si>
    <t>오승환</t>
    <phoneticPr fontId="5" type="noConversion"/>
  </si>
  <si>
    <t>합계</t>
    <phoneticPr fontId="5" type="noConversion"/>
  </si>
  <si>
    <t>차이값 : 최대값 - 최소값</t>
    <phoneticPr fontId="5" type="noConversion"/>
  </si>
  <si>
    <t>판정 : 90점이상이면 수 80점이상이면 우 70점이상이면 미</t>
    <phoneticPr fontId="5" type="noConversion"/>
  </si>
  <si>
    <t>60점이상이면 양 60점미만 가</t>
    <phoneticPr fontId="5" type="noConversion"/>
  </si>
  <si>
    <t>순위 오름</t>
    <phoneticPr fontId="5" type="noConversion"/>
  </si>
  <si>
    <t>순위 내림</t>
    <phoneticPr fontId="5" type="noConversion"/>
  </si>
  <si>
    <t>해당 월</t>
    <phoneticPr fontId="5" type="noConversion"/>
  </si>
  <si>
    <t>해당 일</t>
    <phoneticPr fontId="5" type="noConversion"/>
  </si>
  <si>
    <t>년월일</t>
    <phoneticPr fontId="5" type="noConversion"/>
  </si>
  <si>
    <t>오늘</t>
    <phoneticPr fontId="5" type="noConversion"/>
  </si>
  <si>
    <t>년도</t>
    <phoneticPr fontId="5" type="noConversion"/>
  </si>
  <si>
    <t>월</t>
    <phoneticPr fontId="5" type="noConversion"/>
  </si>
  <si>
    <t>일</t>
    <phoneticPr fontId="5" type="noConversion"/>
  </si>
  <si>
    <t>지금</t>
    <phoneticPr fontId="5" type="noConversion"/>
  </si>
  <si>
    <t>시</t>
    <phoneticPr fontId="5" type="noConversion"/>
  </si>
  <si>
    <t>분</t>
    <phoneticPr fontId="5" type="noConversion"/>
  </si>
  <si>
    <t>초</t>
    <phoneticPr fontId="5" type="noConversion"/>
  </si>
  <si>
    <t>CTRL + ` (1자 왼쪽키)  키를 한번 눌러주셔야 함수쓰기가 가능합니다</t>
    <phoneticPr fontId="5" type="noConversion"/>
  </si>
  <si>
    <t>고객번호</t>
  </si>
  <si>
    <t>기본요금</t>
  </si>
  <si>
    <t>P1-140</t>
  </si>
  <si>
    <t>P1-150</t>
  </si>
  <si>
    <t>P2-360</t>
  </si>
  <si>
    <t>P2-510</t>
  </si>
  <si>
    <t>P3-210</t>
  </si>
  <si>
    <t>P3-310</t>
  </si>
  <si>
    <t>P3-520</t>
  </si>
  <si>
    <t>고객별 전화요금 내역</t>
    <phoneticPr fontId="5" type="noConversion"/>
  </si>
  <si>
    <t>전화종류</t>
    <phoneticPr fontId="5" type="noConversion"/>
  </si>
  <si>
    <t>통화요금</t>
    <phoneticPr fontId="5" type="noConversion"/>
  </si>
  <si>
    <t>전화요금</t>
    <phoneticPr fontId="5" type="noConversion"/>
  </si>
  <si>
    <t>공공용</t>
  </si>
  <si>
    <t>가정용</t>
  </si>
  <si>
    <t>영업용</t>
  </si>
  <si>
    <t>함수</t>
    <phoneticPr fontId="5" type="noConversion"/>
  </si>
  <si>
    <t>결과</t>
    <phoneticPr fontId="5" type="noConversion"/>
  </si>
  <si>
    <t>대한민국 Korea</t>
    <phoneticPr fontId="5" type="noConversion"/>
  </si>
  <si>
    <t>Korea</t>
    <phoneticPr fontId="5" type="noConversion"/>
  </si>
  <si>
    <t>대한민국</t>
    <phoneticPr fontId="5" type="noConversion"/>
  </si>
  <si>
    <t>MID(값,시작자리,글자수)</t>
    <phoneticPr fontId="5" type="noConversion"/>
  </si>
  <si>
    <t>RIGHT(값,글자수)</t>
    <phoneticPr fontId="5" type="noConversion"/>
  </si>
  <si>
    <t>LEFT(값,글자수)</t>
    <phoneticPr fontId="5" type="noConversion"/>
  </si>
  <si>
    <t>왼쪽에서 7글자</t>
    <phoneticPr fontId="5" type="noConversion"/>
  </si>
  <si>
    <t>왼쪽에서 3글자</t>
    <phoneticPr fontId="5" type="noConversion"/>
  </si>
  <si>
    <t>왼쪽에서 2글자</t>
    <phoneticPr fontId="5" type="noConversion"/>
  </si>
  <si>
    <t>오른쪽에서 3글자</t>
    <phoneticPr fontId="5" type="noConversion"/>
  </si>
  <si>
    <t>오른쪽에서 2글자</t>
    <phoneticPr fontId="5" type="noConversion"/>
  </si>
  <si>
    <t>기준</t>
    <phoneticPr fontId="5" type="noConversion"/>
  </si>
  <si>
    <t>반올림</t>
    <phoneticPr fontId="5" type="noConversion"/>
  </si>
  <si>
    <t>자리내림</t>
    <phoneticPr fontId="5" type="noConversion"/>
  </si>
  <si>
    <t>자리올림</t>
    <phoneticPr fontId="5" type="noConversion"/>
  </si>
  <si>
    <t>김영주</t>
    <phoneticPr fontId="5" type="noConversion"/>
  </si>
  <si>
    <t>OR</t>
    <phoneticPr fontId="5" type="noConversion"/>
  </si>
  <si>
    <t>p1 으로 시작하면 공공용</t>
    <phoneticPr fontId="5" type="noConversion"/>
  </si>
  <si>
    <t>p2 으로 시작하면 가정용</t>
    <phoneticPr fontId="5" type="noConversion"/>
  </si>
  <si>
    <t>p3 으로 시작하면 사업용</t>
    <phoneticPr fontId="5" type="noConversion"/>
  </si>
  <si>
    <t>구분</t>
    <phoneticPr fontId="5" type="noConversion"/>
  </si>
  <si>
    <t>부서</t>
    <phoneticPr fontId="5" type="noConversion"/>
  </si>
  <si>
    <t>목표</t>
    <phoneticPr fontId="5" type="noConversion"/>
  </si>
  <si>
    <t>실적</t>
    <phoneticPr fontId="5" type="noConversion"/>
  </si>
  <si>
    <t>달성률</t>
    <phoneticPr fontId="5" type="noConversion"/>
  </si>
  <si>
    <t>함수 인수중 문자에만 "" 를 준다 (숫자에 ""를 주면 문자로 인식해 오류가난다)</t>
    <phoneticPr fontId="5" type="noConversion"/>
  </si>
  <si>
    <t>판정 : 점수가 80점 이상이면 합격 그렇지 않으면 불합격</t>
    <phoneticPr fontId="5" type="noConversion"/>
  </si>
  <si>
    <t>=TODAY()</t>
    <phoneticPr fontId="5" type="noConversion"/>
  </si>
  <si>
    <t>=NOW()</t>
    <phoneticPr fontId="5" type="noConversion"/>
  </si>
  <si>
    <t>이종범</t>
    <phoneticPr fontId="5" type="noConversion"/>
  </si>
  <si>
    <t>선동열</t>
    <phoneticPr fontId="5" type="noConversion"/>
  </si>
  <si>
    <t>인원</t>
    <phoneticPr fontId="5" type="noConversion"/>
  </si>
  <si>
    <t>장소</t>
    <phoneticPr fontId="5" type="noConversion"/>
  </si>
  <si>
    <t>잡비</t>
    <phoneticPr fontId="5" type="noConversion"/>
  </si>
  <si>
    <t>총비용</t>
    <phoneticPr fontId="5" type="noConversion"/>
  </si>
  <si>
    <t>강촌</t>
    <phoneticPr fontId="5" type="noConversion"/>
  </si>
  <si>
    <t>설악산</t>
    <phoneticPr fontId="5" type="noConversion"/>
  </si>
  <si>
    <t>영업부</t>
    <phoneticPr fontId="5" type="noConversion"/>
  </si>
  <si>
    <t>부산</t>
    <phoneticPr fontId="5" type="noConversion"/>
  </si>
  <si>
    <t>춘천</t>
    <phoneticPr fontId="5" type="noConversion"/>
  </si>
  <si>
    <t>무역부</t>
    <phoneticPr fontId="5" type="noConversion"/>
  </si>
  <si>
    <t>충주</t>
    <phoneticPr fontId="5" type="noConversion"/>
  </si>
  <si>
    <t>속리산</t>
    <phoneticPr fontId="5" type="noConversion"/>
  </si>
  <si>
    <t>지리산</t>
    <phoneticPr fontId="5" type="noConversion"/>
  </si>
  <si>
    <t>태백산</t>
    <phoneticPr fontId="5" type="noConversion"/>
  </si>
  <si>
    <t>무역부</t>
    <phoneticPr fontId="5" type="noConversion"/>
  </si>
  <si>
    <t>기획부</t>
    <phoneticPr fontId="5" type="noConversion"/>
  </si>
  <si>
    <t>유형</t>
  </si>
  <si>
    <t>전용면적</t>
  </si>
  <si>
    <t>강남구</t>
  </si>
  <si>
    <t>단독주택</t>
  </si>
  <si>
    <t>아파트</t>
  </si>
  <si>
    <t>연립주택</t>
  </si>
  <si>
    <t>오피스텔</t>
  </si>
  <si>
    <t>동작구</t>
  </si>
  <si>
    <t>임대거래가액</t>
  </si>
  <si>
    <t>중개수수료</t>
  </si>
  <si>
    <t>조건ⓐ</t>
    <phoneticPr fontId="5" type="noConversion"/>
  </si>
  <si>
    <t>조건ⓑ</t>
    <phoneticPr fontId="5" type="noConversion"/>
  </si>
  <si>
    <t>조건ⓒ</t>
    <phoneticPr fontId="5" type="noConversion"/>
  </si>
  <si>
    <t>양재구</t>
  </si>
  <si>
    <t>영업부</t>
    <phoneticPr fontId="5" type="noConversion"/>
  </si>
  <si>
    <t>양재구</t>
    <phoneticPr fontId="5" type="noConversion"/>
  </si>
  <si>
    <t>H-101-46</t>
  </si>
  <si>
    <t>O-103-84</t>
  </si>
  <si>
    <t>O-103-85</t>
  </si>
  <si>
    <t>F-102-43</t>
  </si>
  <si>
    <t>O-103-86</t>
  </si>
  <si>
    <t>F-102-42</t>
  </si>
  <si>
    <t>구분</t>
  </si>
  <si>
    <t>사용량</t>
  </si>
  <si>
    <t>사용금액</t>
  </si>
  <si>
    <t>납부금액</t>
  </si>
  <si>
    <t>사무용</t>
  </si>
  <si>
    <t>F-102-84</t>
  </si>
  <si>
    <t>공장용</t>
  </si>
  <si>
    <t>F-102-46</t>
  </si>
  <si>
    <t>H-101-22</t>
  </si>
  <si>
    <t>O-103-83</t>
  </si>
  <si>
    <t>H-101-31</t>
  </si>
  <si>
    <t>O-103-54</t>
  </si>
  <si>
    <t>O-103-82</t>
  </si>
  <si>
    <t>아파트</t>
    <phoneticPr fontId="5" type="noConversion"/>
  </si>
  <si>
    <t>빌라</t>
    <phoneticPr fontId="5" type="noConversion"/>
  </si>
  <si>
    <t>담당자</t>
    <phoneticPr fontId="5" type="noConversion"/>
  </si>
  <si>
    <t>당월</t>
    <phoneticPr fontId="5" type="noConversion"/>
  </si>
  <si>
    <t>익월</t>
    <phoneticPr fontId="5" type="noConversion"/>
  </si>
  <si>
    <t>H영업</t>
    <phoneticPr fontId="5" type="noConversion"/>
  </si>
  <si>
    <t>차우석</t>
    <phoneticPr fontId="5" type="noConversion"/>
  </si>
  <si>
    <t>F영업</t>
    <phoneticPr fontId="5" type="noConversion"/>
  </si>
  <si>
    <t>오원택</t>
    <phoneticPr fontId="5" type="noConversion"/>
  </si>
  <si>
    <t>A영업</t>
    <phoneticPr fontId="5" type="noConversion"/>
  </si>
  <si>
    <t>정재만</t>
    <phoneticPr fontId="5" type="noConversion"/>
  </si>
  <si>
    <t>D영업</t>
    <phoneticPr fontId="5" type="noConversion"/>
  </si>
  <si>
    <t>C영업</t>
    <phoneticPr fontId="5" type="noConversion"/>
  </si>
  <si>
    <t>김호성</t>
    <phoneticPr fontId="5" type="noConversion"/>
  </si>
  <si>
    <t>E영업</t>
    <phoneticPr fontId="5" type="noConversion"/>
  </si>
  <si>
    <t>박경재</t>
    <phoneticPr fontId="5" type="noConversion"/>
  </si>
  <si>
    <t>B영업</t>
    <phoneticPr fontId="5" type="noConversion"/>
  </si>
  <si>
    <t>이승엽</t>
    <phoneticPr fontId="5" type="noConversion"/>
  </si>
  <si>
    <t>이승재</t>
    <phoneticPr fontId="5" type="noConversion"/>
  </si>
  <si>
    <t>고숙경</t>
    <phoneticPr fontId="5" type="noConversion"/>
  </si>
  <si>
    <t>김일권</t>
    <phoneticPr fontId="5" type="noConversion"/>
  </si>
  <si>
    <t>숙박비</t>
    <phoneticPr fontId="5" type="noConversion"/>
  </si>
  <si>
    <t>지역</t>
    <phoneticPr fontId="5" type="noConversion"/>
  </si>
  <si>
    <t>강남구</t>
    <phoneticPr fontId="5" type="noConversion"/>
  </si>
  <si>
    <t>서초구</t>
    <phoneticPr fontId="5" type="noConversion"/>
  </si>
  <si>
    <r>
      <t>부서가 A 또는 H로</t>
    </r>
    <r>
      <rPr>
        <sz val="11"/>
        <rFont val="돋움"/>
        <family val="3"/>
        <charset val="129"/>
      </rPr>
      <t xml:space="preserve"> 시작 하고</t>
    </r>
    <r>
      <rPr>
        <sz val="11"/>
        <rFont val="돋움"/>
        <family val="3"/>
        <charset val="129"/>
      </rPr>
      <t xml:space="preserve"> 당월실적이 5000이상인</t>
    </r>
    <r>
      <rPr>
        <sz val="11"/>
        <rFont val="돋움"/>
        <family val="3"/>
        <charset val="129"/>
      </rPr>
      <t xml:space="preserve"> 당월실적의</t>
    </r>
    <r>
      <rPr>
        <sz val="11"/>
        <rFont val="돋움"/>
        <family val="3"/>
        <charset val="129"/>
      </rPr>
      <t xml:space="preserve"> 합</t>
    </r>
    <phoneticPr fontId="5" type="noConversion"/>
  </si>
  <si>
    <t>값</t>
    <phoneticPr fontId="5" type="noConversion"/>
  </si>
  <si>
    <t>나</t>
    <phoneticPr fontId="5" type="noConversion"/>
  </si>
  <si>
    <t>P1-140</t>
    <phoneticPr fontId="5" type="noConversion"/>
  </si>
  <si>
    <t>실수부 절삭</t>
    <phoneticPr fontId="5" type="noConversion"/>
  </si>
  <si>
    <t>㈜ 익스터디 승진시험 성적 현황</t>
    <phoneticPr fontId="5" type="noConversion"/>
  </si>
  <si>
    <t>대여자</t>
    <phoneticPr fontId="5" type="noConversion"/>
  </si>
  <si>
    <t>코드</t>
  </si>
  <si>
    <t>B-1</t>
    <phoneticPr fontId="5" type="noConversion"/>
  </si>
  <si>
    <t>김재해</t>
    <phoneticPr fontId="5" type="noConversion"/>
  </si>
  <si>
    <t>A-5</t>
    <phoneticPr fontId="5" type="noConversion"/>
  </si>
  <si>
    <t>최경주</t>
    <phoneticPr fontId="5" type="noConversion"/>
  </si>
  <si>
    <t>C-8</t>
    <phoneticPr fontId="5" type="noConversion"/>
  </si>
  <si>
    <t>A-6</t>
    <phoneticPr fontId="5" type="noConversion"/>
  </si>
  <si>
    <t>이봉주</t>
    <phoneticPr fontId="5" type="noConversion"/>
  </si>
  <si>
    <t>B-6</t>
    <phoneticPr fontId="5" type="noConversion"/>
  </si>
  <si>
    <t>이수경</t>
    <phoneticPr fontId="5" type="noConversion"/>
  </si>
  <si>
    <t>A-1</t>
    <phoneticPr fontId="5" type="noConversion"/>
  </si>
  <si>
    <t>유남규</t>
    <phoneticPr fontId="5" type="noConversion"/>
  </si>
  <si>
    <t>A-7</t>
    <phoneticPr fontId="5" type="noConversion"/>
  </si>
  <si>
    <t>원미경</t>
    <phoneticPr fontId="5" type="noConversion"/>
  </si>
  <si>
    <t>한기주</t>
    <phoneticPr fontId="5" type="noConversion"/>
  </si>
  <si>
    <t>B-7</t>
    <phoneticPr fontId="5" type="noConversion"/>
  </si>
  <si>
    <t>대여일</t>
    <phoneticPr fontId="5" type="noConversion"/>
  </si>
  <si>
    <t>종합</t>
    <phoneticPr fontId="5" type="noConversion"/>
  </si>
  <si>
    <t>예) 대여자, 코드 맨 앞 1자리, 대여일 표시 (예,이승엽:C:21일)</t>
    <phoneticPr fontId="5" type="noConversion"/>
  </si>
  <si>
    <t>결과가 소수점이나 날짜로 표시될때는 셀서식 -&gt; 표시형식을 "일반" 으로</t>
    <phoneticPr fontId="5" type="noConversion"/>
  </si>
  <si>
    <t>구분</t>
    <phoneticPr fontId="5" type="noConversion"/>
  </si>
  <si>
    <t>상반기</t>
    <phoneticPr fontId="5" type="noConversion"/>
  </si>
  <si>
    <t>하반기</t>
    <phoneticPr fontId="5" type="noConversion"/>
  </si>
  <si>
    <t>부서</t>
    <phoneticPr fontId="5" type="noConversion"/>
  </si>
  <si>
    <t>성명</t>
    <phoneticPr fontId="5" type="noConversion"/>
  </si>
  <si>
    <t>목표</t>
    <phoneticPr fontId="5" type="noConversion"/>
  </si>
  <si>
    <t>실적</t>
    <phoneticPr fontId="5" type="noConversion"/>
  </si>
  <si>
    <t>달성률</t>
    <phoneticPr fontId="5" type="noConversion"/>
  </si>
  <si>
    <t>목표</t>
    <phoneticPr fontId="5" type="noConversion"/>
  </si>
  <si>
    <t>영업3부</t>
    <phoneticPr fontId="5" type="noConversion"/>
  </si>
  <si>
    <t>유성구</t>
    <phoneticPr fontId="5" type="noConversion"/>
  </si>
  <si>
    <t>영업2부</t>
    <phoneticPr fontId="5" type="noConversion"/>
  </si>
  <si>
    <t>성춘향</t>
    <phoneticPr fontId="5" type="noConversion"/>
  </si>
  <si>
    <t>홍길동</t>
    <phoneticPr fontId="5" type="noConversion"/>
  </si>
  <si>
    <t>임세일</t>
    <phoneticPr fontId="5" type="noConversion"/>
  </si>
  <si>
    <t>이하나</t>
    <phoneticPr fontId="5" type="noConversion"/>
  </si>
  <si>
    <t>영업1부</t>
    <phoneticPr fontId="5" type="noConversion"/>
  </si>
  <si>
    <t>임선향</t>
    <phoneticPr fontId="5" type="noConversion"/>
  </si>
  <si>
    <t>신면철</t>
    <phoneticPr fontId="5" type="noConversion"/>
  </si>
  <si>
    <t>굳세다</t>
    <phoneticPr fontId="5" type="noConversion"/>
  </si>
  <si>
    <t>이몽룡</t>
    <phoneticPr fontId="5" type="noConversion"/>
  </si>
  <si>
    <t>김석수</t>
    <phoneticPr fontId="5" type="noConversion"/>
  </si>
  <si>
    <t>강민복</t>
    <phoneticPr fontId="5" type="noConversion"/>
  </si>
  <si>
    <t>박설매</t>
    <phoneticPr fontId="5" type="noConversion"/>
  </si>
  <si>
    <t>유경수</t>
    <phoneticPr fontId="5" type="noConversion"/>
  </si>
  <si>
    <t>백분율 변환표</t>
    <phoneticPr fontId="5" type="noConversion"/>
  </si>
  <si>
    <t>증감, 차감 백분율</t>
    <phoneticPr fontId="5" type="noConversion"/>
  </si>
  <si>
    <t>백분율</t>
    <phoneticPr fontId="5" type="noConversion"/>
  </si>
  <si>
    <t>실수</t>
    <phoneticPr fontId="5" type="noConversion"/>
  </si>
  <si>
    <t>20% 를 증가하라</t>
    <phoneticPr fontId="5" type="noConversion"/>
  </si>
  <si>
    <t>값 * 120%</t>
    <phoneticPr fontId="5" type="noConversion"/>
  </si>
  <si>
    <t>20% 를 감소하라</t>
    <phoneticPr fontId="5" type="noConversion"/>
  </si>
  <si>
    <t>값 * 80%</t>
    <phoneticPr fontId="5" type="noConversion"/>
  </si>
  <si>
    <t>공공용</t>
    <phoneticPr fontId="5" type="noConversion"/>
  </si>
  <si>
    <t>가정용</t>
    <phoneticPr fontId="5" type="noConversion"/>
  </si>
  <si>
    <t>영업용</t>
    <phoneticPr fontId="5" type="noConversion"/>
  </si>
  <si>
    <t>전화종류가 영업용 미만인 기본요금의 합계</t>
    <phoneticPr fontId="5" type="noConversion"/>
  </si>
  <si>
    <t>회원번호</t>
  </si>
  <si>
    <t>성명</t>
  </si>
  <si>
    <t>연체이자</t>
  </si>
  <si>
    <t>보너스금액</t>
  </si>
  <si>
    <t>결재금액</t>
  </si>
  <si>
    <t>김미현</t>
  </si>
  <si>
    <t>이소연</t>
  </si>
  <si>
    <t>곽혜수</t>
  </si>
  <si>
    <t>김태희</t>
  </si>
  <si>
    <t>박수진</t>
  </si>
  <si>
    <t>김성미</t>
  </si>
  <si>
    <t>황귀남</t>
  </si>
  <si>
    <t>노권자</t>
  </si>
  <si>
    <t>심천순</t>
  </si>
  <si>
    <t>합계</t>
  </si>
  <si>
    <t>기출예제</t>
    <phoneticPr fontId="5" type="noConversion"/>
  </si>
  <si>
    <t>개인별 현금서비스 금액</t>
    <phoneticPr fontId="5" type="noConversion"/>
  </si>
  <si>
    <t>차종류</t>
  </si>
  <si>
    <t>단가</t>
  </si>
  <si>
    <t>판매계획</t>
  </si>
  <si>
    <t>수량</t>
  </si>
  <si>
    <t>금액</t>
  </si>
  <si>
    <t>인삼차</t>
  </si>
  <si>
    <t>쌍화차</t>
  </si>
  <si>
    <t>아이스커피</t>
  </si>
  <si>
    <t>오렌지커피</t>
  </si>
  <si>
    <t>코리언커피</t>
  </si>
  <si>
    <t>우유</t>
  </si>
  <si>
    <t>카푸치노</t>
  </si>
  <si>
    <t>키위주스</t>
  </si>
  <si>
    <t>홍차</t>
  </si>
  <si>
    <t>평균</t>
    <phoneticPr fontId="12" type="noConversion"/>
  </si>
  <si>
    <t>차종류별 판매 실적 분석</t>
  </si>
  <si>
    <t>차이값</t>
    <phoneticPr fontId="5" type="noConversion"/>
  </si>
  <si>
    <t>ROUND</t>
    <phoneticPr fontId="5" type="noConversion"/>
  </si>
  <si>
    <t>ROUNDDOWN</t>
    <phoneticPr fontId="5" type="noConversion"/>
  </si>
  <si>
    <t>ROUNDUP</t>
    <phoneticPr fontId="5" type="noConversion"/>
  </si>
  <si>
    <t>기준값</t>
    <phoneticPr fontId="5" type="noConversion"/>
  </si>
  <si>
    <t>소수 4 자리에서 버림</t>
    <phoneticPr fontId="5" type="noConversion"/>
  </si>
  <si>
    <t>소수 1 자리에서 버림</t>
    <phoneticPr fontId="5" type="noConversion"/>
  </si>
  <si>
    <t>소수 3 자리에서 올림</t>
    <phoneticPr fontId="5" type="noConversion"/>
  </si>
  <si>
    <t>소수 1 자리에서 올림</t>
    <phoneticPr fontId="5" type="noConversion"/>
  </si>
  <si>
    <t>정수 3 자리 반올림</t>
    <phoneticPr fontId="5" type="noConversion"/>
  </si>
  <si>
    <t>소수 1 자리 반올림</t>
    <phoneticPr fontId="5" type="noConversion"/>
  </si>
  <si>
    <t>소수 4 자리 반올림</t>
    <phoneticPr fontId="5" type="noConversion"/>
  </si>
  <si>
    <t>정수 3 지리에서 버림</t>
    <phoneticPr fontId="5" type="noConversion"/>
  </si>
  <si>
    <t>정수 2 자리에서 올림</t>
    <phoneticPr fontId="5" type="noConversion"/>
  </si>
  <si>
    <t>사원별 급여 내역서(비번호:A121)</t>
  </si>
  <si>
    <t>사원번호</t>
  </si>
  <si>
    <t>기본급</t>
  </si>
  <si>
    <t>상여금</t>
  </si>
  <si>
    <t>직무수당</t>
  </si>
  <si>
    <t>총지급액</t>
  </si>
  <si>
    <t>김성수</t>
  </si>
  <si>
    <t>C-13</t>
  </si>
  <si>
    <t>표성희</t>
  </si>
  <si>
    <t>C-14</t>
  </si>
  <si>
    <t>김성주</t>
  </si>
  <si>
    <t>C-15</t>
  </si>
  <si>
    <t>김형태</t>
  </si>
  <si>
    <t>C-16</t>
  </si>
  <si>
    <t>서지수</t>
  </si>
  <si>
    <t>C-17</t>
  </si>
  <si>
    <t>이윤열</t>
  </si>
  <si>
    <t>C-18</t>
  </si>
  <si>
    <t>홍경래</t>
  </si>
  <si>
    <t>C-28</t>
  </si>
  <si>
    <t>윤미숙</t>
  </si>
  <si>
    <t>C-35</t>
  </si>
  <si>
    <t>박영미</t>
  </si>
  <si>
    <t>C-48</t>
  </si>
  <si>
    <t>평균</t>
    <phoneticPr fontId="12" type="noConversion"/>
  </si>
  <si>
    <t>개인별 현금 서비스 금액</t>
    <phoneticPr fontId="5" type="noConversion"/>
  </si>
  <si>
    <t>회원번호</t>
    <phoneticPr fontId="5" type="noConversion"/>
  </si>
  <si>
    <t>사용금액</t>
    <phoneticPr fontId="5" type="noConversion"/>
  </si>
  <si>
    <t>보너스금액</t>
    <phoneticPr fontId="5" type="noConversion"/>
  </si>
  <si>
    <t>비고</t>
    <phoneticPr fontId="5" type="noConversion"/>
  </si>
  <si>
    <t>정우성</t>
    <phoneticPr fontId="5" type="noConversion"/>
  </si>
  <si>
    <t>표석진</t>
    <phoneticPr fontId="5" type="noConversion"/>
  </si>
  <si>
    <t>김미현</t>
    <phoneticPr fontId="5" type="noConversion"/>
  </si>
  <si>
    <t>이소연</t>
    <phoneticPr fontId="5" type="noConversion"/>
  </si>
  <si>
    <t>곽혜수</t>
    <phoneticPr fontId="5" type="noConversion"/>
  </si>
  <si>
    <t>김태희</t>
    <phoneticPr fontId="5" type="noConversion"/>
  </si>
  <si>
    <t>박수진</t>
    <phoneticPr fontId="5" type="noConversion"/>
  </si>
  <si>
    <t>김성미</t>
    <phoneticPr fontId="5" type="noConversion"/>
  </si>
  <si>
    <t>황귀남</t>
    <phoneticPr fontId="5" type="noConversion"/>
  </si>
  <si>
    <t>노권자</t>
    <phoneticPr fontId="5" type="noConversion"/>
  </si>
  <si>
    <t>심천순</t>
    <phoneticPr fontId="5" type="noConversion"/>
  </si>
  <si>
    <t>보너스금액 계산시 사용한 함수식</t>
    <phoneticPr fontId="5" type="noConversion"/>
  </si>
  <si>
    <t>=INT(C14/10000)*1000</t>
    <phoneticPr fontId="5" type="noConversion"/>
  </si>
  <si>
    <t>판매순위</t>
  </si>
  <si>
    <t>사과주스</t>
  </si>
  <si>
    <t>포도주스</t>
  </si>
  <si>
    <t>맥심커피</t>
  </si>
  <si>
    <t>옥수수차</t>
  </si>
  <si>
    <t>꿀차</t>
  </si>
  <si>
    <t>에스프레소</t>
  </si>
  <si>
    <t>딸기주스</t>
  </si>
  <si>
    <t>녹차</t>
  </si>
  <si>
    <t>배주스</t>
  </si>
  <si>
    <t>차 종류별 판매실적 분석</t>
    <phoneticPr fontId="5" type="noConversion"/>
  </si>
  <si>
    <t>부서별 실적표</t>
    <phoneticPr fontId="5" type="noConversion"/>
  </si>
  <si>
    <t>목표 : 달성률이 120% 이상이면 실적에 18%를 증가(증감)시키고 그외는 10% 감소 시키시오</t>
    <phoneticPr fontId="5" type="noConversion"/>
  </si>
  <si>
    <t>박철민</t>
    <phoneticPr fontId="5" type="noConversion"/>
  </si>
  <si>
    <t>하남주</t>
    <phoneticPr fontId="5" type="noConversion"/>
  </si>
  <si>
    <t>김준하</t>
    <phoneticPr fontId="5" type="noConversion"/>
  </si>
  <si>
    <t>이남협</t>
    <phoneticPr fontId="5" type="noConversion"/>
  </si>
  <si>
    <t>김정일</t>
    <phoneticPr fontId="5" type="noConversion"/>
  </si>
  <si>
    <t>AND</t>
    <phoneticPr fontId="5" type="noConversion"/>
  </si>
  <si>
    <t>자산별 감가상각 관리</t>
    <phoneticPr fontId="5" type="noConversion"/>
  </si>
  <si>
    <t>취득년도</t>
    <phoneticPr fontId="5" type="noConversion"/>
  </si>
  <si>
    <t>자산명</t>
    <phoneticPr fontId="5" type="noConversion"/>
  </si>
  <si>
    <t>취득원가</t>
    <phoneticPr fontId="5" type="noConversion"/>
  </si>
  <si>
    <t>내용연수</t>
    <phoneticPr fontId="5" type="noConversion"/>
  </si>
  <si>
    <t>잔존가치</t>
    <phoneticPr fontId="5" type="noConversion"/>
  </si>
  <si>
    <t>사무용</t>
    <phoneticPr fontId="5" type="noConversion"/>
  </si>
  <si>
    <t>차량</t>
    <phoneticPr fontId="5" type="noConversion"/>
  </si>
  <si>
    <t>기계</t>
    <phoneticPr fontId="5" type="noConversion"/>
  </si>
  <si>
    <t>공기구</t>
    <phoneticPr fontId="5" type="noConversion"/>
  </si>
  <si>
    <t>건물</t>
    <phoneticPr fontId="5" type="noConversion"/>
  </si>
  <si>
    <t>감각액</t>
    <phoneticPr fontId="5" type="noConversion"/>
  </si>
  <si>
    <t>결과</t>
    <phoneticPr fontId="5" type="noConversion"/>
  </si>
  <si>
    <t>지시</t>
    <phoneticPr fontId="5" type="noConversion"/>
  </si>
  <si>
    <t>=LEFT(A3,7)</t>
    <phoneticPr fontId="5" type="noConversion"/>
  </si>
  <si>
    <t>=LEFT(A4,3)</t>
    <phoneticPr fontId="5" type="noConversion"/>
  </si>
  <si>
    <t>=LEFT(A5,2)</t>
    <phoneticPr fontId="5" type="noConversion"/>
  </si>
  <si>
    <t>오른쪽에서 5글자</t>
    <phoneticPr fontId="5" type="noConversion"/>
  </si>
  <si>
    <t>=RIGHT(A9,5)</t>
    <phoneticPr fontId="5" type="noConversion"/>
  </si>
  <si>
    <t>=RIGHT(A10,3)</t>
    <phoneticPr fontId="5" type="noConversion"/>
  </si>
  <si>
    <t>=RIGHT(A11,2)</t>
    <phoneticPr fontId="5" type="noConversion"/>
  </si>
  <si>
    <t>3째 글자부터 6자</t>
    <phoneticPr fontId="5" type="noConversion"/>
  </si>
  <si>
    <t>2째 글자부터 2자</t>
    <phoneticPr fontId="5" type="noConversion"/>
  </si>
  <si>
    <t>3째 글자부터 2자</t>
    <phoneticPr fontId="5" type="noConversion"/>
  </si>
  <si>
    <t>=MID(A15,3,6)</t>
    <phoneticPr fontId="5" type="noConversion"/>
  </si>
  <si>
    <t>=MID(A16,2,2)</t>
    <phoneticPr fontId="5" type="noConversion"/>
  </si>
  <si>
    <t>=MID(A17,3,2)</t>
    <phoneticPr fontId="5" type="noConversion"/>
  </si>
  <si>
    <t>고객번호 별 전화 종류</t>
    <phoneticPr fontId="5" type="noConversion"/>
  </si>
  <si>
    <t>예) 년월일에 1998년 5월 11일 처럼 문자를 묶으시오</t>
    <phoneticPr fontId="5" type="noConversion"/>
  </si>
  <si>
    <t>년도</t>
    <phoneticPr fontId="5" type="noConversion"/>
  </si>
  <si>
    <t>기준</t>
    <phoneticPr fontId="5" type="noConversion"/>
  </si>
  <si>
    <t>함수</t>
    <phoneticPr fontId="5" type="noConversion"/>
  </si>
  <si>
    <t>=DAY(B7)</t>
    <phoneticPr fontId="5" type="noConversion"/>
  </si>
  <si>
    <t>=MINUTE(B14)</t>
    <phoneticPr fontId="5" type="noConversion"/>
  </si>
  <si>
    <t>=SECOND(B15)</t>
    <phoneticPr fontId="5" type="noConversion"/>
  </si>
  <si>
    <t>=MONTH(C3)</t>
    <phoneticPr fontId="5" type="noConversion"/>
  </si>
  <si>
    <t>=YEAR(C3)</t>
    <phoneticPr fontId="5" type="noConversion"/>
  </si>
  <si>
    <t>=HOUR(C10)</t>
    <phoneticPr fontId="5" type="noConversion"/>
  </si>
  <si>
    <t>퇴근시간</t>
    <phoneticPr fontId="5" type="noConversion"/>
  </si>
  <si>
    <t>근무시간</t>
    <phoneticPr fontId="5" type="noConversion"/>
  </si>
  <si>
    <t>당일금액</t>
    <phoneticPr fontId="5" type="noConversion"/>
  </si>
  <si>
    <t>공병호</t>
    <phoneticPr fontId="5" type="noConversion"/>
  </si>
  <si>
    <t>김미선</t>
    <phoneticPr fontId="5" type="noConversion"/>
  </si>
  <si>
    <t>김병선</t>
    <phoneticPr fontId="5" type="noConversion"/>
  </si>
  <si>
    <t>김윤식</t>
    <phoneticPr fontId="5" type="noConversion"/>
  </si>
  <si>
    <t>김지명</t>
    <phoneticPr fontId="5" type="noConversion"/>
  </si>
  <si>
    <t>김진혁</t>
    <phoneticPr fontId="5" type="noConversion"/>
  </si>
  <si>
    <t>신혁진</t>
    <phoneticPr fontId="5" type="noConversion"/>
  </si>
  <si>
    <t>안성기</t>
    <phoneticPr fontId="5" type="noConversion"/>
  </si>
  <si>
    <t>이강복</t>
    <phoneticPr fontId="5" type="noConversion"/>
  </si>
  <si>
    <t>이우선</t>
    <phoneticPr fontId="5" type="noConversion"/>
  </si>
  <si>
    <t>정상희</t>
    <phoneticPr fontId="5" type="noConversion"/>
  </si>
  <si>
    <t>조형래</t>
    <phoneticPr fontId="5" type="noConversion"/>
  </si>
  <si>
    <t>주진모</t>
    <phoneticPr fontId="5" type="noConversion"/>
  </si>
  <si>
    <t>출근시간</t>
    <phoneticPr fontId="5" type="noConversion"/>
  </si>
  <si>
    <t>당일금액 : (근무시간의 시 *4800) + (근무시간의 분 * 80)</t>
    <phoneticPr fontId="5" type="noConversion"/>
  </si>
  <si>
    <t>식대</t>
    <phoneticPr fontId="5" type="noConversion"/>
  </si>
  <si>
    <t>식대 : 근무시간이 6시간 이상이면 10,000원, 6시간 미만이면 2,000원 으로 계산</t>
    <phoneticPr fontId="5" type="noConversion"/>
  </si>
  <si>
    <t>아르바이트 급여 현황</t>
    <phoneticPr fontId="5" type="noConversion"/>
  </si>
  <si>
    <t>합        계</t>
    <phoneticPr fontId="5" type="noConversion"/>
  </si>
  <si>
    <t>=SUMIF(C3:C10,"&gt;=250",F3:F10)</t>
    <phoneticPr fontId="5" type="noConversion"/>
  </si>
  <si>
    <t>통화량</t>
    <phoneticPr fontId="5" type="noConversion"/>
  </si>
  <si>
    <t>고객번호가 P1으로 시작하는 통화요금의 합계</t>
    <phoneticPr fontId="5" type="noConversion"/>
  </si>
  <si>
    <t>통화량이 250 이상인 전화요금의 합계</t>
    <phoneticPr fontId="5" type="noConversion"/>
  </si>
  <si>
    <t>응시일</t>
    <phoneticPr fontId="5" type="noConversion"/>
  </si>
  <si>
    <t>응시점수</t>
    <phoneticPr fontId="5" type="noConversion"/>
  </si>
  <si>
    <t>시험 응시 현황</t>
    <phoneticPr fontId="5" type="noConversion"/>
  </si>
  <si>
    <t>ⓔ응시일이 1997년 4월 1일 이후인 사원수</t>
    <phoneticPr fontId="5" type="noConversion"/>
  </si>
  <si>
    <t>ⓒ성명이 박정호 이상인 사원수</t>
    <phoneticPr fontId="5" type="noConversion"/>
  </si>
  <si>
    <t>ⓐ응시 사원수</t>
    <phoneticPr fontId="5" type="noConversion"/>
  </si>
  <si>
    <t>ⓑ결시 사원수</t>
    <phoneticPr fontId="5" type="noConversion"/>
  </si>
  <si>
    <t>ⓗ 성명이 "희" 자료 끝나는 사원수</t>
    <phoneticPr fontId="5" type="noConversion"/>
  </si>
  <si>
    <t>ⓘ 응시점수 70이상인 응시점수 평균</t>
    <phoneticPr fontId="5" type="noConversion"/>
  </si>
  <si>
    <t>ⓕ 응시점수 70이상인 사원수</t>
    <phoneticPr fontId="5" type="noConversion"/>
  </si>
  <si>
    <t>ⓖ "김"씨 성을 가진 사원수</t>
    <phoneticPr fontId="5" type="noConversion"/>
  </si>
  <si>
    <t>납부금액이 10000 이상 15000 미만 인원수</t>
    <phoneticPr fontId="5" type="noConversion"/>
  </si>
  <si>
    <t>고객번호별 납부금액 현황</t>
    <phoneticPr fontId="5" type="noConversion"/>
  </si>
  <si>
    <t>부서별 출장비 현황</t>
    <phoneticPr fontId="5" type="noConversion"/>
  </si>
  <si>
    <t>부서</t>
    <phoneticPr fontId="5" type="noConversion"/>
  </si>
  <si>
    <t>영업부</t>
    <phoneticPr fontId="5" type="noConversion"/>
  </si>
  <si>
    <t>인원</t>
    <phoneticPr fontId="5" type="noConversion"/>
  </si>
  <si>
    <t>무역부</t>
    <phoneticPr fontId="5" type="noConversion"/>
  </si>
  <si>
    <t>&gt;=15</t>
    <phoneticPr fontId="5" type="noConversion"/>
  </si>
  <si>
    <t>숙박비</t>
    <phoneticPr fontId="5" type="noConversion"/>
  </si>
  <si>
    <t>&lt;=200000</t>
    <phoneticPr fontId="5" type="noConversion"/>
  </si>
  <si>
    <t>성명</t>
    <phoneticPr fontId="5" type="noConversion"/>
  </si>
  <si>
    <t>신면철</t>
    <phoneticPr fontId="5" type="noConversion"/>
  </si>
  <si>
    <t>이지혜</t>
    <phoneticPr fontId="5" type="noConversion"/>
  </si>
  <si>
    <t>김진환</t>
    <phoneticPr fontId="5" type="noConversion"/>
  </si>
  <si>
    <t>강수정</t>
    <phoneticPr fontId="5" type="noConversion"/>
  </si>
  <si>
    <t>나가수</t>
    <phoneticPr fontId="5" type="noConversion"/>
  </si>
  <si>
    <t>김영진</t>
    <phoneticPr fontId="5" type="noConversion"/>
  </si>
  <si>
    <t>오경준</t>
    <phoneticPr fontId="5" type="noConversion"/>
  </si>
  <si>
    <t>김순희</t>
    <phoneticPr fontId="5" type="noConversion"/>
  </si>
  <si>
    <t>김수준</t>
    <phoneticPr fontId="5" type="noConversion"/>
  </si>
  <si>
    <t>출발일</t>
  </si>
  <si>
    <t>출발일</t>
    <phoneticPr fontId="5" type="noConversion"/>
  </si>
  <si>
    <t>ⓐ영업부의  총비용 합계</t>
    <phoneticPr fontId="5" type="noConversion"/>
  </si>
  <si>
    <t>ⓑ무역부의  총비용 평균</t>
    <phoneticPr fontId="5" type="noConversion"/>
  </si>
  <si>
    <t>ⓒ강촌으로  간 팀의 수</t>
    <phoneticPr fontId="5" type="noConversion"/>
  </si>
  <si>
    <t>ⓗ성명이 김씨와 신씨의 총 비용의 합계</t>
    <phoneticPr fontId="5" type="noConversion"/>
  </si>
  <si>
    <t>ⓐ</t>
    <phoneticPr fontId="5" type="noConversion"/>
  </si>
  <si>
    <t>ⓑ</t>
    <phoneticPr fontId="5" type="noConversion"/>
  </si>
  <si>
    <t>ⓒ</t>
    <phoneticPr fontId="5" type="noConversion"/>
  </si>
  <si>
    <t>장소</t>
    <phoneticPr fontId="5" type="noConversion"/>
  </si>
  <si>
    <t>강촌</t>
    <phoneticPr fontId="5" type="noConversion"/>
  </si>
  <si>
    <t>ⓔ</t>
    <phoneticPr fontId="5" type="noConversion"/>
  </si>
  <si>
    <t>ⓕ</t>
    <phoneticPr fontId="5" type="noConversion"/>
  </si>
  <si>
    <t>ⓖ</t>
    <phoneticPr fontId="5" type="noConversion"/>
  </si>
  <si>
    <t>ⓗ</t>
    <phoneticPr fontId="5" type="noConversion"/>
  </si>
  <si>
    <t>김*</t>
    <phoneticPr fontId="5" type="noConversion"/>
  </si>
  <si>
    <t>신*</t>
    <phoneticPr fontId="5" type="noConversion"/>
  </si>
  <si>
    <t>ⓘ</t>
    <phoneticPr fontId="5" type="noConversion"/>
  </si>
  <si>
    <t>ⓙ</t>
    <phoneticPr fontId="5" type="noConversion"/>
  </si>
  <si>
    <t>ⓚ</t>
    <phoneticPr fontId="5" type="noConversion"/>
  </si>
  <si>
    <t>잡비</t>
    <phoneticPr fontId="5" type="noConversion"/>
  </si>
  <si>
    <t>&gt;=200000</t>
    <phoneticPr fontId="5" type="noConversion"/>
  </si>
  <si>
    <t>&lt;&gt;영업부</t>
    <phoneticPr fontId="5" type="noConversion"/>
  </si>
  <si>
    <t>ⓖ부서가 영업부이거나 인원이 15명 이상인 잡비의 평균</t>
    <phoneticPr fontId="5" type="noConversion"/>
  </si>
  <si>
    <t>ⓓ</t>
    <phoneticPr fontId="5" type="noConversion"/>
  </si>
  <si>
    <t>&gt;=2013-3-9</t>
  </si>
  <si>
    <t>ⓓ출발일이 3월 9일 이후 항목 중 가장 많은 숙박비</t>
    <phoneticPr fontId="5" type="noConversion"/>
  </si>
  <si>
    <t>ⓙ부서가 영업부 또는 무역부 이면서 성명이 김씨인 총비용의 합계</t>
    <phoneticPr fontId="5" type="noConversion"/>
  </si>
  <si>
    <t>지역별 임대 중개수수료 현황</t>
    <phoneticPr fontId="5" type="noConversion"/>
  </si>
  <si>
    <t>실제면적</t>
    <phoneticPr fontId="5" type="noConversion"/>
  </si>
  <si>
    <t>지역</t>
    <phoneticPr fontId="5" type="noConversion"/>
  </si>
  <si>
    <t>유형</t>
    <phoneticPr fontId="5" type="noConversion"/>
  </si>
  <si>
    <t>강남구</t>
    <phoneticPr fontId="5" type="noConversion"/>
  </si>
  <si>
    <t>서초구</t>
    <phoneticPr fontId="5" type="noConversion"/>
  </si>
  <si>
    <t>빌라</t>
    <phoneticPr fontId="5" type="noConversion"/>
  </si>
  <si>
    <t>ⓑ강남구와 동작구의  전용면적 "25이상"의 각 항목의 평균</t>
    <phoneticPr fontId="5" type="noConversion"/>
  </si>
  <si>
    <t>ⓐ강남구와 서초구의 "빌라"의 각 항목의 합</t>
    <phoneticPr fontId="5" type="noConversion"/>
  </si>
  <si>
    <t>동작구</t>
    <phoneticPr fontId="5" type="noConversion"/>
  </si>
  <si>
    <t>전용면적</t>
    <phoneticPr fontId="5" type="noConversion"/>
  </si>
  <si>
    <t>&gt;=25</t>
    <phoneticPr fontId="5" type="noConversion"/>
  </si>
  <si>
    <t>연립주택</t>
    <phoneticPr fontId="5" type="noConversion"/>
  </si>
  <si>
    <t>아파트</t>
    <phoneticPr fontId="5" type="noConversion"/>
  </si>
  <si>
    <t>ⓒ강남구 "연립주택"과 동작구 "아파트"의 개수</t>
    <phoneticPr fontId="5" type="noConversion"/>
  </si>
  <si>
    <r>
      <t>부서별 당월</t>
    </r>
    <r>
      <rPr>
        <sz val="11"/>
        <rFont val="돋움"/>
        <family val="3"/>
        <charset val="129"/>
      </rPr>
      <t xml:space="preserve"> 실적 현황표</t>
    </r>
    <phoneticPr fontId="5" type="noConversion"/>
  </si>
  <si>
    <t>평가</t>
    <phoneticPr fontId="5" type="noConversion"/>
  </si>
  <si>
    <t>등급</t>
    <phoneticPr fontId="5" type="noConversion"/>
  </si>
  <si>
    <t>D</t>
    <phoneticPr fontId="5" type="noConversion"/>
  </si>
  <si>
    <t>등급</t>
    <phoneticPr fontId="5" type="noConversion"/>
  </si>
  <si>
    <t>B</t>
    <phoneticPr fontId="5" type="noConversion"/>
  </si>
  <si>
    <t>D</t>
    <phoneticPr fontId="5" type="noConversion"/>
  </si>
  <si>
    <r>
      <t>A</t>
    </r>
    <r>
      <rPr>
        <sz val="11"/>
        <rFont val="돋움"/>
        <family val="3"/>
        <charset val="129"/>
      </rPr>
      <t>*</t>
    </r>
    <phoneticPr fontId="5" type="noConversion"/>
  </si>
  <si>
    <r>
      <t>H</t>
    </r>
    <r>
      <rPr>
        <sz val="11"/>
        <rFont val="돋움"/>
        <family val="3"/>
        <charset val="129"/>
      </rPr>
      <t>*</t>
    </r>
    <phoneticPr fontId="5" type="noConversion"/>
  </si>
  <si>
    <r>
      <t>&gt;</t>
    </r>
    <r>
      <rPr>
        <sz val="11"/>
        <rFont val="돋움"/>
        <family val="3"/>
        <charset val="129"/>
      </rPr>
      <t>=5000</t>
    </r>
    <phoneticPr fontId="5" type="noConversion"/>
  </si>
  <si>
    <t>목표</t>
    <phoneticPr fontId="5" type="noConversion"/>
  </si>
  <si>
    <t>실적</t>
    <phoneticPr fontId="5" type="noConversion"/>
  </si>
  <si>
    <t>&lt;8000</t>
    <phoneticPr fontId="5" type="noConversion"/>
  </si>
  <si>
    <r>
      <t>&gt;</t>
    </r>
    <r>
      <rPr>
        <sz val="11"/>
        <rFont val="돋움"/>
        <family val="3"/>
        <charset val="129"/>
      </rPr>
      <t>=</t>
    </r>
    <r>
      <rPr>
        <sz val="11"/>
        <rFont val="돋움"/>
        <family val="3"/>
        <charset val="129"/>
      </rPr>
      <t>6000</t>
    </r>
    <phoneticPr fontId="5" type="noConversion"/>
  </si>
  <si>
    <r>
      <t>당월 목표가 60</t>
    </r>
    <r>
      <rPr>
        <sz val="11"/>
        <rFont val="돋움"/>
        <family val="3"/>
        <charset val="129"/>
      </rPr>
      <t xml:space="preserve">00 이상 </t>
    </r>
    <r>
      <rPr>
        <sz val="11"/>
        <rFont val="돋움"/>
        <family val="3"/>
        <charset val="129"/>
      </rPr>
      <t>8</t>
    </r>
    <r>
      <rPr>
        <sz val="11"/>
        <rFont val="돋움"/>
        <family val="3"/>
        <charset val="129"/>
      </rPr>
      <t>000 미만인 익월목표</t>
    </r>
    <r>
      <rPr>
        <sz val="11"/>
        <rFont val="돋움"/>
        <family val="3"/>
        <charset val="129"/>
      </rPr>
      <t xml:space="preserve"> 합</t>
    </r>
    <phoneticPr fontId="5" type="noConversion"/>
  </si>
  <si>
    <t>등급이 B또는 D인 사람들의 익월 목표의 합</t>
    <phoneticPr fontId="5" type="noConversion"/>
  </si>
  <si>
    <t>판매액</t>
    <phoneticPr fontId="5" type="noConversion"/>
  </si>
  <si>
    <t>영동H영업</t>
    <phoneticPr fontId="5" type="noConversion"/>
  </si>
  <si>
    <t>서F영업</t>
    <phoneticPr fontId="5" type="noConversion"/>
  </si>
  <si>
    <t>남양H영업</t>
    <phoneticPr fontId="5" type="noConversion"/>
  </si>
  <si>
    <t>휴A영업</t>
    <phoneticPr fontId="5" type="noConversion"/>
  </si>
  <si>
    <t>&gt;=150000</t>
    <phoneticPr fontId="5" type="noConversion"/>
  </si>
  <si>
    <t>ⓕ숙박비가 15만원 이상 20만원 이하인 총 비용의 합계</t>
    <phoneticPr fontId="5" type="noConversion"/>
  </si>
  <si>
    <t>ⓚ잡비가 20만원 이상이면서 영업부가 아닌 잡비의 합계</t>
    <phoneticPr fontId="5" type="noConversion"/>
  </si>
  <si>
    <t>ⓘ부서가 영업부와 무역부이면서 인원이 15명 이상인 숙박비의 평균</t>
    <phoneticPr fontId="5" type="noConversion"/>
  </si>
  <si>
    <t>ⓔ부서가 영업부이면서 인원이 15명 이상인 숙박비의 합계</t>
    <phoneticPr fontId="5" type="noConversion"/>
  </si>
  <si>
    <t>=ROUNDUP(AVERAGE(C27:C35),-3)</t>
    <phoneticPr fontId="5" type="noConversion"/>
  </si>
  <si>
    <t>영업소</t>
    <phoneticPr fontId="5" type="noConversion"/>
  </si>
  <si>
    <t>A 승용차</t>
    <phoneticPr fontId="5" type="noConversion"/>
  </si>
  <si>
    <t>B 승용차</t>
    <phoneticPr fontId="5" type="noConversion"/>
  </si>
  <si>
    <t>C 승용차</t>
    <phoneticPr fontId="5" type="noConversion"/>
  </si>
  <si>
    <t>박승엽</t>
    <phoneticPr fontId="5" type="noConversion"/>
  </si>
  <si>
    <t>경기</t>
    <phoneticPr fontId="5" type="noConversion"/>
  </si>
  <si>
    <t>이한수</t>
    <phoneticPr fontId="5" type="noConversion"/>
  </si>
  <si>
    <t>대구</t>
    <phoneticPr fontId="5" type="noConversion"/>
  </si>
  <si>
    <t>박재홍</t>
    <phoneticPr fontId="5" type="noConversion"/>
  </si>
  <si>
    <t>인천</t>
    <phoneticPr fontId="5" type="noConversion"/>
  </si>
  <si>
    <t>위재영</t>
    <phoneticPr fontId="5" type="noConversion"/>
  </si>
  <si>
    <t>이병규</t>
    <phoneticPr fontId="5" type="noConversion"/>
  </si>
  <si>
    <t>양준혁</t>
    <phoneticPr fontId="5" type="noConversion"/>
  </si>
  <si>
    <t>이진우</t>
    <phoneticPr fontId="5" type="noConversion"/>
  </si>
  <si>
    <t>조규수</t>
    <phoneticPr fontId="5" type="noConversion"/>
  </si>
  <si>
    <t>ⓐA승용차 판매량이 400이상 500 미만인 B승용차의 합계</t>
    <phoneticPr fontId="12" type="noConversion"/>
  </si>
  <si>
    <t>ⓑA승용차 판매량이 400이상 500 미만인 A승용차의 개수</t>
    <phoneticPr fontId="12" type="noConversion"/>
  </si>
  <si>
    <t>SUMIFS</t>
    <phoneticPr fontId="12" type="noConversion"/>
  </si>
  <si>
    <t>COUNTIFS</t>
    <phoneticPr fontId="12" type="noConversion"/>
  </si>
  <si>
    <t>ⓒ성명이 이씨인 A승용차의 각 항목의 평균</t>
    <phoneticPr fontId="12" type="noConversion"/>
  </si>
  <si>
    <t>ⓓ이씨 이면서 대구이고 C승용차가 300이상인 평균</t>
    <phoneticPr fontId="12" type="noConversion"/>
  </si>
  <si>
    <t>AVERAGEIF</t>
    <phoneticPr fontId="12" type="noConversion"/>
  </si>
  <si>
    <t>AVERAGEIFS</t>
    <phoneticPr fontId="12" type="noConversion"/>
  </si>
  <si>
    <t>ⓔ이씨 이면서 대구이고 C승용차가 300이상인 합계</t>
    <phoneticPr fontId="12" type="noConversion"/>
  </si>
  <si>
    <t>ⓕA승용차 판매량이 400이상 500 미만인 각 항목 평균</t>
    <phoneticPr fontId="12" type="noConversion"/>
  </si>
  <si>
    <t>SUMIFS</t>
    <phoneticPr fontId="12" type="noConversion"/>
  </si>
  <si>
    <t>AVERAGEIFS</t>
    <phoneticPr fontId="12" type="noConversion"/>
  </si>
  <si>
    <t>ⓐ 학점표를 이용하여 점수에 따른 학점을 학점열에 표시하시오.</t>
    <phoneticPr fontId="12" type="noConversion"/>
  </si>
  <si>
    <t>ⓒ 국가코드의 두번째 글자를 이용하여 
국가명를 표시 하시오.</t>
    <phoneticPr fontId="12" type="noConversion"/>
  </si>
  <si>
    <t>ⓑ 학과코드 표를 이용하여 학과코드에 따른 학과를 학과열에 표시하시오.</t>
    <phoneticPr fontId="12" type="noConversion"/>
  </si>
  <si>
    <t>학과코드</t>
    <phoneticPr fontId="5" type="noConversion"/>
  </si>
  <si>
    <t>학점</t>
  </si>
  <si>
    <t>학과</t>
    <phoneticPr fontId="12" type="noConversion"/>
  </si>
  <si>
    <t>송장번호</t>
  </si>
  <si>
    <t>국가코드</t>
    <phoneticPr fontId="12" type="noConversion"/>
  </si>
  <si>
    <t>현장번호</t>
    <phoneticPr fontId="5" type="noConversion"/>
  </si>
  <si>
    <t>국가명</t>
    <phoneticPr fontId="5" type="noConversion"/>
  </si>
  <si>
    <t>A10</t>
    <phoneticPr fontId="12" type="noConversion"/>
  </si>
  <si>
    <t>김명식</t>
    <phoneticPr fontId="5" type="noConversion"/>
  </si>
  <si>
    <t>RB7093</t>
    <phoneticPr fontId="12" type="noConversion"/>
  </si>
  <si>
    <t>A20</t>
    <phoneticPr fontId="12" type="noConversion"/>
  </si>
  <si>
    <t>박신아</t>
    <phoneticPr fontId="5" type="noConversion"/>
  </si>
  <si>
    <t>RA5024</t>
  </si>
  <si>
    <t>A30</t>
    <phoneticPr fontId="12" type="noConversion"/>
  </si>
  <si>
    <t>김철호</t>
    <phoneticPr fontId="5" type="noConversion"/>
  </si>
  <si>
    <t>RC7145</t>
    <phoneticPr fontId="12" type="noConversion"/>
  </si>
  <si>
    <t>A40</t>
    <phoneticPr fontId="12" type="noConversion"/>
  </si>
  <si>
    <t>서진혁</t>
    <phoneticPr fontId="5" type="noConversion"/>
  </si>
  <si>
    <t>RB7093</t>
  </si>
  <si>
    <t>A50</t>
    <phoneticPr fontId="12" type="noConversion"/>
  </si>
  <si>
    <t>김혜진</t>
    <phoneticPr fontId="5" type="noConversion"/>
  </si>
  <si>
    <t>RA3096</t>
  </si>
  <si>
    <t>이명철</t>
    <phoneticPr fontId="5" type="noConversion"/>
  </si>
  <si>
    <t>RD7093</t>
    <phoneticPr fontId="12" type="noConversion"/>
  </si>
  <si>
    <t>A60</t>
    <phoneticPr fontId="12" type="noConversion"/>
  </si>
  <si>
    <t>강진성</t>
    <phoneticPr fontId="5" type="noConversion"/>
  </si>
  <si>
    <t>RA4021</t>
  </si>
  <si>
    <t>김기수</t>
    <phoneticPr fontId="5" type="noConversion"/>
  </si>
  <si>
    <t>국가 코드표</t>
    <phoneticPr fontId="12" type="noConversion"/>
  </si>
  <si>
    <t>학점표</t>
    <phoneticPr fontId="5" type="noConversion"/>
  </si>
  <si>
    <t>학과코드</t>
    <phoneticPr fontId="12" type="noConversion"/>
  </si>
  <si>
    <t>A</t>
    <phoneticPr fontId="12" type="noConversion"/>
  </si>
  <si>
    <t>B</t>
    <phoneticPr fontId="12" type="noConversion"/>
  </si>
  <si>
    <t>R</t>
    <phoneticPr fontId="12" type="noConversion"/>
  </si>
  <si>
    <t>C</t>
    <phoneticPr fontId="12" type="noConversion"/>
  </si>
  <si>
    <t>부터</t>
    <phoneticPr fontId="5" type="noConversion"/>
  </si>
  <si>
    <t>학점</t>
    <phoneticPr fontId="5" type="noConversion"/>
  </si>
  <si>
    <t>학과명</t>
    <phoneticPr fontId="12" type="noConversion"/>
  </si>
  <si>
    <t>국가명</t>
    <phoneticPr fontId="12" type="noConversion"/>
  </si>
  <si>
    <t>미국</t>
    <phoneticPr fontId="12" type="noConversion"/>
  </si>
  <si>
    <t>브라질</t>
    <phoneticPr fontId="12" type="noConversion"/>
  </si>
  <si>
    <t>러시아</t>
    <phoneticPr fontId="12" type="noConversion"/>
  </si>
  <si>
    <t>캐나다</t>
    <phoneticPr fontId="12" type="noConversion"/>
  </si>
  <si>
    <t>F</t>
    <phoneticPr fontId="5" type="noConversion"/>
  </si>
  <si>
    <t>경영학</t>
    <phoneticPr fontId="12" type="noConversion"/>
  </si>
  <si>
    <t>의학</t>
    <phoneticPr fontId="12" type="noConversion"/>
  </si>
  <si>
    <t>C</t>
    <phoneticPr fontId="5" type="noConversion"/>
  </si>
  <si>
    <t>간호학</t>
    <phoneticPr fontId="12" type="noConversion"/>
  </si>
  <si>
    <t>법학</t>
    <phoneticPr fontId="12" type="noConversion"/>
  </si>
  <si>
    <t>A</t>
    <phoneticPr fontId="5" type="noConversion"/>
  </si>
  <si>
    <t>홍학</t>
    <phoneticPr fontId="12" type="noConversion"/>
  </si>
  <si>
    <t>논리 값의 연산</t>
    <phoneticPr fontId="12" type="noConversion"/>
  </si>
  <si>
    <t>성이 이씨 이면서(AND) 점수가 60점 이하인 점수 합계</t>
    <phoneticPr fontId="5" type="noConversion"/>
  </si>
  <si>
    <t>논리값1</t>
    <phoneticPr fontId="12" type="noConversion"/>
  </si>
  <si>
    <t>논리값2</t>
    <phoneticPr fontId="12" type="noConversion"/>
  </si>
  <si>
    <t>ⓐOR</t>
    <phoneticPr fontId="12" type="noConversion"/>
  </si>
  <si>
    <t>ⓑAND</t>
    <phoneticPr fontId="12" type="noConversion"/>
  </si>
  <si>
    <t>이름</t>
    <phoneticPr fontId="5" type="noConversion"/>
  </si>
  <si>
    <t>성적</t>
    <phoneticPr fontId="12" type="noConversion"/>
  </si>
  <si>
    <t>ⓐ이씨</t>
    <phoneticPr fontId="5" type="noConversion"/>
  </si>
  <si>
    <t>ⓑ60점이하</t>
    <phoneticPr fontId="12" type="noConversion"/>
  </si>
  <si>
    <t>ⓒ병합(OR)</t>
    <phoneticPr fontId="12" type="noConversion"/>
  </si>
  <si>
    <t>ⓓ계산</t>
    <phoneticPr fontId="12" type="noConversion"/>
  </si>
  <si>
    <t>강호동</t>
    <phoneticPr fontId="5" type="noConversion"/>
  </si>
  <si>
    <t>이호동</t>
    <phoneticPr fontId="5" type="noConversion"/>
  </si>
  <si>
    <t>박호동</t>
    <phoneticPr fontId="5" type="noConversion"/>
  </si>
  <si>
    <t>구호동</t>
    <phoneticPr fontId="5" type="noConversion"/>
  </si>
  <si>
    <t>나호동</t>
    <phoneticPr fontId="5" type="noConversion"/>
  </si>
  <si>
    <t>ⓔ합계</t>
    <phoneticPr fontId="12" type="noConversion"/>
  </si>
  <si>
    <t>ⓕ배열(AND)</t>
    <phoneticPr fontId="12" type="noConversion"/>
  </si>
  <si>
    <t>성이 이씨 이거나(OR) 점수가 60점 이하인 점수 합계</t>
    <phoneticPr fontId="5" type="noConversion"/>
  </si>
  <si>
    <t>학번</t>
    <phoneticPr fontId="12" type="noConversion"/>
  </si>
  <si>
    <t>학년</t>
    <phoneticPr fontId="12" type="noConversion"/>
  </si>
  <si>
    <t>이름</t>
    <phoneticPr fontId="12" type="noConversion"/>
  </si>
  <si>
    <t>상품명</t>
    <phoneticPr fontId="12" type="noConversion"/>
  </si>
  <si>
    <t>판매량</t>
    <phoneticPr fontId="12" type="noConversion"/>
  </si>
  <si>
    <t>단가</t>
    <phoneticPr fontId="12" type="noConversion"/>
  </si>
  <si>
    <t>곱하고</t>
    <phoneticPr fontId="12" type="noConversion"/>
  </si>
  <si>
    <t>k102-3</t>
    <phoneticPr fontId="12" type="noConversion"/>
  </si>
  <si>
    <t>경영과</t>
    <phoneticPr fontId="12" type="noConversion"/>
  </si>
  <si>
    <t>강수로</t>
    <phoneticPr fontId="12" type="noConversion"/>
  </si>
  <si>
    <t>당근</t>
    <phoneticPr fontId="12" type="noConversion"/>
  </si>
  <si>
    <t>k102-4</t>
  </si>
  <si>
    <t>수학과</t>
    <phoneticPr fontId="12" type="noConversion"/>
  </si>
  <si>
    <t>김호동</t>
    <phoneticPr fontId="12" type="noConversion"/>
  </si>
  <si>
    <t>배추</t>
    <phoneticPr fontId="12" type="noConversion"/>
  </si>
  <si>
    <t>g102-5</t>
    <phoneticPr fontId="12" type="noConversion"/>
  </si>
  <si>
    <t>장혁</t>
    <phoneticPr fontId="12" type="noConversion"/>
  </si>
  <si>
    <t>k102-6</t>
  </si>
  <si>
    <t>d102-7</t>
    <phoneticPr fontId="12" type="noConversion"/>
  </si>
  <si>
    <t>영문과</t>
    <phoneticPr fontId="12" type="noConversion"/>
  </si>
  <si>
    <t>박형식</t>
    <phoneticPr fontId="12" type="noConversion"/>
  </si>
  <si>
    <t>양상추</t>
    <phoneticPr fontId="12" type="noConversion"/>
  </si>
  <si>
    <t>k102-8</t>
  </si>
  <si>
    <t>가지</t>
    <phoneticPr fontId="12" type="noConversion"/>
  </si>
  <si>
    <t>k102-9</t>
  </si>
  <si>
    <t>해밍턴</t>
    <phoneticPr fontId="12" type="noConversion"/>
  </si>
  <si>
    <t>고추</t>
    <phoneticPr fontId="12" type="noConversion"/>
  </si>
  <si>
    <t>더하고</t>
    <phoneticPr fontId="12" type="noConversion"/>
  </si>
  <si>
    <t xml:space="preserve">ⓐ학과별 인원수를 계산하시오. </t>
    <phoneticPr fontId="12" type="noConversion"/>
  </si>
  <si>
    <t>ⓑ학년별 성적의 총점을 계산하시오.</t>
    <phoneticPr fontId="12" type="noConversion"/>
  </si>
  <si>
    <t>ⓒ 판매량과 단가를 이용하여 총 판매액 계산 (SUMPRODUCT)</t>
    <phoneticPr fontId="12" type="noConversion"/>
  </si>
  <si>
    <t>ⓐsum</t>
    <phoneticPr fontId="12" type="noConversion"/>
  </si>
  <si>
    <t>ⓑsum</t>
    <phoneticPr fontId="12" type="noConversion"/>
  </si>
  <si>
    <t>총판매액</t>
    <phoneticPr fontId="12" type="noConversion"/>
  </si>
  <si>
    <t>인원수</t>
    <phoneticPr fontId="12" type="noConversion"/>
  </si>
  <si>
    <t>총점</t>
    <phoneticPr fontId="12" type="noConversion"/>
  </si>
  <si>
    <t>제품코드</t>
    <phoneticPr fontId="12" type="noConversion"/>
  </si>
  <si>
    <t>분류</t>
    <phoneticPr fontId="12" type="noConversion"/>
  </si>
  <si>
    <t>제조사</t>
    <phoneticPr fontId="12" type="noConversion"/>
  </si>
  <si>
    <t>가격</t>
    <phoneticPr fontId="12" type="noConversion"/>
  </si>
  <si>
    <t>K112-245</t>
    <phoneticPr fontId="12" type="noConversion"/>
  </si>
  <si>
    <t>경기</t>
    <phoneticPr fontId="12" type="noConversion"/>
  </si>
  <si>
    <t>삼천리</t>
    <phoneticPr fontId="12" type="noConversion"/>
  </si>
  <si>
    <t>K112-652</t>
    <phoneticPr fontId="12" type="noConversion"/>
  </si>
  <si>
    <t>산악</t>
    <phoneticPr fontId="12" type="noConversion"/>
  </si>
  <si>
    <t>L328-235</t>
    <phoneticPr fontId="12" type="noConversion"/>
  </si>
  <si>
    <t>로드</t>
    <phoneticPr fontId="12" type="noConversion"/>
  </si>
  <si>
    <t>야마하</t>
  </si>
  <si>
    <t>C622-451</t>
    <phoneticPr fontId="12" type="noConversion"/>
  </si>
  <si>
    <t>아동</t>
    <phoneticPr fontId="12" type="noConversion"/>
  </si>
  <si>
    <t>알톤</t>
  </si>
  <si>
    <t>Y328-695</t>
    <phoneticPr fontId="12" type="noConversion"/>
  </si>
  <si>
    <t>K*</t>
    <phoneticPr fontId="12" type="noConversion"/>
  </si>
  <si>
    <t>L622-224</t>
    <phoneticPr fontId="12" type="noConversion"/>
  </si>
  <si>
    <t>C*</t>
    <phoneticPr fontId="12" type="noConversion"/>
  </si>
  <si>
    <t>M112-542</t>
    <phoneticPr fontId="12" type="noConversion"/>
  </si>
  <si>
    <t>C622-695</t>
    <phoneticPr fontId="12" type="noConversion"/>
  </si>
  <si>
    <t>K328-691</t>
    <phoneticPr fontId="12" type="noConversion"/>
  </si>
  <si>
    <t>&gt;=300000</t>
    <phoneticPr fontId="12" type="noConversion"/>
  </si>
  <si>
    <t>ⓐ분류가 경기 또는 산악이면서 제조사가 삼천리인 합계</t>
    <phoneticPr fontId="12" type="noConversion"/>
  </si>
  <si>
    <t>알톤</t>
    <phoneticPr fontId="12" type="noConversion"/>
  </si>
  <si>
    <t>ⓑ제품코드 첫 글자가 K 또는 C 이면서 분류가 아동인 합계</t>
    <phoneticPr fontId="12" type="noConversion"/>
  </si>
  <si>
    <t>ⓒ삼천리 또는 알톤이면서 가격이 30만원 이상인 합계</t>
    <phoneticPr fontId="12" type="noConversion"/>
  </si>
  <si>
    <t>ⓓ분류가 경기 이거나 제조사가 삼천리 또는 알톤인 합계</t>
    <phoneticPr fontId="12" type="noConversion"/>
  </si>
  <si>
    <t>SUMPRODUCT 함수</t>
    <phoneticPr fontId="5" type="noConversion"/>
  </si>
  <si>
    <t>ISNUMBER 함수</t>
    <phoneticPr fontId="5" type="noConversion"/>
  </si>
  <si>
    <t>FIND 함수 H를 포함한 합계)</t>
    <phoneticPr fontId="5" type="noConversion"/>
  </si>
  <si>
    <t>ⓑ결과</t>
    <phoneticPr fontId="5" type="noConversion"/>
  </si>
  <si>
    <t>ⓒFIND(H)</t>
    <phoneticPr fontId="5" type="noConversion"/>
  </si>
  <si>
    <t>ⓓISNUMBER</t>
    <phoneticPr fontId="5" type="noConversion"/>
  </si>
  <si>
    <t>산본K영업</t>
    <phoneticPr fontId="12" type="noConversion"/>
  </si>
  <si>
    <t>ⓐ총판매액</t>
    <phoneticPr fontId="5" type="noConversion"/>
  </si>
  <si>
    <t>ⓔSIF 통합</t>
    <phoneticPr fontId="12" type="noConversion"/>
  </si>
  <si>
    <t>ⓕ부서가 F영업 또는 P영업인 실적 합</t>
    <phoneticPr fontId="5" type="noConversion"/>
  </si>
  <si>
    <t>ⓗ 평가가 우수 또는 최우수인 실적의 합계</t>
    <phoneticPr fontId="5" type="noConversion"/>
  </si>
  <si>
    <t>성명</t>
    <phoneticPr fontId="12" type="noConversion"/>
  </si>
  <si>
    <t>평가</t>
    <phoneticPr fontId="12" type="noConversion"/>
  </si>
  <si>
    <t>신면철</t>
    <phoneticPr fontId="12" type="noConversion"/>
  </si>
  <si>
    <t>우수</t>
    <phoneticPr fontId="12" type="noConversion"/>
  </si>
  <si>
    <t>신채원</t>
    <phoneticPr fontId="12" type="noConversion"/>
  </si>
  <si>
    <t>최우수</t>
    <phoneticPr fontId="12" type="noConversion"/>
  </si>
  <si>
    <t>P영업</t>
    <phoneticPr fontId="5" type="noConversion"/>
  </si>
  <si>
    <t>신선율</t>
    <phoneticPr fontId="12" type="noConversion"/>
  </si>
  <si>
    <t>보통</t>
    <phoneticPr fontId="12" type="noConversion"/>
  </si>
  <si>
    <t>이지혜</t>
    <phoneticPr fontId="12" type="noConversion"/>
  </si>
  <si>
    <t>M영업</t>
    <phoneticPr fontId="5" type="noConversion"/>
  </si>
  <si>
    <t>이나현</t>
    <phoneticPr fontId="12" type="noConversion"/>
  </si>
  <si>
    <t>신현길</t>
    <phoneticPr fontId="12" type="noConversion"/>
  </si>
  <si>
    <t>SIF 통합</t>
    <phoneticPr fontId="12" type="noConversion"/>
  </si>
  <si>
    <t>=SUMPRODUCT(ISNUMBER(FIND("F",B14:B19))+ISNUMBER(FIND("P",B14:B19)),D14:D19)</t>
    <phoneticPr fontId="12" type="noConversion"/>
  </si>
  <si>
    <t>=SUMPRODUCT(ISNUMBER(FIND("우수",K14:K19))*1,J14:J19)</t>
    <phoneticPr fontId="12" type="noConversion"/>
  </si>
  <si>
    <t>영어 점수가 80점 이상이면서 전산점수가 70점 이상이면 합격 그렇지않으면 불합격</t>
    <phoneticPr fontId="5" type="noConversion"/>
  </si>
  <si>
    <t>영어 점수가 80점 이상이거나 전산점수가 60점 이상이면 합격 그렇지않으면 불합격</t>
    <phoneticPr fontId="5" type="noConversion"/>
  </si>
  <si>
    <t>통화량이 250 이상인 전화요금의 합계 식을 작성</t>
    <phoneticPr fontId="5" type="noConversion"/>
  </si>
  <si>
    <t>통화량이 200 이상 300 미만인 기본요금의 합계</t>
    <phoneticPr fontId="5" type="noConversion"/>
  </si>
  <si>
    <t>ⓓ성명이 박인수 이상 유현숙 미만의 사원수</t>
    <phoneticPr fontId="5" type="noConversion"/>
  </si>
  <si>
    <t>재고</t>
    <phoneticPr fontId="5" type="noConversion"/>
  </si>
  <si>
    <t>재고 빈도수 계산</t>
    <phoneticPr fontId="5" type="noConversion"/>
  </si>
  <si>
    <t>구간</t>
    <phoneticPr fontId="5" type="noConversion"/>
  </si>
  <si>
    <t>빈도수</t>
    <phoneticPr fontId="5" type="noConversion"/>
  </si>
  <si>
    <t>월간 판매 재고 현황</t>
  </si>
  <si>
    <t>거래소</t>
    <phoneticPr fontId="5" type="noConversion"/>
  </si>
  <si>
    <t>품명</t>
    <phoneticPr fontId="5" type="noConversion"/>
  </si>
  <si>
    <t>이월재고</t>
    <phoneticPr fontId="5" type="noConversion"/>
  </si>
  <si>
    <t>월간 판매량</t>
    <phoneticPr fontId="5" type="noConversion"/>
  </si>
  <si>
    <t>단가</t>
    <phoneticPr fontId="5" type="noConversion"/>
  </si>
  <si>
    <t>현재고</t>
    <phoneticPr fontId="5" type="noConversion"/>
  </si>
  <si>
    <t>판매금액</t>
    <phoneticPr fontId="5" type="noConversion"/>
  </si>
  <si>
    <t>최대보유기준</t>
    <phoneticPr fontId="5" type="noConversion"/>
  </si>
  <si>
    <t>발주예정량</t>
    <phoneticPr fontId="5" type="noConversion"/>
  </si>
  <si>
    <t>현대</t>
    <phoneticPr fontId="5" type="noConversion"/>
  </si>
  <si>
    <t>MP3</t>
    <phoneticPr fontId="5" type="noConversion"/>
  </si>
  <si>
    <t>롯데</t>
    <phoneticPr fontId="5" type="noConversion"/>
  </si>
  <si>
    <t>카메라</t>
    <phoneticPr fontId="5" type="noConversion"/>
  </si>
  <si>
    <t>삼성</t>
    <phoneticPr fontId="5" type="noConversion"/>
  </si>
  <si>
    <t>공기청정기</t>
    <phoneticPr fontId="5" type="noConversion"/>
  </si>
  <si>
    <t>세탁기</t>
    <phoneticPr fontId="5" type="noConversion"/>
  </si>
  <si>
    <t>가습기</t>
    <phoneticPr fontId="5" type="noConversion"/>
  </si>
  <si>
    <t>믹서기</t>
    <phoneticPr fontId="5" type="noConversion"/>
  </si>
  <si>
    <t>면도기</t>
    <phoneticPr fontId="5" type="noConversion"/>
  </si>
  <si>
    <t>쇼핑몰</t>
    <phoneticPr fontId="5" type="noConversion"/>
  </si>
  <si>
    <t>밥솥</t>
    <phoneticPr fontId="5" type="noConversion"/>
  </si>
  <si>
    <t>LCDTV</t>
    <phoneticPr fontId="5" type="noConversion"/>
  </si>
  <si>
    <t>농협</t>
    <phoneticPr fontId="5" type="noConversion"/>
  </si>
  <si>
    <t>에어컨</t>
    <phoneticPr fontId="5" type="noConversion"/>
  </si>
  <si>
    <t>책상</t>
    <phoneticPr fontId="5" type="noConversion"/>
  </si>
  <si>
    <t>김치냉장고</t>
    <phoneticPr fontId="5" type="noConversion"/>
  </si>
  <si>
    <t>"현재고"에 대한분포</t>
    <phoneticPr fontId="5" type="noConversion"/>
  </si>
  <si>
    <t>분포갯수</t>
    <phoneticPr fontId="5" type="noConversion"/>
  </si>
  <si>
    <t>=FREQUENCY(F4:F23,D27:D29)</t>
    <phoneticPr fontId="5" type="noConversion"/>
  </si>
  <si>
    <t>=MAX(B22:B30)-MIN(B22:B30)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</si>
</sst>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-&quot;₩&quot;* #,##0_-;\-&quot;₩&quot;* #,##0_-;_-&quot;₩&quot;* &quot;-&quot;_-;_-@_-"/>
    <numFmt numFmtId="41" formatCode="_-* #,##0_-;\-* #,##0_-;_-* &quot;-&quot;_-;_-@_-"/>
    <numFmt numFmtId="176" formatCode="0.0"/>
    <numFmt numFmtId="177" formatCode="#,##0_ "/>
    <numFmt numFmtId="178" formatCode="0.0%"/>
    <numFmt numFmtId="179" formatCode="&quot;₩&quot;#,##0"/>
    <numFmt numFmtId="180" formatCode="&quot;₩&quot;#,##0_);[Red]\(&quot;₩&quot;#,##0\)"/>
    <numFmt numFmtId="181" formatCode="0_);[Red]\(0\)"/>
    <numFmt numFmtId="182" formatCode="h:mm:ss;@"/>
    <numFmt numFmtId="183" formatCode="hh:mm:ss"/>
    <numFmt numFmtId="184" formatCode="h:mm;@"/>
    <numFmt numFmtId="185" formatCode="mm&quot;월&quot;\ dd&quot;일&quot;"/>
  </numFmts>
  <fonts count="2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9"/>
      <name val="돋움"/>
      <family val="3"/>
      <charset val="129"/>
    </font>
    <font>
      <sz val="11"/>
      <color indexed="8"/>
      <name val="돋움"/>
      <family val="3"/>
      <charset val="129"/>
    </font>
    <font>
      <u/>
      <sz val="18"/>
      <name val="돋움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u/>
      <sz val="11"/>
      <name val="돋움"/>
      <family val="3"/>
      <charset val="129"/>
    </font>
    <font>
      <sz val="12"/>
      <name val="돋움"/>
      <family val="3"/>
      <charset val="129"/>
    </font>
    <font>
      <b/>
      <sz val="12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2"/>
      <color indexed="8"/>
      <name val="굴림"/>
      <family val="3"/>
      <charset val="129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aj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</borders>
  <cellStyleXfs count="16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/>
    <xf numFmtId="0" fontId="2" fillId="0" borderId="0"/>
    <xf numFmtId="0" fontId="20" fillId="0" borderId="0">
      <alignment vertical="center"/>
    </xf>
    <xf numFmtId="0" fontId="21" fillId="0" borderId="0"/>
    <xf numFmtId="0" fontId="21" fillId="0" borderId="0"/>
    <xf numFmtId="0" fontId="2" fillId="0" borderId="0">
      <alignment vertical="center"/>
    </xf>
    <xf numFmtId="0" fontId="2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07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41" fontId="0" fillId="0" borderId="1" xfId="2" applyFont="1" applyBorder="1" applyAlignment="1"/>
    <xf numFmtId="41" fontId="0" fillId="0" borderId="1" xfId="2" applyFont="1" applyFill="1" applyBorder="1" applyAlignment="1"/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left" vertical="center"/>
    </xf>
    <xf numFmtId="3" fontId="0" fillId="0" borderId="0" xfId="0" applyNumberFormat="1">
      <alignment vertical="center"/>
    </xf>
    <xf numFmtId="0" fontId="0" fillId="0" borderId="1" xfId="0" quotePrefix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right"/>
    </xf>
    <xf numFmtId="0" fontId="0" fillId="0" borderId="0" xfId="0" quotePrefix="1" applyBorder="1" applyAlignment="1">
      <alignment vertical="center"/>
    </xf>
    <xf numFmtId="9" fontId="0" fillId="0" borderId="0" xfId="0" applyNumberFormat="1">
      <alignment vertical="center"/>
    </xf>
    <xf numFmtId="9" fontId="0" fillId="0" borderId="0" xfId="1" applyFont="1">
      <alignment vertical="center"/>
    </xf>
    <xf numFmtId="14" fontId="0" fillId="0" borderId="1" xfId="0" quotePrefix="1" applyNumberFormat="1" applyFill="1" applyBorder="1">
      <alignment vertical="center"/>
    </xf>
    <xf numFmtId="0" fontId="0" fillId="0" borderId="1" xfId="0" quotePrefix="1" applyFill="1" applyBorder="1">
      <alignment vertical="center"/>
    </xf>
    <xf numFmtId="22" fontId="0" fillId="0" borderId="1" xfId="0" quotePrefix="1" applyNumberForma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2" xfId="0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9" fontId="3" fillId="0" borderId="2" xfId="0" applyNumberFormat="1" applyFont="1" applyFill="1" applyBorder="1">
      <alignment vertical="center"/>
    </xf>
    <xf numFmtId="9" fontId="3" fillId="0" borderId="3" xfId="0" applyNumberFormat="1" applyFont="1" applyFill="1" applyBorder="1">
      <alignment vertical="center"/>
    </xf>
    <xf numFmtId="9" fontId="3" fillId="0" borderId="4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0" fillId="0" borderId="0" xfId="0" applyFill="1" applyBorder="1">
      <alignment vertical="center"/>
    </xf>
    <xf numFmtId="179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41" fontId="0" fillId="0" borderId="0" xfId="2" applyFont="1">
      <alignment vertical="center"/>
    </xf>
    <xf numFmtId="0" fontId="0" fillId="0" borderId="0" xfId="0" applyFill="1" applyBorder="1" applyAlignment="1">
      <alignment horizontal="center"/>
    </xf>
    <xf numFmtId="20" fontId="0" fillId="0" borderId="0" xfId="0" applyNumberFormat="1">
      <alignment vertical="center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181" fontId="10" fillId="0" borderId="1" xfId="0" applyNumberFormat="1" applyFont="1" applyBorder="1" applyAlignment="1">
      <alignment horizontal="right" vertical="top" wrapText="1"/>
    </xf>
    <xf numFmtId="0" fontId="10" fillId="5" borderId="1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0" fillId="0" borderId="0" xfId="0" applyBorder="1">
      <alignment vertical="center"/>
    </xf>
    <xf numFmtId="9" fontId="0" fillId="0" borderId="0" xfId="0" applyNumberFormat="1" applyFont="1">
      <alignment vertical="center"/>
    </xf>
    <xf numFmtId="0" fontId="0" fillId="0" borderId="1" xfId="0" applyFont="1" applyBorder="1" applyAlignment="1">
      <alignment horizontal="center"/>
    </xf>
    <xf numFmtId="41" fontId="0" fillId="0" borderId="1" xfId="2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77" fontId="0" fillId="0" borderId="1" xfId="2" applyNumberFormat="1" applyFont="1" applyFill="1" applyBorder="1" applyAlignment="1"/>
    <xf numFmtId="177" fontId="0" fillId="0" borderId="1" xfId="2" applyNumberFormat="1" applyFont="1" applyBorder="1" applyAlignment="1"/>
    <xf numFmtId="0" fontId="0" fillId="0" borderId="0" xfId="0" applyFont="1">
      <alignment vertical="center"/>
    </xf>
    <xf numFmtId="0" fontId="0" fillId="0" borderId="0" xfId="0" applyFont="1" applyFill="1" applyBorder="1" applyAlignment="1">
      <alignment horizontal="center"/>
    </xf>
    <xf numFmtId="0" fontId="0" fillId="0" borderId="1" xfId="0" applyFont="1" applyBorder="1">
      <alignment vertical="center"/>
    </xf>
    <xf numFmtId="9" fontId="0" fillId="0" borderId="1" xfId="0" applyNumberFormat="1" applyFont="1" applyBorder="1">
      <alignment vertical="center"/>
    </xf>
    <xf numFmtId="9" fontId="0" fillId="0" borderId="0" xfId="0" applyNumberFormat="1" applyFont="1" applyFill="1" applyBorder="1">
      <alignment vertical="center"/>
    </xf>
    <xf numFmtId="9" fontId="0" fillId="0" borderId="1" xfId="1" applyFont="1" applyFill="1" applyBorder="1" applyAlignment="1"/>
    <xf numFmtId="0" fontId="10" fillId="0" borderId="0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3" fontId="11" fillId="0" borderId="1" xfId="2" applyNumberFormat="1" applyFont="1" applyFill="1" applyBorder="1" applyAlignment="1">
      <alignment horizontal="right" vertical="center" wrapText="1"/>
    </xf>
    <xf numFmtId="179" fontId="11" fillId="0" borderId="1" xfId="0" applyNumberFormat="1" applyFont="1" applyFill="1" applyBorder="1" applyAlignment="1">
      <alignment horizontal="right" vertical="center" wrapText="1"/>
    </xf>
    <xf numFmtId="179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/>
    </xf>
    <xf numFmtId="3" fontId="0" fillId="6" borderId="1" xfId="2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180" fontId="0" fillId="0" borderId="1" xfId="0" applyNumberFormat="1" applyBorder="1">
      <alignment vertical="center"/>
    </xf>
    <xf numFmtId="0" fontId="0" fillId="6" borderId="1" xfId="0" applyFill="1" applyBorder="1" applyAlignment="1">
      <alignment horizontal="center"/>
    </xf>
    <xf numFmtId="41" fontId="0" fillId="6" borderId="1" xfId="2" quotePrefix="1" applyFont="1" applyFill="1" applyBorder="1" applyAlignment="1"/>
    <xf numFmtId="180" fontId="0" fillId="6" borderId="1" xfId="0" applyNumberFormat="1" applyFill="1" applyBorder="1">
      <alignment vertical="center"/>
    </xf>
    <xf numFmtId="0" fontId="0" fillId="0" borderId="1" xfId="0" applyBorder="1" applyAlignment="1"/>
    <xf numFmtId="176" fontId="0" fillId="5" borderId="1" xfId="0" applyNumberFormat="1" applyFill="1" applyBorder="1" applyAlignment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180" fontId="0" fillId="0" borderId="3" xfId="0" applyNumberFormat="1" applyBorder="1">
      <alignment vertical="center"/>
    </xf>
    <xf numFmtId="0" fontId="0" fillId="0" borderId="3" xfId="0" applyBorder="1">
      <alignment vertical="center"/>
    </xf>
    <xf numFmtId="180" fontId="0" fillId="0" borderId="4" xfId="0" applyNumberFormat="1" applyBorder="1">
      <alignment vertical="center"/>
    </xf>
    <xf numFmtId="0" fontId="0" fillId="0" borderId="4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NumberForma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80" fontId="0" fillId="0" borderId="2" xfId="0" applyNumberFormat="1" applyFont="1" applyFill="1" applyBorder="1" applyAlignment="1">
      <alignment horizontal="center" vertical="center"/>
    </xf>
    <xf numFmtId="180" fontId="0" fillId="0" borderId="3" xfId="0" applyNumberFormat="1" applyFont="1" applyFill="1" applyBorder="1" applyAlignment="1">
      <alignment horizontal="center" vertical="center"/>
    </xf>
    <xf numFmtId="180" fontId="0" fillId="0" borderId="3" xfId="0" applyNumberFormat="1" applyFont="1" applyBorder="1" applyAlignment="1">
      <alignment horizontal="center" vertical="center"/>
    </xf>
    <xf numFmtId="180" fontId="0" fillId="0" borderId="4" xfId="0" applyNumberFormat="1" applyFont="1" applyBorder="1" applyAlignment="1">
      <alignment horizontal="center" vertical="center"/>
    </xf>
    <xf numFmtId="180" fontId="0" fillId="0" borderId="2" xfId="0" applyNumberFormat="1" applyFont="1" applyFill="1" applyBorder="1" applyAlignment="1">
      <alignment vertical="center"/>
    </xf>
    <xf numFmtId="180" fontId="0" fillId="0" borderId="3" xfId="0" applyNumberFormat="1" applyFont="1" applyFill="1" applyBorder="1" applyAlignment="1">
      <alignment vertical="center"/>
    </xf>
    <xf numFmtId="180" fontId="0" fillId="0" borderId="3" xfId="0" applyNumberFormat="1" applyFont="1" applyBorder="1" applyAlignment="1">
      <alignment vertical="center"/>
    </xf>
    <xf numFmtId="180" fontId="0" fillId="0" borderId="4" xfId="0" applyNumberFormat="1" applyFont="1" applyBorder="1" applyAlignment="1">
      <alignment vertical="center"/>
    </xf>
    <xf numFmtId="0" fontId="0" fillId="0" borderId="1" xfId="0" quotePrefix="1" applyBorder="1" applyAlignment="1"/>
    <xf numFmtId="0" fontId="0" fillId="0" borderId="1" xfId="0" applyFont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179" fontId="4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79" fontId="4" fillId="0" borderId="0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/>
    <xf numFmtId="0" fontId="0" fillId="0" borderId="7" xfId="0" applyFill="1" applyBorder="1" applyAlignment="1"/>
    <xf numFmtId="0" fontId="0" fillId="0" borderId="5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179" fontId="7" fillId="0" borderId="2" xfId="0" applyNumberFormat="1" applyFont="1" applyBorder="1">
      <alignment vertical="center"/>
    </xf>
    <xf numFmtId="0" fontId="7" fillId="0" borderId="2" xfId="0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179" fontId="7" fillId="0" borderId="3" xfId="0" applyNumberFormat="1" applyFont="1" applyBorder="1">
      <alignment vertical="center"/>
    </xf>
    <xf numFmtId="0" fontId="7" fillId="0" borderId="3" xfId="0" applyFont="1" applyBorder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9" fontId="7" fillId="0" borderId="4" xfId="0" applyNumberFormat="1" applyFont="1" applyBorder="1">
      <alignment vertical="center"/>
    </xf>
    <xf numFmtId="0" fontId="7" fillId="0" borderId="4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0" fontId="10" fillId="6" borderId="1" xfId="0" applyFont="1" applyFill="1" applyBorder="1" applyAlignment="1">
      <alignment horizontal="center" vertical="center" wrapText="1"/>
    </xf>
    <xf numFmtId="182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>
      <alignment vertical="center"/>
    </xf>
    <xf numFmtId="183" fontId="0" fillId="0" borderId="1" xfId="0" applyNumberFormat="1" applyBorder="1">
      <alignment vertical="center"/>
    </xf>
    <xf numFmtId="0" fontId="0" fillId="0" borderId="2" xfId="0" applyFont="1" applyFill="1" applyBorder="1" applyAlignment="1">
      <alignment horizontal="center"/>
    </xf>
    <xf numFmtId="184" fontId="0" fillId="0" borderId="2" xfId="0" applyNumberFormat="1" applyFont="1" applyFill="1" applyBorder="1" applyAlignment="1">
      <alignment horizontal="right"/>
    </xf>
    <xf numFmtId="184" fontId="0" fillId="0" borderId="2" xfId="0" applyNumberFormat="1" applyFont="1" applyBorder="1" applyAlignment="1">
      <alignment horizontal="right" vertical="center"/>
    </xf>
    <xf numFmtId="179" fontId="0" fillId="0" borderId="2" xfId="0" applyNumberFormat="1" applyFont="1" applyBorder="1">
      <alignment vertical="center"/>
    </xf>
    <xf numFmtId="0" fontId="0" fillId="0" borderId="3" xfId="0" applyFont="1" applyFill="1" applyBorder="1" applyAlignment="1">
      <alignment horizontal="center"/>
    </xf>
    <xf numFmtId="184" fontId="0" fillId="0" borderId="3" xfId="0" applyNumberFormat="1" applyFont="1" applyFill="1" applyBorder="1" applyAlignment="1">
      <alignment horizontal="right"/>
    </xf>
    <xf numFmtId="184" fontId="0" fillId="0" borderId="3" xfId="0" applyNumberFormat="1" applyFont="1" applyBorder="1" applyAlignment="1">
      <alignment horizontal="right" vertical="center"/>
    </xf>
    <xf numFmtId="179" fontId="0" fillId="0" borderId="3" xfId="0" applyNumberFormat="1" applyFont="1" applyBorder="1">
      <alignment vertical="center"/>
    </xf>
    <xf numFmtId="184" fontId="0" fillId="0" borderId="3" xfId="0" applyNumberFormat="1" applyFont="1" applyFill="1" applyBorder="1" applyAlignment="1">
      <alignment horizontal="right" vertical="center"/>
    </xf>
    <xf numFmtId="179" fontId="0" fillId="0" borderId="3" xfId="0" applyNumberFormat="1" applyFont="1" applyFill="1" applyBorder="1">
      <alignment vertical="center"/>
    </xf>
    <xf numFmtId="0" fontId="0" fillId="0" borderId="4" xfId="0" applyFont="1" applyBorder="1" applyAlignment="1">
      <alignment horizontal="center"/>
    </xf>
    <xf numFmtId="184" fontId="0" fillId="0" borderId="4" xfId="0" applyNumberFormat="1" applyFont="1" applyFill="1" applyBorder="1" applyAlignment="1">
      <alignment horizontal="right"/>
    </xf>
    <xf numFmtId="184" fontId="0" fillId="0" borderId="4" xfId="0" applyNumberFormat="1" applyFont="1" applyFill="1" applyBorder="1" applyAlignment="1">
      <alignment horizontal="right" vertical="center"/>
    </xf>
    <xf numFmtId="179" fontId="0" fillId="0" borderId="4" xfId="0" applyNumberFormat="1" applyFont="1" applyFill="1" applyBorder="1">
      <alignment vertical="center"/>
    </xf>
    <xf numFmtId="0" fontId="0" fillId="0" borderId="0" xfId="0" applyFont="1" applyFill="1" applyBorder="1" applyAlignment="1"/>
    <xf numFmtId="180" fontId="0" fillId="0" borderId="1" xfId="2" applyNumberFormat="1" applyFont="1" applyFill="1" applyBorder="1" applyAlignment="1"/>
    <xf numFmtId="180" fontId="0" fillId="0" borderId="1" xfId="0" applyNumberFormat="1" applyFill="1" applyBorder="1">
      <alignment vertical="center"/>
    </xf>
    <xf numFmtId="0" fontId="0" fillId="0" borderId="1" xfId="0" applyFill="1" applyBorder="1" applyAlignment="1"/>
    <xf numFmtId="185" fontId="0" fillId="0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right" vertical="center" wrapText="1"/>
    </xf>
    <xf numFmtId="0" fontId="3" fillId="6" borderId="1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79" fontId="3" fillId="0" borderId="1" xfId="2" applyNumberFormat="1" applyFont="1" applyFill="1" applyBorder="1" applyAlignment="1">
      <alignment horizontal="right" vertical="center"/>
    </xf>
    <xf numFmtId="179" fontId="3" fillId="6" borderId="1" xfId="0" applyNumberFormat="1" applyFont="1" applyFill="1" applyBorder="1" applyAlignment="1">
      <alignment vertical="center"/>
    </xf>
    <xf numFmtId="179" fontId="3" fillId="6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6" fillId="0" borderId="11" xfId="0" applyFont="1" applyFill="1" applyBorder="1" applyAlignment="1">
      <alignment horizontal="left" vertical="center" wrapText="1"/>
    </xf>
    <xf numFmtId="0" fontId="17" fillId="0" borderId="12" xfId="0" applyFont="1" applyFill="1" applyBorder="1" applyAlignment="1">
      <alignment horizontal="left" vertical="center" wrapText="1"/>
    </xf>
    <xf numFmtId="0" fontId="6" fillId="7" borderId="0" xfId="0" applyFont="1" applyFill="1" applyAlignment="1">
      <alignment horizontal="center" vertical="center"/>
    </xf>
    <xf numFmtId="3" fontId="0" fillId="0" borderId="1" xfId="0" applyNumberFormat="1" applyFill="1" applyBorder="1">
      <alignment vertical="center"/>
    </xf>
    <xf numFmtId="3" fontId="0" fillId="0" borderId="0" xfId="0" applyNumberFormat="1" applyFill="1" applyBorder="1">
      <alignment vertical="center"/>
    </xf>
    <xf numFmtId="3" fontId="0" fillId="0" borderId="1" xfId="2" quotePrefix="1" applyNumberFormat="1" applyFont="1" applyFill="1" applyBorder="1" applyAlignment="1">
      <alignment vertical="center"/>
    </xf>
    <xf numFmtId="0" fontId="1" fillId="8" borderId="1" xfId="3" applyFill="1" applyBorder="1" applyAlignment="1">
      <alignment horizontal="center"/>
    </xf>
    <xf numFmtId="0" fontId="1" fillId="0" borderId="0" xfId="3">
      <alignment vertical="center"/>
    </xf>
    <xf numFmtId="0" fontId="1" fillId="0" borderId="1" xfId="3" applyBorder="1" applyAlignment="1">
      <alignment horizontal="center"/>
    </xf>
    <xf numFmtId="0" fontId="1" fillId="0" borderId="1" xfId="3" applyBorder="1">
      <alignment vertical="center"/>
    </xf>
    <xf numFmtId="0" fontId="1" fillId="0" borderId="0" xfId="3" applyBorder="1" applyAlignment="1">
      <alignment horizontal="center"/>
    </xf>
    <xf numFmtId="0" fontId="1" fillId="0" borderId="0" xfId="3" applyBorder="1">
      <alignment vertical="center"/>
    </xf>
    <xf numFmtId="0" fontId="18" fillId="9" borderId="1" xfId="3" applyFont="1" applyFill="1" applyBorder="1">
      <alignment vertical="center"/>
    </xf>
    <xf numFmtId="0" fontId="19" fillId="9" borderId="1" xfId="3" applyFont="1" applyFill="1" applyBorder="1">
      <alignment vertical="center"/>
    </xf>
    <xf numFmtId="0" fontId="18" fillId="9" borderId="2" xfId="3" applyFont="1" applyFill="1" applyBorder="1">
      <alignment vertical="center"/>
    </xf>
    <xf numFmtId="0" fontId="19" fillId="9" borderId="2" xfId="3" applyFont="1" applyFill="1" applyBorder="1">
      <alignment vertical="center"/>
    </xf>
    <xf numFmtId="0" fontId="18" fillId="9" borderId="0" xfId="3" applyFont="1" applyFill="1" applyBorder="1" applyAlignment="1"/>
    <xf numFmtId="0" fontId="19" fillId="9" borderId="0" xfId="3" applyFont="1" applyFill="1">
      <alignment vertical="center"/>
    </xf>
    <xf numFmtId="0" fontId="18" fillId="9" borderId="0" xfId="3" applyFont="1" applyFill="1">
      <alignment vertical="center"/>
    </xf>
    <xf numFmtId="181" fontId="18" fillId="9" borderId="1" xfId="3" applyNumberFormat="1" applyFont="1" applyFill="1" applyBorder="1">
      <alignment vertical="center"/>
    </xf>
    <xf numFmtId="181" fontId="18" fillId="9" borderId="1" xfId="3" applyNumberFormat="1" applyFont="1" applyFill="1" applyBorder="1" applyAlignment="1">
      <alignment vertical="center"/>
    </xf>
    <xf numFmtId="0" fontId="22" fillId="9" borderId="0" xfId="3" applyFont="1" applyFill="1">
      <alignment vertical="center"/>
    </xf>
    <xf numFmtId="0" fontId="22" fillId="9" borderId="0" xfId="3" applyFont="1" applyFill="1" applyAlignment="1"/>
    <xf numFmtId="0" fontId="23" fillId="0" borderId="0" xfId="3" applyFont="1" applyAlignment="1"/>
    <xf numFmtId="0" fontId="23" fillId="0" borderId="0" xfId="3" applyFont="1">
      <alignment vertical="center"/>
    </xf>
    <xf numFmtId="0" fontId="23" fillId="0" borderId="1" xfId="3" applyFont="1" applyBorder="1" applyAlignment="1">
      <alignment horizontal="center"/>
    </xf>
    <xf numFmtId="0" fontId="23" fillId="2" borderId="1" xfId="3" applyFont="1" applyFill="1" applyBorder="1" applyAlignment="1">
      <alignment horizontal="center"/>
    </xf>
    <xf numFmtId="0" fontId="23" fillId="8" borderId="1" xfId="3" applyFont="1" applyFill="1" applyBorder="1" applyAlignment="1">
      <alignment horizontal="center"/>
    </xf>
    <xf numFmtId="0" fontId="24" fillId="0" borderId="1" xfId="11" applyFont="1" applyFill="1" applyBorder="1" applyAlignment="1">
      <alignment horizontal="center" vertical="center"/>
    </xf>
    <xf numFmtId="0" fontId="24" fillId="2" borderId="1" xfId="11" applyFont="1" applyFill="1" applyBorder="1" applyAlignment="1">
      <alignment horizontal="center" vertical="center"/>
    </xf>
    <xf numFmtId="0" fontId="23" fillId="0" borderId="1" xfId="3" applyFont="1" applyBorder="1">
      <alignment vertical="center"/>
    </xf>
    <xf numFmtId="0" fontId="24" fillId="0" borderId="1" xfId="11" applyNumberFormat="1" applyFont="1" applyFill="1" applyBorder="1" applyAlignment="1">
      <alignment horizontal="center" vertical="center" wrapText="1"/>
    </xf>
    <xf numFmtId="0" fontId="24" fillId="0" borderId="1" xfId="11" applyFont="1" applyFill="1" applyBorder="1" applyAlignment="1">
      <alignment horizontal="center" vertical="center" wrapText="1"/>
    </xf>
    <xf numFmtId="0" fontId="25" fillId="0" borderId="1" xfId="13" applyFont="1" applyBorder="1" applyAlignment="1">
      <alignment horizontal="center" vertical="center"/>
    </xf>
    <xf numFmtId="0" fontId="24" fillId="0" borderId="0" xfId="11" applyNumberFormat="1" applyFont="1" applyFill="1" applyBorder="1" applyAlignment="1">
      <alignment horizontal="center" vertical="center" wrapText="1"/>
    </xf>
    <xf numFmtId="0" fontId="24" fillId="0" borderId="0" xfId="11" applyFont="1" applyFill="1" applyBorder="1" applyAlignment="1">
      <alignment horizontal="center" vertical="center" wrapText="1"/>
    </xf>
    <xf numFmtId="0" fontId="25" fillId="0" borderId="0" xfId="13" applyFont="1" applyBorder="1" applyAlignment="1">
      <alignment vertical="center"/>
    </xf>
    <xf numFmtId="0" fontId="23" fillId="0" borderId="0" xfId="3" applyFont="1" applyAlignment="1">
      <alignment horizontal="center"/>
    </xf>
    <xf numFmtId="0" fontId="24" fillId="0" borderId="1" xfId="12" applyFont="1" applyFill="1" applyBorder="1" applyAlignment="1">
      <alignment horizontal="center" vertical="center"/>
    </xf>
    <xf numFmtId="0" fontId="24" fillId="0" borderId="1" xfId="12" applyNumberFormat="1" applyFont="1" applyFill="1" applyBorder="1" applyAlignment="1">
      <alignment horizontal="center" vertical="center" wrapText="1"/>
    </xf>
    <xf numFmtId="0" fontId="23" fillId="0" borderId="1" xfId="3" applyFont="1" applyFill="1" applyBorder="1" applyAlignment="1">
      <alignment horizontal="center"/>
    </xf>
    <xf numFmtId="0" fontId="24" fillId="0" borderId="1" xfId="12" applyFont="1" applyFill="1" applyBorder="1" applyAlignment="1">
      <alignment horizontal="center" vertical="center" wrapText="1"/>
    </xf>
    <xf numFmtId="0" fontId="23" fillId="0" borderId="1" xfId="3" applyFont="1" applyBorder="1" applyAlignment="1"/>
    <xf numFmtId="0" fontId="24" fillId="0" borderId="0" xfId="11" applyFont="1" applyFill="1" applyBorder="1" applyAlignment="1">
      <alignment horizontal="center" vertical="center"/>
    </xf>
    <xf numFmtId="0" fontId="25" fillId="0" borderId="0" xfId="13" applyFont="1" applyAlignment="1">
      <alignment vertical="center"/>
    </xf>
    <xf numFmtId="0" fontId="22" fillId="9" borderId="0" xfId="14" applyFont="1" applyFill="1">
      <alignment vertical="center"/>
    </xf>
    <xf numFmtId="0" fontId="22" fillId="9" borderId="0" xfId="14" applyFont="1" applyFill="1" applyBorder="1" applyAlignment="1">
      <alignment vertical="center"/>
    </xf>
    <xf numFmtId="0" fontId="25" fillId="0" borderId="0" xfId="14" applyFont="1" applyFill="1">
      <alignment vertical="center"/>
    </xf>
    <xf numFmtId="0" fontId="25" fillId="0" borderId="0" xfId="14" applyFont="1">
      <alignment vertical="center"/>
    </xf>
    <xf numFmtId="0" fontId="25" fillId="0" borderId="1" xfId="14" applyFont="1" applyBorder="1" applyAlignment="1">
      <alignment horizontal="center" vertical="center"/>
    </xf>
    <xf numFmtId="0" fontId="25" fillId="10" borderId="1" xfId="14" applyFont="1" applyFill="1" applyBorder="1" applyAlignment="1">
      <alignment horizontal="center" vertical="center"/>
    </xf>
    <xf numFmtId="0" fontId="25" fillId="0" borderId="1" xfId="14" applyFont="1" applyFill="1" applyBorder="1" applyAlignment="1">
      <alignment horizontal="center" vertical="center"/>
    </xf>
    <xf numFmtId="0" fontId="25" fillId="0" borderId="1" xfId="14" applyFont="1" applyFill="1" applyBorder="1">
      <alignment vertical="center"/>
    </xf>
    <xf numFmtId="0" fontId="25" fillId="11" borderId="1" xfId="14" applyFont="1" applyFill="1" applyBorder="1" applyAlignment="1">
      <alignment horizontal="center" vertical="center"/>
    </xf>
    <xf numFmtId="0" fontId="22" fillId="9" borderId="1" xfId="14" applyFont="1" applyFill="1" applyBorder="1">
      <alignment vertical="center"/>
    </xf>
    <xf numFmtId="0" fontId="26" fillId="10" borderId="1" xfId="3" applyFont="1" applyFill="1" applyBorder="1" applyAlignment="1">
      <alignment horizontal="center" vertical="center"/>
    </xf>
    <xf numFmtId="0" fontId="26" fillId="0" borderId="0" xfId="3" applyFont="1">
      <alignment vertical="center"/>
    </xf>
    <xf numFmtId="0" fontId="19" fillId="9" borderId="1" xfId="3" applyFont="1" applyFill="1" applyBorder="1" applyAlignment="1">
      <alignment horizontal="center" vertical="center"/>
    </xf>
    <xf numFmtId="0" fontId="26" fillId="0" borderId="1" xfId="3" applyFont="1" applyBorder="1" applyAlignment="1">
      <alignment horizontal="center" vertical="center"/>
    </xf>
    <xf numFmtId="0" fontId="26" fillId="0" borderId="1" xfId="3" applyFont="1" applyBorder="1" applyAlignment="1">
      <alignment vertical="center"/>
    </xf>
    <xf numFmtId="0" fontId="26" fillId="0" borderId="1" xfId="3" applyFont="1" applyBorder="1">
      <alignment vertical="center"/>
    </xf>
    <xf numFmtId="0" fontId="26" fillId="0" borderId="1" xfId="3" applyFont="1" applyFill="1" applyBorder="1" applyAlignment="1">
      <alignment horizontal="center" vertical="center"/>
    </xf>
    <xf numFmtId="0" fontId="26" fillId="0" borderId="1" xfId="3" applyNumberFormat="1" applyFont="1" applyBorder="1">
      <alignment vertical="center"/>
    </xf>
    <xf numFmtId="180" fontId="26" fillId="0" borderId="1" xfId="3" applyNumberFormat="1" applyFont="1" applyBorder="1">
      <alignment vertical="center"/>
    </xf>
    <xf numFmtId="0" fontId="19" fillId="9" borderId="17" xfId="3" applyFont="1" applyFill="1" applyBorder="1" applyAlignment="1">
      <alignment horizontal="left" vertical="center"/>
    </xf>
    <xf numFmtId="0" fontId="19" fillId="9" borderId="0" xfId="3" applyFont="1" applyFill="1" applyBorder="1" applyAlignment="1">
      <alignment vertical="center"/>
    </xf>
    <xf numFmtId="0" fontId="19" fillId="9" borderId="0" xfId="3" applyFont="1" applyFill="1" applyBorder="1" applyAlignment="1">
      <alignment horizontal="center" vertical="center"/>
    </xf>
    <xf numFmtId="0" fontId="19" fillId="9" borderId="0" xfId="3" applyFont="1" applyFill="1" applyBorder="1">
      <alignment vertical="center"/>
    </xf>
    <xf numFmtId="0" fontId="19" fillId="9" borderId="0" xfId="3" applyFont="1" applyFill="1" applyBorder="1" applyAlignment="1">
      <alignment horizontal="left" vertical="center"/>
    </xf>
    <xf numFmtId="0" fontId="26" fillId="0" borderId="0" xfId="3" applyFont="1" applyBorder="1">
      <alignment vertical="center"/>
    </xf>
    <xf numFmtId="180" fontId="26" fillId="10" borderId="7" xfId="3" applyNumberFormat="1" applyFont="1" applyFill="1" applyBorder="1">
      <alignment vertical="center"/>
    </xf>
    <xf numFmtId="0" fontId="26" fillId="10" borderId="4" xfId="3" applyFont="1" applyFill="1" applyBorder="1" applyAlignment="1">
      <alignment horizontal="center" vertical="center"/>
    </xf>
    <xf numFmtId="0" fontId="26" fillId="0" borderId="0" xfId="3" applyFont="1" applyBorder="1" applyAlignment="1">
      <alignment horizontal="center" vertical="center"/>
    </xf>
    <xf numFmtId="0" fontId="26" fillId="0" borderId="0" xfId="3" applyFont="1" applyFill="1">
      <alignment vertical="center"/>
    </xf>
    <xf numFmtId="41" fontId="26" fillId="0" borderId="0" xfId="3" applyNumberFormat="1" applyFont="1">
      <alignment vertical="center"/>
    </xf>
    <xf numFmtId="180" fontId="26" fillId="0" borderId="1" xfId="15" applyNumberFormat="1" applyFont="1" applyFill="1" applyBorder="1">
      <alignment vertical="center"/>
    </xf>
    <xf numFmtId="41" fontId="26" fillId="0" borderId="0" xfId="3" quotePrefix="1" applyNumberFormat="1" applyFont="1">
      <alignment vertical="center"/>
    </xf>
    <xf numFmtId="0" fontId="26" fillId="0" borderId="1" xfId="3" applyFont="1" applyFill="1" applyBorder="1">
      <alignment vertical="center"/>
    </xf>
    <xf numFmtId="180" fontId="26" fillId="10" borderId="1" xfId="3" applyNumberFormat="1" applyFont="1" applyFill="1" applyBorder="1">
      <alignment vertical="center"/>
    </xf>
    <xf numFmtId="180" fontId="26" fillId="0" borderId="0" xfId="3" applyNumberFormat="1" applyFont="1">
      <alignment vertical="center"/>
    </xf>
    <xf numFmtId="0" fontId="27" fillId="9" borderId="0" xfId="14" applyFont="1" applyFill="1">
      <alignment vertical="center"/>
    </xf>
    <xf numFmtId="0" fontId="25" fillId="0" borderId="0" xfId="14" applyFont="1" applyAlignment="1">
      <alignment vertical="center"/>
    </xf>
    <xf numFmtId="0" fontId="27" fillId="9" borderId="0" xfId="14" applyFont="1" applyFill="1" applyAlignment="1">
      <alignment vertical="center"/>
    </xf>
    <xf numFmtId="180" fontId="25" fillId="0" borderId="1" xfId="14" applyNumberFormat="1" applyFont="1" applyBorder="1">
      <alignment vertical="center"/>
    </xf>
    <xf numFmtId="0" fontId="25" fillId="0" borderId="1" xfId="14" applyFont="1" applyBorder="1">
      <alignment vertical="center"/>
    </xf>
    <xf numFmtId="0" fontId="25" fillId="0" borderId="2" xfId="14" applyFont="1" applyBorder="1" applyAlignment="1">
      <alignment horizontal="center" vertical="center"/>
    </xf>
    <xf numFmtId="0" fontId="25" fillId="0" borderId="2" xfId="14" applyFont="1" applyBorder="1">
      <alignment vertical="center"/>
    </xf>
    <xf numFmtId="0" fontId="27" fillId="9" borderId="1" xfId="14" applyFont="1" applyFill="1" applyBorder="1" applyAlignment="1">
      <alignment horizontal="center" vertical="center"/>
    </xf>
    <xf numFmtId="180" fontId="25" fillId="10" borderId="1" xfId="14" applyNumberFormat="1" applyFont="1" applyFill="1" applyBorder="1">
      <alignment vertical="center"/>
    </xf>
    <xf numFmtId="0" fontId="27" fillId="9" borderId="17" xfId="14" applyFont="1" applyFill="1" applyBorder="1" applyAlignment="1">
      <alignment vertical="center"/>
    </xf>
    <xf numFmtId="0" fontId="27" fillId="9" borderId="0" xfId="14" applyFont="1" applyFill="1" applyBorder="1" applyAlignment="1">
      <alignment vertical="center"/>
    </xf>
    <xf numFmtId="0" fontId="25" fillId="10" borderId="7" xfId="14" applyFont="1" applyFill="1" applyBorder="1" applyAlignment="1">
      <alignment vertical="center"/>
    </xf>
    <xf numFmtId="0" fontId="27" fillId="0" borderId="0" xfId="14" applyFont="1" applyFill="1" applyBorder="1" applyAlignment="1">
      <alignment vertical="center"/>
    </xf>
    <xf numFmtId="0" fontId="25" fillId="10" borderId="5" xfId="14" applyFont="1" applyFill="1" applyBorder="1" applyAlignment="1">
      <alignment horizontal="center" vertical="center"/>
    </xf>
    <xf numFmtId="0" fontId="25" fillId="0" borderId="5" xfId="14" applyFont="1" applyFill="1" applyBorder="1" applyAlignment="1">
      <alignment horizontal="center" vertical="center"/>
    </xf>
    <xf numFmtId="0" fontId="25" fillId="0" borderId="1" xfId="15" applyNumberFormat="1" applyFont="1" applyFill="1" applyBorder="1">
      <alignment vertical="center"/>
    </xf>
    <xf numFmtId="0" fontId="25" fillId="10" borderId="2" xfId="14" applyFont="1" applyFill="1" applyBorder="1">
      <alignment vertical="center"/>
    </xf>
    <xf numFmtId="0" fontId="25" fillId="0" borderId="18" xfId="14" applyFont="1" applyBorder="1">
      <alignment vertical="center"/>
    </xf>
    <xf numFmtId="0" fontId="0" fillId="4" borderId="1" xfId="0" applyFill="1" applyBorder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/>
    <xf numFmtId="179" fontId="4" fillId="0" borderId="2" xfId="0" applyNumberFormat="1" applyFont="1" applyFill="1" applyBorder="1" applyAlignment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/>
    <xf numFmtId="179" fontId="4" fillId="0" borderId="3" xfId="0" applyNumberFormat="1" applyFont="1" applyFill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/>
    <xf numFmtId="179" fontId="4" fillId="0" borderId="3" xfId="0" applyNumberFormat="1" applyFont="1" applyBorder="1" applyAlignment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/>
    <xf numFmtId="179" fontId="4" fillId="0" borderId="4" xfId="0" applyNumberFormat="1" applyFont="1" applyBorder="1" applyAlignment="1"/>
    <xf numFmtId="0" fontId="4" fillId="6" borderId="1" xfId="0" applyFont="1" applyFill="1" applyBorder="1" applyAlignment="1"/>
    <xf numFmtId="0" fontId="6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6" borderId="5" xfId="0" quotePrefix="1" applyFill="1" applyBorder="1" applyAlignment="1">
      <alignment vertical="center"/>
    </xf>
    <xf numFmtId="0" fontId="0" fillId="6" borderId="7" xfId="0" applyFont="1" applyFill="1" applyBorder="1" applyAlignment="1">
      <alignment vertical="center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179" fontId="0" fillId="6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179" fontId="0" fillId="6" borderId="5" xfId="0" applyNumberFormat="1" applyFont="1" applyFill="1" applyBorder="1" applyAlignment="1">
      <alignment vertical="center"/>
    </xf>
    <xf numFmtId="179" fontId="0" fillId="6" borderId="7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6" borderId="7" xfId="0" quotePrefix="1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181" fontId="0" fillId="4" borderId="5" xfId="0" applyNumberFormat="1" applyFill="1" applyBorder="1" applyAlignment="1">
      <alignment vertical="center"/>
    </xf>
    <xf numFmtId="181" fontId="0" fillId="4" borderId="7" xfId="0" applyNumberFormat="1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181" fontId="18" fillId="9" borderId="1" xfId="3" quotePrefix="1" applyNumberFormat="1" applyFont="1" applyFill="1" applyBorder="1" applyAlignment="1">
      <alignment horizontal="right" vertical="center"/>
    </xf>
    <xf numFmtId="0" fontId="1" fillId="0" borderId="0" xfId="3" applyAlignment="1">
      <alignment horizontal="center" vertical="center"/>
    </xf>
    <xf numFmtId="0" fontId="1" fillId="0" borderId="16" xfId="3" applyBorder="1" applyAlignment="1">
      <alignment horizontal="center" vertical="center"/>
    </xf>
    <xf numFmtId="0" fontId="1" fillId="0" borderId="14" xfId="3" applyBorder="1" applyAlignment="1">
      <alignment horizontal="center" vertical="center"/>
    </xf>
    <xf numFmtId="0" fontId="1" fillId="0" borderId="15" xfId="3" applyBorder="1" applyAlignment="1">
      <alignment horizontal="center" vertical="center"/>
    </xf>
    <xf numFmtId="181" fontId="18" fillId="9" borderId="1" xfId="3" applyNumberFormat="1" applyFont="1" applyFill="1" applyBorder="1" applyAlignment="1">
      <alignment vertical="center"/>
    </xf>
    <xf numFmtId="0" fontId="1" fillId="0" borderId="0" xfId="3" applyBorder="1" applyAlignment="1">
      <alignment horizontal="center" vertical="center"/>
    </xf>
    <xf numFmtId="0" fontId="22" fillId="9" borderId="0" xfId="13" applyFont="1" applyFill="1" applyBorder="1" applyAlignment="1">
      <alignment vertical="center" wrapText="1"/>
    </xf>
    <xf numFmtId="0" fontId="22" fillId="9" borderId="0" xfId="13" applyFont="1" applyFill="1" applyBorder="1" applyAlignment="1">
      <alignment vertical="center"/>
    </xf>
    <xf numFmtId="0" fontId="22" fillId="9" borderId="8" xfId="13" applyFont="1" applyFill="1" applyBorder="1" applyAlignment="1">
      <alignment vertical="center"/>
    </xf>
    <xf numFmtId="0" fontId="22" fillId="9" borderId="8" xfId="13" applyFont="1" applyFill="1" applyBorder="1" applyAlignment="1">
      <alignment horizontal="center" vertical="center"/>
    </xf>
    <xf numFmtId="0" fontId="22" fillId="9" borderId="8" xfId="3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0" fontId="15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7" xfId="0" applyFont="1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25" fillId="0" borderId="5" xfId="14" applyFont="1" applyBorder="1" applyAlignment="1">
      <alignment vertical="center"/>
    </xf>
    <xf numFmtId="0" fontId="25" fillId="0" borderId="7" xfId="14" applyFont="1" applyBorder="1" applyAlignment="1">
      <alignment vertical="center"/>
    </xf>
    <xf numFmtId="0" fontId="19" fillId="9" borderId="0" xfId="3" applyFont="1" applyFill="1" applyBorder="1" applyAlignment="1">
      <alignment horizontal="center" vertical="center"/>
    </xf>
    <xf numFmtId="0" fontId="19" fillId="9" borderId="1" xfId="3" applyFont="1" applyFill="1" applyBorder="1" applyAlignment="1">
      <alignment horizontal="left" vertical="center"/>
    </xf>
    <xf numFmtId="0" fontId="27" fillId="9" borderId="14" xfId="14" applyFont="1" applyFill="1" applyBorder="1" applyAlignment="1">
      <alignment horizontal="center" vertical="center"/>
    </xf>
    <xf numFmtId="0" fontId="27" fillId="9" borderId="15" xfId="14" applyFont="1" applyFill="1" applyBorder="1" applyAlignment="1">
      <alignment horizontal="center" vertical="center"/>
    </xf>
    <xf numFmtId="0" fontId="27" fillId="9" borderId="2" xfId="14" applyFont="1" applyFill="1" applyBorder="1" applyAlignment="1">
      <alignment horizontal="center" vertical="center"/>
    </xf>
    <xf numFmtId="0" fontId="25" fillId="0" borderId="5" xfId="14" quotePrefix="1" applyFont="1" applyFill="1" applyBorder="1" applyAlignment="1">
      <alignment vertical="center" wrapText="1"/>
    </xf>
    <xf numFmtId="0" fontId="25" fillId="0" borderId="6" xfId="14" applyFont="1" applyFill="1" applyBorder="1" applyAlignment="1">
      <alignment vertical="center" wrapText="1"/>
    </xf>
    <xf numFmtId="0" fontId="25" fillId="0" borderId="7" xfId="14" applyFont="1" applyFill="1" applyBorder="1" applyAlignment="1">
      <alignment vertical="center" wrapText="1"/>
    </xf>
    <xf numFmtId="0" fontId="25" fillId="0" borderId="5" xfId="14" quotePrefix="1" applyFont="1" applyBorder="1" applyAlignment="1">
      <alignment horizontal="left" vertical="center"/>
    </xf>
    <xf numFmtId="0" fontId="25" fillId="0" borderId="6" xfId="14" applyFont="1" applyBorder="1" applyAlignment="1">
      <alignment horizontal="left" vertical="center"/>
    </xf>
    <xf numFmtId="0" fontId="25" fillId="0" borderId="7" xfId="14" applyFont="1" applyBorder="1" applyAlignment="1">
      <alignment horizontal="left" vertical="center"/>
    </xf>
    <xf numFmtId="180" fontId="0" fillId="6" borderId="1" xfId="0" quotePrefix="1" applyNumberFormat="1" applyFill="1" applyBorder="1" applyAlignment="1">
      <alignment horizontal="center" vertical="center"/>
    </xf>
  </cellXfs>
  <cellStyles count="16">
    <cellStyle name="백분율" xfId="1" builtinId="5"/>
    <cellStyle name="백분율 2" xfId="4"/>
    <cellStyle name="쉼표 [0]" xfId="2" builtinId="6"/>
    <cellStyle name="쉼표 [0] 2" xfId="5"/>
    <cellStyle name="쉼표 [0] 3" xfId="6"/>
    <cellStyle name="쉼표 [0] 4" xfId="7"/>
    <cellStyle name="쉼표 [0] 5" xfId="15"/>
    <cellStyle name="통화 [0] 2" xfId="8"/>
    <cellStyle name="표준" xfId="0" builtinId="0"/>
    <cellStyle name="표준 2" xfId="3"/>
    <cellStyle name="표준 2 2" xfId="14"/>
    <cellStyle name="표준 3" xfId="9"/>
    <cellStyle name="표준 4" xfId="10"/>
    <cellStyle name="표준_Sheet9" xfId="11"/>
    <cellStyle name="표준_레미콘_출하" xfId="12"/>
    <cellStyle name="표준_패턴06_정답" xfId="13"/>
  </cellStyles>
  <dxfs count="0"/>
  <tableStyles count="0" defaultTableStyle="TableStyleMedium9" defaultPivotStyle="PivotStyleLight16"/>
  <colors>
    <mruColors>
      <color rgb="FFCC99FF"/>
      <color rgb="FFE9C2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C13" sqref="C13"/>
    </sheetView>
  </sheetViews>
  <sheetFormatPr defaultRowHeight="13.5"/>
  <cols>
    <col min="1" max="1" width="9.33203125" customWidth="1"/>
    <col min="2" max="2" width="8.21875" bestFit="1" customWidth="1"/>
    <col min="3" max="4" width="10.33203125" bestFit="1" customWidth="1"/>
    <col min="5" max="5" width="11.5546875" customWidth="1"/>
  </cols>
  <sheetData>
    <row r="1" spans="1:5">
      <c r="A1" s="307" t="s">
        <v>0</v>
      </c>
      <c r="B1" s="307"/>
      <c r="C1" s="307"/>
      <c r="D1" s="307"/>
      <c r="E1" s="307"/>
    </row>
    <row r="2" spans="1:5">
      <c r="E2" s="25" t="s">
        <v>1</v>
      </c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89" t="s">
        <v>79</v>
      </c>
    </row>
    <row r="4" spans="1:5">
      <c r="A4" s="2" t="s">
        <v>6</v>
      </c>
      <c r="B4" s="5">
        <v>3382</v>
      </c>
      <c r="C4" s="5">
        <v>3299</v>
      </c>
      <c r="D4" s="5">
        <f>B4-C4</f>
        <v>83</v>
      </c>
      <c r="E4" s="90">
        <f>SUM(B4:D4)</f>
        <v>6764</v>
      </c>
    </row>
    <row r="5" spans="1:5">
      <c r="A5" s="2" t="s">
        <v>7</v>
      </c>
      <c r="B5" s="5">
        <v>2290</v>
      </c>
      <c r="C5" s="5">
        <v>1567</v>
      </c>
      <c r="D5" s="5">
        <f t="shared" ref="D5:D10" si="0">B5-C5</f>
        <v>723</v>
      </c>
      <c r="E5" s="90">
        <f t="shared" ref="E5:E10" si="1">SUM(B5:D5)</f>
        <v>4580</v>
      </c>
    </row>
    <row r="6" spans="1:5">
      <c r="A6" s="2" t="s">
        <v>8</v>
      </c>
      <c r="B6" s="5">
        <v>3457</v>
      </c>
      <c r="C6" s="5">
        <v>3420</v>
      </c>
      <c r="D6" s="5">
        <f t="shared" si="0"/>
        <v>37</v>
      </c>
      <c r="E6" s="90">
        <f t="shared" si="1"/>
        <v>6914</v>
      </c>
    </row>
    <row r="7" spans="1:5">
      <c r="A7" s="2" t="s">
        <v>9</v>
      </c>
      <c r="B7" s="5">
        <v>1578</v>
      </c>
      <c r="C7" s="5">
        <v>1578</v>
      </c>
      <c r="D7" s="5">
        <f t="shared" si="0"/>
        <v>0</v>
      </c>
      <c r="E7" s="90">
        <f t="shared" si="1"/>
        <v>3156</v>
      </c>
    </row>
    <row r="8" spans="1:5">
      <c r="A8" s="2" t="s">
        <v>10</v>
      </c>
      <c r="B8" s="5">
        <v>2106</v>
      </c>
      <c r="C8" s="5">
        <v>2000</v>
      </c>
      <c r="D8" s="5">
        <f t="shared" si="0"/>
        <v>106</v>
      </c>
      <c r="E8" s="90">
        <f t="shared" si="1"/>
        <v>4212</v>
      </c>
    </row>
    <row r="9" spans="1:5">
      <c r="A9" s="2" t="s">
        <v>11</v>
      </c>
      <c r="B9" s="5">
        <v>4250</v>
      </c>
      <c r="C9" s="5">
        <v>4239</v>
      </c>
      <c r="D9" s="5">
        <f t="shared" si="0"/>
        <v>11</v>
      </c>
      <c r="E9" s="90">
        <f t="shared" si="1"/>
        <v>8500</v>
      </c>
    </row>
    <row r="10" spans="1:5">
      <c r="A10" s="2" t="s">
        <v>12</v>
      </c>
      <c r="B10" s="6">
        <v>2350</v>
      </c>
      <c r="C10" s="6">
        <v>2278</v>
      </c>
      <c r="D10" s="5">
        <f t="shared" si="0"/>
        <v>72</v>
      </c>
      <c r="E10" s="90">
        <f t="shared" si="1"/>
        <v>4700</v>
      </c>
    </row>
    <row r="15" spans="1:5">
      <c r="A15" s="196" t="s">
        <v>301</v>
      </c>
    </row>
    <row r="17" spans="1:5">
      <c r="A17" s="307" t="s">
        <v>302</v>
      </c>
      <c r="B17" s="307"/>
      <c r="C17" s="307"/>
      <c r="D17" s="307"/>
      <c r="E17" s="307"/>
    </row>
    <row r="19" spans="1:5">
      <c r="A19" s="16" t="s">
        <v>286</v>
      </c>
      <c r="B19" s="16" t="s">
        <v>287</v>
      </c>
      <c r="C19" s="16" t="s">
        <v>288</v>
      </c>
      <c r="D19" s="16" t="s">
        <v>289</v>
      </c>
      <c r="E19" s="16" t="s">
        <v>290</v>
      </c>
    </row>
    <row r="20" spans="1:5">
      <c r="A20" s="16">
        <v>3212</v>
      </c>
      <c r="B20" s="16" t="s">
        <v>291</v>
      </c>
      <c r="C20" s="88">
        <v>93680</v>
      </c>
      <c r="D20" s="88">
        <v>58000</v>
      </c>
      <c r="E20" s="88">
        <v>623680</v>
      </c>
    </row>
    <row r="21" spans="1:5">
      <c r="A21" s="16">
        <v>9248</v>
      </c>
      <c r="B21" s="16" t="s">
        <v>292</v>
      </c>
      <c r="C21" s="88">
        <v>84460</v>
      </c>
      <c r="D21" s="88">
        <v>65000</v>
      </c>
      <c r="E21" s="88">
        <v>671460</v>
      </c>
    </row>
    <row r="22" spans="1:5">
      <c r="A22" s="16">
        <v>2278</v>
      </c>
      <c r="B22" s="16" t="s">
        <v>293</v>
      </c>
      <c r="C22" s="88">
        <v>57940</v>
      </c>
      <c r="D22" s="88">
        <v>72000</v>
      </c>
      <c r="E22" s="88">
        <v>713940</v>
      </c>
    </row>
    <row r="23" spans="1:5">
      <c r="A23" s="16">
        <v>5678</v>
      </c>
      <c r="B23" s="16" t="s">
        <v>294</v>
      </c>
      <c r="C23" s="88">
        <v>93040</v>
      </c>
      <c r="D23" s="88">
        <v>77000</v>
      </c>
      <c r="E23" s="88">
        <v>793040</v>
      </c>
    </row>
    <row r="24" spans="1:5">
      <c r="A24" s="16">
        <v>6794</v>
      </c>
      <c r="B24" s="16" t="s">
        <v>295</v>
      </c>
      <c r="C24" s="88">
        <v>101860</v>
      </c>
      <c r="D24" s="88">
        <v>85000</v>
      </c>
      <c r="E24" s="88">
        <v>869860</v>
      </c>
    </row>
    <row r="25" spans="1:5">
      <c r="A25" s="16">
        <v>3379</v>
      </c>
      <c r="B25" s="16" t="s">
        <v>296</v>
      </c>
      <c r="C25" s="88">
        <v>129350</v>
      </c>
      <c r="D25" s="88">
        <v>86000</v>
      </c>
      <c r="E25" s="88">
        <v>910350</v>
      </c>
    </row>
    <row r="26" spans="1:5">
      <c r="A26" s="16">
        <v>5730</v>
      </c>
      <c r="B26" s="16" t="s">
        <v>297</v>
      </c>
      <c r="C26" s="88">
        <v>176760</v>
      </c>
      <c r="D26" s="88">
        <v>98000</v>
      </c>
      <c r="E26" s="88">
        <v>1065760</v>
      </c>
    </row>
    <row r="27" spans="1:5">
      <c r="A27" s="16">
        <v>1235</v>
      </c>
      <c r="B27" s="16" t="s">
        <v>298</v>
      </c>
      <c r="C27" s="88">
        <v>145650</v>
      </c>
      <c r="D27" s="88">
        <v>112000</v>
      </c>
      <c r="E27" s="88">
        <v>1158650</v>
      </c>
    </row>
    <row r="28" spans="1:5">
      <c r="A28" s="16">
        <v>7935</v>
      </c>
      <c r="B28" s="16" t="s">
        <v>299</v>
      </c>
      <c r="C28" s="88">
        <v>105780</v>
      </c>
      <c r="D28" s="88">
        <v>132000</v>
      </c>
      <c r="E28" s="88">
        <v>1299780</v>
      </c>
    </row>
    <row r="29" spans="1:5">
      <c r="A29" s="308" t="s">
        <v>300</v>
      </c>
      <c r="B29" s="309"/>
      <c r="C29" s="91">
        <f t="shared" ref="C29:E29" si="2">SUM(C20:C28)</f>
        <v>988520</v>
      </c>
      <c r="D29" s="91">
        <f t="shared" si="2"/>
        <v>785000</v>
      </c>
      <c r="E29" s="91">
        <f t="shared" si="2"/>
        <v>8106520</v>
      </c>
    </row>
  </sheetData>
  <mergeCells count="3">
    <mergeCell ref="A1:E1"/>
    <mergeCell ref="A29:B29"/>
    <mergeCell ref="A17:E17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B26" sqref="B26:D26"/>
    </sheetView>
  </sheetViews>
  <sheetFormatPr defaultRowHeight="13.5"/>
  <cols>
    <col min="1" max="1" width="10.21875" customWidth="1"/>
    <col min="2" max="2" width="8.33203125" bestFit="1" customWidth="1"/>
    <col min="3" max="3" width="8.109375" bestFit="1" customWidth="1"/>
    <col min="4" max="4" width="12.109375" bestFit="1" customWidth="1"/>
  </cols>
  <sheetData>
    <row r="1" spans="1:4">
      <c r="A1" s="310" t="s">
        <v>46</v>
      </c>
      <c r="B1" s="310"/>
      <c r="C1" s="310"/>
      <c r="D1" s="310"/>
    </row>
    <row r="2" spans="1:4">
      <c r="A2" s="87"/>
      <c r="B2" s="87"/>
      <c r="C2" s="87"/>
      <c r="D2" s="87"/>
    </row>
    <row r="3" spans="1:4">
      <c r="A3" s="2" t="s">
        <v>16</v>
      </c>
      <c r="B3" s="2" t="s">
        <v>57</v>
      </c>
      <c r="C3" s="2" t="s">
        <v>37</v>
      </c>
      <c r="D3" s="2" t="s">
        <v>58</v>
      </c>
    </row>
    <row r="4" spans="1:4">
      <c r="A4" s="2" t="s">
        <v>59</v>
      </c>
      <c r="B4" s="92">
        <v>67</v>
      </c>
      <c r="C4" s="92">
        <v>97</v>
      </c>
      <c r="D4" s="92">
        <v>89</v>
      </c>
    </row>
    <row r="5" spans="1:4">
      <c r="A5" s="2" t="s">
        <v>60</v>
      </c>
      <c r="B5" s="92">
        <v>45</v>
      </c>
      <c r="C5" s="92">
        <v>78</v>
      </c>
      <c r="D5" s="92">
        <v>92</v>
      </c>
    </row>
    <row r="6" spans="1:4">
      <c r="A6" s="2" t="s">
        <v>61</v>
      </c>
      <c r="B6" s="92">
        <v>98</v>
      </c>
      <c r="C6" s="92">
        <v>89</v>
      </c>
      <c r="D6" s="92">
        <v>45</v>
      </c>
    </row>
    <row r="7" spans="1:4">
      <c r="A7" s="2" t="s">
        <v>62</v>
      </c>
      <c r="B7" s="92">
        <v>100</v>
      </c>
      <c r="C7" s="92">
        <v>90</v>
      </c>
      <c r="D7" s="92">
        <v>98</v>
      </c>
    </row>
    <row r="8" spans="1:4">
      <c r="A8" s="4" t="s">
        <v>30</v>
      </c>
      <c r="B8" s="93">
        <f t="shared" ref="B8:D8" si="0">AVERAGE(B4:B7)</f>
        <v>77.5</v>
      </c>
      <c r="C8" s="93">
        <f t="shared" si="0"/>
        <v>88.5</v>
      </c>
      <c r="D8" s="93">
        <f t="shared" si="0"/>
        <v>81</v>
      </c>
    </row>
    <row r="11" spans="1:4">
      <c r="A11" s="196" t="s">
        <v>301</v>
      </c>
    </row>
    <row r="12" spans="1:4">
      <c r="A12" s="40"/>
    </row>
    <row r="13" spans="1:4">
      <c r="A13" s="313" t="s">
        <v>318</v>
      </c>
      <c r="B13" s="313"/>
      <c r="C13" s="313"/>
      <c r="D13" s="313"/>
    </row>
    <row r="15" spans="1:4">
      <c r="A15" s="311" t="s">
        <v>303</v>
      </c>
      <c r="B15" s="311" t="s">
        <v>304</v>
      </c>
      <c r="C15" s="308" t="s">
        <v>305</v>
      </c>
      <c r="D15" s="309"/>
    </row>
    <row r="16" spans="1:4">
      <c r="A16" s="312"/>
      <c r="B16" s="312"/>
      <c r="C16" s="7" t="s">
        <v>306</v>
      </c>
      <c r="D16" s="7" t="s">
        <v>307</v>
      </c>
    </row>
    <row r="17" spans="1:4">
      <c r="A17" s="7" t="s">
        <v>308</v>
      </c>
      <c r="B17" s="88">
        <v>2000</v>
      </c>
      <c r="C17" s="16">
        <v>1700</v>
      </c>
      <c r="D17" s="88">
        <v>3400000</v>
      </c>
    </row>
    <row r="18" spans="1:4">
      <c r="A18" s="7" t="s">
        <v>309</v>
      </c>
      <c r="B18" s="88">
        <v>2800</v>
      </c>
      <c r="C18" s="16">
        <v>1650</v>
      </c>
      <c r="D18" s="88">
        <v>4620000</v>
      </c>
    </row>
    <row r="19" spans="1:4">
      <c r="A19" s="7" t="s">
        <v>310</v>
      </c>
      <c r="B19" s="88">
        <v>4500</v>
      </c>
      <c r="C19" s="16">
        <v>1250</v>
      </c>
      <c r="D19" s="88">
        <v>5625000</v>
      </c>
    </row>
    <row r="20" spans="1:4">
      <c r="A20" s="7" t="s">
        <v>311</v>
      </c>
      <c r="B20" s="88">
        <v>4000</v>
      </c>
      <c r="C20" s="16">
        <v>750</v>
      </c>
      <c r="D20" s="88">
        <v>3000000</v>
      </c>
    </row>
    <row r="21" spans="1:4">
      <c r="A21" s="7" t="s">
        <v>312</v>
      </c>
      <c r="B21" s="88">
        <v>3000</v>
      </c>
      <c r="C21" s="16">
        <v>500</v>
      </c>
      <c r="D21" s="88">
        <v>1500000</v>
      </c>
    </row>
    <row r="22" spans="1:4">
      <c r="A22" s="7" t="s">
        <v>313</v>
      </c>
      <c r="B22" s="88">
        <v>1000</v>
      </c>
      <c r="C22" s="16">
        <v>500</v>
      </c>
      <c r="D22" s="88">
        <v>500000</v>
      </c>
    </row>
    <row r="23" spans="1:4">
      <c r="A23" s="7" t="s">
        <v>314</v>
      </c>
      <c r="B23" s="88">
        <v>3000</v>
      </c>
      <c r="C23" s="16">
        <v>700</v>
      </c>
      <c r="D23" s="88">
        <v>2100000</v>
      </c>
    </row>
    <row r="24" spans="1:4">
      <c r="A24" s="7" t="s">
        <v>315</v>
      </c>
      <c r="B24" s="88">
        <v>4000</v>
      </c>
      <c r="C24" s="16">
        <v>500</v>
      </c>
      <c r="D24" s="88">
        <v>2000000</v>
      </c>
    </row>
    <row r="25" spans="1:4">
      <c r="A25" s="7" t="s">
        <v>316</v>
      </c>
      <c r="B25" s="88">
        <v>2000</v>
      </c>
      <c r="C25" s="16">
        <v>300</v>
      </c>
      <c r="D25" s="88">
        <v>600000</v>
      </c>
    </row>
    <row r="26" spans="1:4">
      <c r="A26" s="7" t="s">
        <v>317</v>
      </c>
      <c r="B26" s="91">
        <f t="shared" ref="B26:D26" si="1">AVERAGE(B17:B25)</f>
        <v>2922.2222222222222</v>
      </c>
      <c r="C26" s="91">
        <f t="shared" si="1"/>
        <v>872.22222222222217</v>
      </c>
      <c r="D26" s="91">
        <f t="shared" si="1"/>
        <v>2593888.888888889</v>
      </c>
    </row>
  </sheetData>
  <mergeCells count="5">
    <mergeCell ref="A1:D1"/>
    <mergeCell ref="A15:A16"/>
    <mergeCell ref="B15:B16"/>
    <mergeCell ref="C15:D15"/>
    <mergeCell ref="A13:D13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32" sqref="A32:D32"/>
    </sheetView>
  </sheetViews>
  <sheetFormatPr defaultRowHeight="13.5"/>
  <cols>
    <col min="1" max="1" width="9.33203125" customWidth="1"/>
    <col min="2" max="2" width="10.5546875" customWidth="1"/>
    <col min="3" max="3" width="8.6640625" customWidth="1"/>
    <col min="4" max="4" width="12.5546875" customWidth="1"/>
  </cols>
  <sheetData>
    <row r="1" spans="1:4">
      <c r="A1" s="315" t="s">
        <v>47</v>
      </c>
      <c r="B1" s="315"/>
      <c r="C1" s="315"/>
      <c r="D1" s="315"/>
    </row>
    <row r="2" spans="1:4">
      <c r="A2" s="9" t="s">
        <v>13</v>
      </c>
      <c r="B2" s="9" t="s">
        <v>48</v>
      </c>
      <c r="C2" s="9" t="s">
        <v>49</v>
      </c>
      <c r="D2" s="9" t="s">
        <v>50</v>
      </c>
    </row>
    <row r="3" spans="1:4">
      <c r="A3" s="10" t="s">
        <v>51</v>
      </c>
      <c r="B3" s="11">
        <v>77</v>
      </c>
      <c r="C3" s="11">
        <v>98</v>
      </c>
      <c r="D3" s="11">
        <v>83</v>
      </c>
    </row>
    <row r="4" spans="1:4">
      <c r="A4" s="10" t="s">
        <v>52</v>
      </c>
      <c r="B4" s="11">
        <v>100</v>
      </c>
      <c r="C4" s="11">
        <v>88</v>
      </c>
      <c r="D4" s="11">
        <v>99</v>
      </c>
    </row>
    <row r="5" spans="1:4">
      <c r="A5" s="10" t="s">
        <v>53</v>
      </c>
      <c r="B5" s="11">
        <v>67</v>
      </c>
      <c r="C5" s="11">
        <v>45</v>
      </c>
      <c r="D5" s="11">
        <v>77</v>
      </c>
    </row>
    <row r="6" spans="1:4">
      <c r="A6" s="10" t="s">
        <v>54</v>
      </c>
      <c r="B6" s="11">
        <v>94</v>
      </c>
      <c r="C6" s="11">
        <v>76</v>
      </c>
      <c r="D6" s="11">
        <v>58</v>
      </c>
    </row>
    <row r="7" spans="1:4">
      <c r="A7" s="10" t="s">
        <v>55</v>
      </c>
      <c r="B7" s="11">
        <v>56</v>
      </c>
      <c r="C7" s="11">
        <v>90</v>
      </c>
      <c r="D7" s="11">
        <v>34</v>
      </c>
    </row>
    <row r="8" spans="1:4">
      <c r="A8" s="10" t="s">
        <v>56</v>
      </c>
      <c r="B8" s="11">
        <v>82</v>
      </c>
      <c r="C8" s="11">
        <v>73</v>
      </c>
      <c r="D8" s="11">
        <v>84</v>
      </c>
    </row>
    <row r="9" spans="1:4">
      <c r="A9" s="12" t="s">
        <v>73</v>
      </c>
      <c r="B9" s="11">
        <f t="shared" ref="B9:D9" si="0">MAX(B3:B8)</f>
        <v>100</v>
      </c>
      <c r="C9" s="11">
        <f t="shared" si="0"/>
        <v>98</v>
      </c>
      <c r="D9" s="11">
        <f t="shared" si="0"/>
        <v>99</v>
      </c>
    </row>
    <row r="10" spans="1:4">
      <c r="A10" s="12" t="s">
        <v>74</v>
      </c>
      <c r="B10" s="7">
        <f>MIN(B3:B8)</f>
        <v>56</v>
      </c>
      <c r="C10" s="61">
        <f t="shared" ref="C10:D10" si="1">MIN(C3:C8)</f>
        <v>45</v>
      </c>
      <c r="D10" s="61">
        <f t="shared" si="1"/>
        <v>34</v>
      </c>
    </row>
    <row r="11" spans="1:4">
      <c r="A11" s="12" t="s">
        <v>75</v>
      </c>
      <c r="B11" s="7">
        <f t="shared" ref="B11:D11" si="2">MAX(B3:B8)-MIN(B3:B8)</f>
        <v>44</v>
      </c>
      <c r="C11" s="61">
        <f t="shared" si="2"/>
        <v>53</v>
      </c>
      <c r="D11" s="61">
        <f t="shared" si="2"/>
        <v>65</v>
      </c>
    </row>
    <row r="15" spans="1:4">
      <c r="A15" t="s">
        <v>80</v>
      </c>
    </row>
    <row r="17" spans="1:4">
      <c r="A17" s="196" t="s">
        <v>301</v>
      </c>
    </row>
    <row r="18" spans="1:4">
      <c r="A18" s="40"/>
    </row>
    <row r="19" spans="1:4">
      <c r="A19" s="313" t="s">
        <v>318</v>
      </c>
      <c r="B19" s="313"/>
      <c r="C19" s="313"/>
      <c r="D19" s="313"/>
    </row>
    <row r="20" spans="1:4">
      <c r="A20" s="316" t="s">
        <v>303</v>
      </c>
      <c r="B20" s="316" t="s">
        <v>304</v>
      </c>
      <c r="C20" s="316" t="s">
        <v>305</v>
      </c>
      <c r="D20" s="316"/>
    </row>
    <row r="21" spans="1:4">
      <c r="A21" s="316"/>
      <c r="B21" s="316"/>
      <c r="C21" s="61" t="s">
        <v>306</v>
      </c>
      <c r="D21" s="61" t="s">
        <v>307</v>
      </c>
    </row>
    <row r="22" spans="1:4">
      <c r="A22" s="94" t="s">
        <v>308</v>
      </c>
      <c r="B22" s="99">
        <v>2000</v>
      </c>
      <c r="C22" s="100">
        <v>1700</v>
      </c>
      <c r="D22" s="99">
        <v>3400000</v>
      </c>
    </row>
    <row r="23" spans="1:4">
      <c r="A23" s="101" t="s">
        <v>309</v>
      </c>
      <c r="B23" s="102">
        <v>2800</v>
      </c>
      <c r="C23" s="103">
        <v>1650</v>
      </c>
      <c r="D23" s="102">
        <v>4620000</v>
      </c>
    </row>
    <row r="24" spans="1:4">
      <c r="A24" s="101" t="s">
        <v>310</v>
      </c>
      <c r="B24" s="102">
        <v>4500</v>
      </c>
      <c r="C24" s="103">
        <v>1250</v>
      </c>
      <c r="D24" s="102">
        <v>5625000</v>
      </c>
    </row>
    <row r="25" spans="1:4">
      <c r="A25" s="101" t="s">
        <v>311</v>
      </c>
      <c r="B25" s="102">
        <v>4000</v>
      </c>
      <c r="C25" s="103">
        <v>750</v>
      </c>
      <c r="D25" s="102">
        <v>3000000</v>
      </c>
    </row>
    <row r="26" spans="1:4">
      <c r="A26" s="101" t="s">
        <v>312</v>
      </c>
      <c r="B26" s="102">
        <v>3000</v>
      </c>
      <c r="C26" s="103">
        <v>500</v>
      </c>
      <c r="D26" s="102">
        <v>1500000</v>
      </c>
    </row>
    <row r="27" spans="1:4">
      <c r="A27" s="101" t="s">
        <v>313</v>
      </c>
      <c r="B27" s="102">
        <v>1000</v>
      </c>
      <c r="C27" s="103">
        <v>500</v>
      </c>
      <c r="D27" s="102">
        <v>500000</v>
      </c>
    </row>
    <row r="28" spans="1:4">
      <c r="A28" s="101" t="s">
        <v>314</v>
      </c>
      <c r="B28" s="102">
        <v>3000</v>
      </c>
      <c r="C28" s="103">
        <v>700</v>
      </c>
      <c r="D28" s="102">
        <v>2100000</v>
      </c>
    </row>
    <row r="29" spans="1:4">
      <c r="A29" s="101" t="s">
        <v>315</v>
      </c>
      <c r="B29" s="102">
        <v>4000</v>
      </c>
      <c r="C29" s="103">
        <v>500</v>
      </c>
      <c r="D29" s="102">
        <v>2000000</v>
      </c>
    </row>
    <row r="30" spans="1:4">
      <c r="A30" s="95" t="s">
        <v>316</v>
      </c>
      <c r="B30" s="104">
        <v>2000</v>
      </c>
      <c r="C30" s="105">
        <v>300</v>
      </c>
      <c r="D30" s="104">
        <v>600000</v>
      </c>
    </row>
    <row r="31" spans="1:4">
      <c r="A31" s="106" t="s">
        <v>319</v>
      </c>
      <c r="B31" s="91">
        <f t="shared" ref="B31:D31" si="3">MAX(B22:B30)-MIN(B22:B30)</f>
        <v>3500</v>
      </c>
      <c r="C31" s="107">
        <f t="shared" si="3"/>
        <v>1400</v>
      </c>
      <c r="D31" s="91">
        <f t="shared" si="3"/>
        <v>5125000</v>
      </c>
    </row>
    <row r="32" spans="1:4">
      <c r="A32" s="406" t="s">
        <v>791</v>
      </c>
      <c r="B32" s="314"/>
      <c r="C32" s="314"/>
      <c r="D32" s="314"/>
    </row>
  </sheetData>
  <mergeCells count="6">
    <mergeCell ref="A32:D32"/>
    <mergeCell ref="A1:D1"/>
    <mergeCell ref="A20:A21"/>
    <mergeCell ref="B20:B21"/>
    <mergeCell ref="C20:D20"/>
    <mergeCell ref="A19:D19"/>
  </mergeCells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opLeftCell="A24" workbookViewId="0">
      <selection activeCell="E36" sqref="E36"/>
    </sheetView>
  </sheetViews>
  <sheetFormatPr defaultRowHeight="13.5"/>
  <cols>
    <col min="1" max="1" width="17.109375" customWidth="1"/>
    <col min="2" max="2" width="11.21875" customWidth="1"/>
    <col min="3" max="3" width="12.33203125" customWidth="1"/>
    <col min="4" max="4" width="11.5546875" bestFit="1" customWidth="1"/>
    <col min="5" max="5" width="13.109375" bestFit="1" customWidth="1"/>
    <col min="6" max="6" width="12.77734375" customWidth="1"/>
  </cols>
  <sheetData>
    <row r="2" spans="1:3">
      <c r="A2" t="s">
        <v>320</v>
      </c>
    </row>
    <row r="3" spans="1:3">
      <c r="A3" s="109" t="s">
        <v>135</v>
      </c>
      <c r="B3" s="24" t="s">
        <v>323</v>
      </c>
      <c r="C3" s="110" t="s">
        <v>127</v>
      </c>
    </row>
    <row r="4" spans="1:3">
      <c r="A4" s="16" t="s">
        <v>330</v>
      </c>
      <c r="B4" s="16">
        <v>2745.3528000000001</v>
      </c>
      <c r="C4" s="110">
        <f>ROUND(B4,3)</f>
        <v>2745.3530000000001</v>
      </c>
    </row>
    <row r="5" spans="1:3">
      <c r="A5" s="16" t="s">
        <v>329</v>
      </c>
      <c r="B5" s="16">
        <v>2745.3528000000001</v>
      </c>
      <c r="C5" s="110">
        <f>ROUND(B5,0)</f>
        <v>2745</v>
      </c>
    </row>
    <row r="6" spans="1:3">
      <c r="A6" s="109" t="s">
        <v>328</v>
      </c>
      <c r="B6" s="16">
        <v>2745.3528000000001</v>
      </c>
      <c r="C6" s="110">
        <f>ROUND(B6,-3)</f>
        <v>3000</v>
      </c>
    </row>
    <row r="7" spans="1:3">
      <c r="A7" s="60"/>
    </row>
    <row r="8" spans="1:3">
      <c r="A8" s="60"/>
    </row>
    <row r="9" spans="1:3">
      <c r="A9" s="60" t="s">
        <v>321</v>
      </c>
    </row>
    <row r="10" spans="1:3">
      <c r="A10" s="109" t="s">
        <v>135</v>
      </c>
      <c r="B10" s="24" t="s">
        <v>323</v>
      </c>
      <c r="C10" s="110" t="s">
        <v>128</v>
      </c>
    </row>
    <row r="11" spans="1:3">
      <c r="A11" s="16" t="s">
        <v>324</v>
      </c>
      <c r="B11" s="16">
        <v>2745.3528000000001</v>
      </c>
      <c r="C11" s="110">
        <f>ROUNDDOWN(B11,3)</f>
        <v>2745.3519999999999</v>
      </c>
    </row>
    <row r="12" spans="1:3">
      <c r="A12" s="16" t="s">
        <v>325</v>
      </c>
      <c r="B12" s="16">
        <v>2745.3528000000001</v>
      </c>
      <c r="C12" s="110">
        <f>ROUNDDOWN(B12,0)</f>
        <v>2745</v>
      </c>
    </row>
    <row r="13" spans="1:3">
      <c r="A13" s="109" t="s">
        <v>331</v>
      </c>
      <c r="B13" s="16">
        <v>2745.3528000000001</v>
      </c>
      <c r="C13" s="110">
        <f>ROUNDDOWN(B13,-3)</f>
        <v>2000</v>
      </c>
    </row>
    <row r="14" spans="1:3">
      <c r="A14" s="60"/>
    </row>
    <row r="15" spans="1:3">
      <c r="A15" s="60"/>
    </row>
    <row r="16" spans="1:3">
      <c r="A16" s="60" t="s">
        <v>322</v>
      </c>
    </row>
    <row r="17" spans="1:6">
      <c r="A17" s="109" t="s">
        <v>135</v>
      </c>
      <c r="B17" s="24" t="s">
        <v>323</v>
      </c>
      <c r="C17" s="110" t="s">
        <v>129</v>
      </c>
    </row>
    <row r="18" spans="1:6">
      <c r="A18" s="16" t="s">
        <v>326</v>
      </c>
      <c r="B18" s="16">
        <v>2745.3528000000001</v>
      </c>
      <c r="C18" s="110">
        <f>ROUNDUP(B18,2)</f>
        <v>2745.36</v>
      </c>
    </row>
    <row r="19" spans="1:6">
      <c r="A19" s="16" t="s">
        <v>327</v>
      </c>
      <c r="B19" s="16">
        <v>2745.3528000000001</v>
      </c>
      <c r="C19" s="110">
        <f>ROUNDUP(B19,0)</f>
        <v>2746</v>
      </c>
    </row>
    <row r="20" spans="1:6">
      <c r="A20" s="109" t="s">
        <v>332</v>
      </c>
      <c r="B20" s="16">
        <v>2745.3528000000001</v>
      </c>
      <c r="C20" s="110">
        <f>ROUNDUP(B20,-2)</f>
        <v>2800</v>
      </c>
    </row>
    <row r="22" spans="1:6">
      <c r="A22" s="196" t="s">
        <v>301</v>
      </c>
    </row>
    <row r="24" spans="1:6">
      <c r="A24" s="313" t="s">
        <v>333</v>
      </c>
      <c r="B24" s="313"/>
      <c r="C24" s="313"/>
      <c r="D24" s="313"/>
      <c r="E24" s="313"/>
      <c r="F24" s="313"/>
    </row>
    <row r="26" spans="1:6">
      <c r="A26" s="16" t="s">
        <v>287</v>
      </c>
      <c r="B26" s="16" t="s">
        <v>334</v>
      </c>
      <c r="C26" s="16" t="s">
        <v>335</v>
      </c>
      <c r="D26" s="16" t="s">
        <v>336</v>
      </c>
      <c r="E26" s="16" t="s">
        <v>337</v>
      </c>
      <c r="F26" s="16" t="s">
        <v>338</v>
      </c>
    </row>
    <row r="27" spans="1:6">
      <c r="A27" s="16" t="s">
        <v>339</v>
      </c>
      <c r="B27" s="16" t="s">
        <v>340</v>
      </c>
      <c r="C27" s="47">
        <v>4553434</v>
      </c>
      <c r="D27" s="47">
        <v>1350043</v>
      </c>
      <c r="E27" s="47">
        <v>265442</v>
      </c>
      <c r="F27" s="47">
        <v>63504343</v>
      </c>
    </row>
    <row r="28" spans="1:6">
      <c r="A28" s="16" t="s">
        <v>341</v>
      </c>
      <c r="B28" s="16" t="s">
        <v>342</v>
      </c>
      <c r="C28" s="47">
        <v>4504334</v>
      </c>
      <c r="D28" s="47">
        <v>1125545</v>
      </c>
      <c r="E28" s="47">
        <v>356540</v>
      </c>
      <c r="F28" s="47">
        <v>6125000</v>
      </c>
    </row>
    <row r="29" spans="1:6">
      <c r="A29" s="16" t="s">
        <v>343</v>
      </c>
      <c r="B29" s="16" t="s">
        <v>344</v>
      </c>
      <c r="C29" s="47">
        <v>4505454</v>
      </c>
      <c r="D29" s="47">
        <v>4054543</v>
      </c>
      <c r="E29" s="47">
        <v>265442</v>
      </c>
      <c r="F29" s="47">
        <v>5405878</v>
      </c>
    </row>
    <row r="30" spans="1:6">
      <c r="A30" s="16" t="s">
        <v>345</v>
      </c>
      <c r="B30" s="16" t="s">
        <v>346</v>
      </c>
      <c r="C30" s="47">
        <v>4500000</v>
      </c>
      <c r="D30" s="47">
        <v>2754545</v>
      </c>
      <c r="E30" s="47">
        <v>500000</v>
      </c>
      <c r="F30" s="47">
        <v>5270875</v>
      </c>
    </row>
    <row r="31" spans="1:6">
      <c r="A31" s="16" t="s">
        <v>347</v>
      </c>
      <c r="B31" s="16" t="s">
        <v>348</v>
      </c>
      <c r="C31" s="47">
        <v>4504342</v>
      </c>
      <c r="D31" s="47">
        <v>3465000.0000000005</v>
      </c>
      <c r="E31" s="47">
        <v>500000</v>
      </c>
      <c r="F31" s="47">
        <v>8465000</v>
      </c>
    </row>
    <row r="32" spans="1:6">
      <c r="A32" s="16" t="s">
        <v>349</v>
      </c>
      <c r="B32" s="16" t="s">
        <v>350</v>
      </c>
      <c r="C32" s="47">
        <v>4500000</v>
      </c>
      <c r="D32" s="47">
        <v>6075000</v>
      </c>
      <c r="E32" s="47">
        <v>265442</v>
      </c>
      <c r="F32" s="47">
        <v>11075000</v>
      </c>
    </row>
    <row r="33" spans="1:6">
      <c r="A33" s="16" t="s">
        <v>351</v>
      </c>
      <c r="B33" s="16" t="s">
        <v>352</v>
      </c>
      <c r="C33" s="47">
        <v>4534343</v>
      </c>
      <c r="D33" s="47">
        <v>2025545</v>
      </c>
      <c r="E33" s="47">
        <v>265442</v>
      </c>
      <c r="F33" s="47">
        <v>7025000</v>
      </c>
    </row>
    <row r="34" spans="1:6">
      <c r="A34" s="16" t="s">
        <v>353</v>
      </c>
      <c r="B34" s="16" t="s">
        <v>354</v>
      </c>
      <c r="C34" s="47">
        <v>4505435</v>
      </c>
      <c r="D34" s="47">
        <v>7694342</v>
      </c>
      <c r="E34" s="47">
        <v>265442</v>
      </c>
      <c r="F34" s="47">
        <v>126954342</v>
      </c>
    </row>
    <row r="35" spans="1:6">
      <c r="A35" s="16" t="s">
        <v>355</v>
      </c>
      <c r="B35" s="16" t="s">
        <v>356</v>
      </c>
      <c r="C35" s="47">
        <v>4504324</v>
      </c>
      <c r="D35" s="47">
        <v>6075000</v>
      </c>
      <c r="E35" s="47">
        <v>500000</v>
      </c>
      <c r="F35" s="47">
        <v>110756564</v>
      </c>
    </row>
    <row r="36" spans="1:6">
      <c r="A36" s="316" t="s">
        <v>357</v>
      </c>
      <c r="B36" s="316"/>
      <c r="C36" s="47">
        <f>ROUNDUP(AVERAGE(C27:C35),-3)</f>
        <v>4513000</v>
      </c>
      <c r="D36" s="47">
        <f t="shared" ref="D36:F36" si="0">ROUNDUP(AVERAGE(D27:D35),-3)</f>
        <v>3847000</v>
      </c>
      <c r="E36" s="47">
        <f t="shared" si="0"/>
        <v>354000</v>
      </c>
      <c r="F36" s="47">
        <f t="shared" si="0"/>
        <v>38287000</v>
      </c>
    </row>
    <row r="37" spans="1:6">
      <c r="A37" s="317" t="s">
        <v>559</v>
      </c>
      <c r="B37" s="316"/>
      <c r="C37" s="316"/>
      <c r="D37" s="316"/>
      <c r="E37" s="316"/>
      <c r="F37" s="316"/>
    </row>
  </sheetData>
  <mergeCells count="3">
    <mergeCell ref="A24:F24"/>
    <mergeCell ref="A36:B36"/>
    <mergeCell ref="A37:F37"/>
  </mergeCells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workbookViewId="0">
      <selection activeCell="B4" sqref="B4"/>
    </sheetView>
  </sheetViews>
  <sheetFormatPr defaultRowHeight="13.5"/>
  <cols>
    <col min="1" max="2" width="9.109375" customWidth="1"/>
    <col min="3" max="3" width="12.109375" bestFit="1" customWidth="1"/>
    <col min="4" max="4" width="10.33203125" customWidth="1"/>
    <col min="5" max="5" width="10.5546875" customWidth="1"/>
  </cols>
  <sheetData>
    <row r="2" spans="1:5">
      <c r="A2" t="s">
        <v>226</v>
      </c>
    </row>
    <row r="3" spans="1:5">
      <c r="A3" s="97" t="s">
        <v>277</v>
      </c>
      <c r="B3" s="97" t="s">
        <v>114</v>
      </c>
      <c r="C3" s="46"/>
    </row>
    <row r="4" spans="1:5">
      <c r="A4" s="16">
        <v>3.9</v>
      </c>
      <c r="B4" s="19">
        <f>INT(A4)</f>
        <v>3</v>
      </c>
      <c r="C4" s="46"/>
    </row>
    <row r="5" spans="1:5">
      <c r="A5" s="16">
        <v>4.3</v>
      </c>
      <c r="B5" s="19">
        <f>INT(A5)</f>
        <v>4</v>
      </c>
      <c r="C5" s="46"/>
    </row>
    <row r="9" spans="1:5">
      <c r="A9" s="196" t="s">
        <v>301</v>
      </c>
    </row>
    <row r="11" spans="1:5">
      <c r="A11" s="318" t="s">
        <v>358</v>
      </c>
      <c r="B11" s="318"/>
      <c r="C11" s="318"/>
      <c r="D11" s="318"/>
      <c r="E11" s="318"/>
    </row>
    <row r="12" spans="1:5">
      <c r="A12" s="70"/>
      <c r="B12" s="70"/>
      <c r="C12" s="70"/>
      <c r="D12" s="70"/>
      <c r="E12" s="70"/>
    </row>
    <row r="13" spans="1:5">
      <c r="A13" s="96" t="s">
        <v>359</v>
      </c>
      <c r="B13" s="96" t="s">
        <v>16</v>
      </c>
      <c r="C13" s="96" t="s">
        <v>360</v>
      </c>
      <c r="D13" s="96" t="s">
        <v>361</v>
      </c>
      <c r="E13" s="96" t="s">
        <v>362</v>
      </c>
    </row>
    <row r="14" spans="1:5">
      <c r="A14" s="115">
        <v>5789</v>
      </c>
      <c r="B14" s="115" t="s">
        <v>363</v>
      </c>
      <c r="C14" s="123">
        <v>333000</v>
      </c>
      <c r="D14" s="123">
        <f t="shared" ref="D14:D24" si="0">INT(C14/10000)*1000</f>
        <v>33000</v>
      </c>
      <c r="E14" s="115" t="str">
        <f t="shared" ref="E14:E24" si="1">IF(D14&gt;=100000,"VIP고객",IF(D14&gt;=80000,"우수고객",""))</f>
        <v/>
      </c>
    </row>
    <row r="15" spans="1:5">
      <c r="A15" s="116">
        <v>1568</v>
      </c>
      <c r="B15" s="116" t="s">
        <v>364</v>
      </c>
      <c r="C15" s="124">
        <v>556000</v>
      </c>
      <c r="D15" s="124">
        <f t="shared" si="0"/>
        <v>55000</v>
      </c>
      <c r="E15" s="116" t="str">
        <f t="shared" si="1"/>
        <v/>
      </c>
    </row>
    <row r="16" spans="1:5">
      <c r="A16" s="117">
        <v>3212</v>
      </c>
      <c r="B16" s="117" t="s">
        <v>365</v>
      </c>
      <c r="C16" s="125">
        <v>588000</v>
      </c>
      <c r="D16" s="125">
        <f t="shared" si="0"/>
        <v>58000</v>
      </c>
      <c r="E16" s="117" t="str">
        <f t="shared" si="1"/>
        <v/>
      </c>
    </row>
    <row r="17" spans="1:5">
      <c r="A17" s="117">
        <v>9248</v>
      </c>
      <c r="B17" s="117" t="s">
        <v>366</v>
      </c>
      <c r="C17" s="125">
        <v>652000</v>
      </c>
      <c r="D17" s="125">
        <f t="shared" si="0"/>
        <v>65000</v>
      </c>
      <c r="E17" s="117" t="str">
        <f t="shared" si="1"/>
        <v/>
      </c>
    </row>
    <row r="18" spans="1:5">
      <c r="A18" s="117">
        <v>2278</v>
      </c>
      <c r="B18" s="117" t="s">
        <v>367</v>
      </c>
      <c r="C18" s="125">
        <v>728000</v>
      </c>
      <c r="D18" s="125">
        <f t="shared" si="0"/>
        <v>72000</v>
      </c>
      <c r="E18" s="117" t="str">
        <f t="shared" si="1"/>
        <v/>
      </c>
    </row>
    <row r="19" spans="1:5">
      <c r="A19" s="117">
        <v>5678</v>
      </c>
      <c r="B19" s="117" t="s">
        <v>368</v>
      </c>
      <c r="C19" s="125">
        <v>777000</v>
      </c>
      <c r="D19" s="125">
        <f t="shared" si="0"/>
        <v>77000</v>
      </c>
      <c r="E19" s="117" t="str">
        <f t="shared" si="1"/>
        <v/>
      </c>
    </row>
    <row r="20" spans="1:5">
      <c r="A20" s="117">
        <v>6794</v>
      </c>
      <c r="B20" s="117" t="s">
        <v>369</v>
      </c>
      <c r="C20" s="125">
        <v>853000</v>
      </c>
      <c r="D20" s="125">
        <f t="shared" si="0"/>
        <v>85000</v>
      </c>
      <c r="E20" s="117" t="str">
        <f t="shared" si="1"/>
        <v>우수고객</v>
      </c>
    </row>
    <row r="21" spans="1:5">
      <c r="A21" s="117">
        <v>3379</v>
      </c>
      <c r="B21" s="117" t="s">
        <v>370</v>
      </c>
      <c r="C21" s="125">
        <v>867000</v>
      </c>
      <c r="D21" s="125">
        <f t="shared" si="0"/>
        <v>86000</v>
      </c>
      <c r="E21" s="117" t="str">
        <f>IF(D21&gt;=100000,"VIP고객",IF(D21&gt;=80000,"우수고객",""))</f>
        <v>우수고객</v>
      </c>
    </row>
    <row r="22" spans="1:5">
      <c r="A22" s="117">
        <v>5730</v>
      </c>
      <c r="B22" s="117" t="s">
        <v>371</v>
      </c>
      <c r="C22" s="125">
        <v>987000</v>
      </c>
      <c r="D22" s="125">
        <f t="shared" si="0"/>
        <v>98000</v>
      </c>
      <c r="E22" s="117" t="str">
        <f t="shared" si="1"/>
        <v>우수고객</v>
      </c>
    </row>
    <row r="23" spans="1:5">
      <c r="A23" s="117">
        <v>1235</v>
      </c>
      <c r="B23" s="117" t="s">
        <v>372</v>
      </c>
      <c r="C23" s="125">
        <v>1125000</v>
      </c>
      <c r="D23" s="125">
        <f t="shared" si="0"/>
        <v>112000</v>
      </c>
      <c r="E23" s="117" t="str">
        <f t="shared" si="1"/>
        <v>VIP고객</v>
      </c>
    </row>
    <row r="24" spans="1:5">
      <c r="A24" s="118">
        <v>7935</v>
      </c>
      <c r="B24" s="118" t="s">
        <v>373</v>
      </c>
      <c r="C24" s="126">
        <v>1326000</v>
      </c>
      <c r="D24" s="126">
        <f t="shared" si="0"/>
        <v>132000</v>
      </c>
      <c r="E24" s="118" t="str">
        <f t="shared" si="1"/>
        <v>VIP고객</v>
      </c>
    </row>
    <row r="25" spans="1:5">
      <c r="A25" s="319" t="s">
        <v>374</v>
      </c>
      <c r="B25" s="320"/>
      <c r="C25" s="320"/>
      <c r="D25" s="321" t="s">
        <v>375</v>
      </c>
      <c r="E25" s="322"/>
    </row>
  </sheetData>
  <mergeCells count="3">
    <mergeCell ref="A11:E11"/>
    <mergeCell ref="A25:C25"/>
    <mergeCell ref="D25:E25"/>
  </mergeCells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D3" sqref="D3"/>
    </sheetView>
  </sheetViews>
  <sheetFormatPr defaultRowHeight="13.5"/>
  <cols>
    <col min="1" max="1" width="10.6640625" customWidth="1"/>
    <col min="2" max="2" width="7.5546875" customWidth="1"/>
    <col min="3" max="3" width="8" customWidth="1"/>
    <col min="4" max="4" width="12.77734375" customWidth="1"/>
    <col min="6" max="6" width="11.77734375" customWidth="1"/>
  </cols>
  <sheetData>
    <row r="1" spans="1:5">
      <c r="A1" s="315" t="s">
        <v>63</v>
      </c>
      <c r="B1" s="315"/>
      <c r="C1" s="315"/>
      <c r="D1" s="315"/>
    </row>
    <row r="2" spans="1:5">
      <c r="A2" s="2" t="s">
        <v>64</v>
      </c>
      <c r="B2" s="15" t="s">
        <v>29</v>
      </c>
      <c r="C2" s="89" t="s">
        <v>84</v>
      </c>
      <c r="D2" s="89" t="s">
        <v>83</v>
      </c>
    </row>
    <row r="3" spans="1:5">
      <c r="A3" s="2">
        <v>200301</v>
      </c>
      <c r="B3" s="2">
        <v>176</v>
      </c>
      <c r="C3" s="127">
        <f t="shared" ref="C3:C9" si="0">RANK(B3,$B$3:$B$9)</f>
        <v>3</v>
      </c>
      <c r="D3" s="16">
        <f>RANK(B3,$B$3:$B$9,1)</f>
        <v>5</v>
      </c>
    </row>
    <row r="4" spans="1:5">
      <c r="A4" s="2">
        <v>200302</v>
      </c>
      <c r="B4" s="2">
        <v>164</v>
      </c>
      <c r="C4" s="127">
        <f t="shared" si="0"/>
        <v>4</v>
      </c>
      <c r="D4" s="16">
        <f t="shared" ref="D4:D9" si="1">RANK(B4,$B$3:$B$9,1)</f>
        <v>3</v>
      </c>
    </row>
    <row r="5" spans="1:5">
      <c r="A5" s="2">
        <v>200303</v>
      </c>
      <c r="B5" s="2">
        <v>153</v>
      </c>
      <c r="C5" s="127">
        <f t="shared" si="0"/>
        <v>6</v>
      </c>
      <c r="D5" s="16">
        <f t="shared" si="1"/>
        <v>2</v>
      </c>
    </row>
    <row r="6" spans="1:5">
      <c r="A6" s="2">
        <v>200304</v>
      </c>
      <c r="B6" s="2">
        <v>184</v>
      </c>
      <c r="C6" s="127">
        <f t="shared" si="0"/>
        <v>2</v>
      </c>
      <c r="D6" s="16">
        <f t="shared" si="1"/>
        <v>6</v>
      </c>
    </row>
    <row r="7" spans="1:5">
      <c r="A7" s="2">
        <v>200305</v>
      </c>
      <c r="B7" s="2">
        <v>186</v>
      </c>
      <c r="C7" s="127">
        <f t="shared" si="0"/>
        <v>1</v>
      </c>
      <c r="D7" s="16">
        <f t="shared" si="1"/>
        <v>7</v>
      </c>
    </row>
    <row r="8" spans="1:5">
      <c r="A8" s="2">
        <v>200306</v>
      </c>
      <c r="B8" s="2">
        <v>164</v>
      </c>
      <c r="C8" s="127">
        <f t="shared" si="0"/>
        <v>4</v>
      </c>
      <c r="D8" s="16">
        <f t="shared" si="1"/>
        <v>3</v>
      </c>
    </row>
    <row r="9" spans="1:5">
      <c r="A9" s="2">
        <v>200307</v>
      </c>
      <c r="B9" s="2">
        <v>139</v>
      </c>
      <c r="C9" s="127">
        <f t="shared" si="0"/>
        <v>7</v>
      </c>
      <c r="D9" s="16">
        <f t="shared" si="1"/>
        <v>1</v>
      </c>
    </row>
    <row r="12" spans="1:5">
      <c r="A12" s="196" t="s">
        <v>301</v>
      </c>
    </row>
    <row r="15" spans="1:5">
      <c r="A15" s="313" t="s">
        <v>386</v>
      </c>
      <c r="B15" s="313"/>
      <c r="C15" s="313"/>
      <c r="D15" s="313"/>
      <c r="E15" s="313"/>
    </row>
    <row r="17" spans="1:5">
      <c r="A17" s="316" t="s">
        <v>303</v>
      </c>
      <c r="B17" s="316" t="s">
        <v>304</v>
      </c>
      <c r="C17" s="316" t="s">
        <v>305</v>
      </c>
      <c r="D17" s="316"/>
      <c r="E17" s="314" t="s">
        <v>376</v>
      </c>
    </row>
    <row r="18" spans="1:5">
      <c r="A18" s="316"/>
      <c r="B18" s="316"/>
      <c r="C18" s="98" t="s">
        <v>306</v>
      </c>
      <c r="D18" s="98" t="s">
        <v>307</v>
      </c>
      <c r="E18" s="314"/>
    </row>
    <row r="19" spans="1:5">
      <c r="A19" s="16" t="s">
        <v>377</v>
      </c>
      <c r="B19" s="47">
        <v>3500</v>
      </c>
      <c r="C19" s="16">
        <v>1300</v>
      </c>
      <c r="D19" s="47">
        <v>2481500</v>
      </c>
      <c r="E19" s="16">
        <f>RANK(D19,$D$19:$D$27)</f>
        <v>8</v>
      </c>
    </row>
    <row r="20" spans="1:5">
      <c r="A20" s="16" t="s">
        <v>378</v>
      </c>
      <c r="B20" s="47">
        <v>4000</v>
      </c>
      <c r="C20" s="16">
        <v>1500</v>
      </c>
      <c r="D20" s="47">
        <v>3760000</v>
      </c>
      <c r="E20" s="16">
        <f t="shared" ref="E20:E27" si="2">RANK(D20,$D$19:$D$27)</f>
        <v>5</v>
      </c>
    </row>
    <row r="21" spans="1:5">
      <c r="A21" s="16" t="s">
        <v>379</v>
      </c>
      <c r="B21" s="47">
        <v>4000</v>
      </c>
      <c r="C21" s="16">
        <v>1500</v>
      </c>
      <c r="D21" s="47">
        <v>5284800</v>
      </c>
      <c r="E21" s="16">
        <f t="shared" si="2"/>
        <v>4</v>
      </c>
    </row>
    <row r="22" spans="1:5">
      <c r="A22" s="16" t="s">
        <v>380</v>
      </c>
      <c r="B22" s="47">
        <v>4000</v>
      </c>
      <c r="C22" s="16">
        <v>1500</v>
      </c>
      <c r="D22" s="47">
        <v>5808000</v>
      </c>
      <c r="E22" s="16">
        <f t="shared" si="2"/>
        <v>3</v>
      </c>
    </row>
    <row r="23" spans="1:5">
      <c r="A23" s="16" t="s">
        <v>381</v>
      </c>
      <c r="B23" s="47">
        <v>4000</v>
      </c>
      <c r="C23" s="16">
        <v>1500</v>
      </c>
      <c r="D23" s="47">
        <v>6144000</v>
      </c>
      <c r="E23" s="16">
        <f t="shared" si="2"/>
        <v>2</v>
      </c>
    </row>
    <row r="24" spans="1:5">
      <c r="A24" s="16" t="s">
        <v>382</v>
      </c>
      <c r="B24" s="47">
        <v>4500</v>
      </c>
      <c r="C24" s="16">
        <v>1500</v>
      </c>
      <c r="D24" s="47">
        <v>7182000</v>
      </c>
      <c r="E24" s="16">
        <f t="shared" si="2"/>
        <v>1</v>
      </c>
    </row>
    <row r="25" spans="1:5">
      <c r="A25" s="16" t="s">
        <v>383</v>
      </c>
      <c r="B25" s="47">
        <v>5000</v>
      </c>
      <c r="C25" s="16">
        <v>550</v>
      </c>
      <c r="D25" s="47">
        <v>3190000</v>
      </c>
      <c r="E25" s="16">
        <f t="shared" si="2"/>
        <v>6</v>
      </c>
    </row>
    <row r="26" spans="1:5">
      <c r="A26" s="16" t="s">
        <v>384</v>
      </c>
      <c r="B26" s="47">
        <v>1200</v>
      </c>
      <c r="C26" s="16">
        <v>1900</v>
      </c>
      <c r="D26" s="47">
        <v>2664000</v>
      </c>
      <c r="E26" s="16">
        <f t="shared" si="2"/>
        <v>7</v>
      </c>
    </row>
    <row r="27" spans="1:5">
      <c r="A27" s="16" t="s">
        <v>385</v>
      </c>
      <c r="B27" s="47">
        <v>4000</v>
      </c>
      <c r="C27" s="16">
        <v>500</v>
      </c>
      <c r="D27" s="47">
        <v>2440000</v>
      </c>
      <c r="E27" s="16">
        <f t="shared" si="2"/>
        <v>9</v>
      </c>
    </row>
  </sheetData>
  <mergeCells count="6">
    <mergeCell ref="C17:D17"/>
    <mergeCell ref="E17:E18"/>
    <mergeCell ref="A15:E15"/>
    <mergeCell ref="A1:D1"/>
    <mergeCell ref="A17:A18"/>
    <mergeCell ref="B17:B18"/>
  </mergeCells>
  <phoneticPr fontId="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F16" sqref="F16"/>
    </sheetView>
  </sheetViews>
  <sheetFormatPr defaultRowHeight="13.5"/>
  <cols>
    <col min="1" max="1" width="12.21875" customWidth="1"/>
    <col min="2" max="2" width="8" customWidth="1"/>
    <col min="3" max="3" width="9" customWidth="1"/>
    <col min="4" max="4" width="10.77734375" customWidth="1"/>
  </cols>
  <sheetData>
    <row r="1" spans="1:9">
      <c r="A1" s="315" t="s">
        <v>15</v>
      </c>
      <c r="B1" s="315"/>
      <c r="C1" s="315"/>
      <c r="D1" s="315"/>
    </row>
    <row r="2" spans="1:9">
      <c r="A2" s="7" t="s">
        <v>16</v>
      </c>
      <c r="B2" s="7" t="s">
        <v>17</v>
      </c>
      <c r="C2" s="7" t="s">
        <v>18</v>
      </c>
      <c r="D2" s="108" t="s">
        <v>31</v>
      </c>
    </row>
    <row r="3" spans="1:9">
      <c r="A3" s="7" t="s">
        <v>19</v>
      </c>
      <c r="B3" s="7" t="s">
        <v>20</v>
      </c>
      <c r="C3" s="7">
        <v>95.8</v>
      </c>
      <c r="D3" s="130" t="str">
        <f>IF(C3&gt;=80,"합격","불합격")</f>
        <v>합격</v>
      </c>
      <c r="F3" s="17" t="s">
        <v>141</v>
      </c>
    </row>
    <row r="4" spans="1:9">
      <c r="A4" s="7" t="s">
        <v>21</v>
      </c>
      <c r="B4" s="7" t="s">
        <v>22</v>
      </c>
      <c r="C4" s="7">
        <v>88.5</v>
      </c>
      <c r="D4" s="130" t="str">
        <f>IF(C4&gt;=80,"합격","불합격")</f>
        <v>합격</v>
      </c>
      <c r="F4" s="17" t="s">
        <v>140</v>
      </c>
    </row>
    <row r="5" spans="1:9">
      <c r="A5" s="7" t="s">
        <v>23</v>
      </c>
      <c r="B5" s="7" t="s">
        <v>24</v>
      </c>
      <c r="C5" s="7">
        <v>72.599999999999994</v>
      </c>
      <c r="D5" s="130" t="str">
        <f>IF(C5&gt;=80,"합격","불합격")</f>
        <v>불합격</v>
      </c>
    </row>
    <row r="6" spans="1:9">
      <c r="A6" s="7" t="s">
        <v>25</v>
      </c>
      <c r="B6" s="7" t="s">
        <v>22</v>
      </c>
      <c r="C6" s="7">
        <v>61.9</v>
      </c>
      <c r="D6" s="130" t="str">
        <f>IF(C6&gt;=80,"합격","불합격")</f>
        <v>불합격</v>
      </c>
    </row>
    <row r="7" spans="1:9">
      <c r="A7" s="7" t="s">
        <v>26</v>
      </c>
      <c r="B7" s="7" t="s">
        <v>24</v>
      </c>
      <c r="C7" s="7">
        <v>88</v>
      </c>
      <c r="D7" s="130" t="str">
        <f>IF(C7&gt;=80,"합격","불합격")</f>
        <v>합격</v>
      </c>
    </row>
    <row r="10" spans="1:9">
      <c r="A10" t="s">
        <v>388</v>
      </c>
    </row>
    <row r="12" spans="1:9" ht="14.25">
      <c r="A12" s="324" t="s">
        <v>387</v>
      </c>
      <c r="B12" s="324"/>
      <c r="C12" s="324"/>
      <c r="D12" s="324"/>
      <c r="E12" s="324"/>
      <c r="F12" s="324"/>
    </row>
    <row r="13" spans="1:9">
      <c r="A13" s="131"/>
      <c r="B13" s="131"/>
      <c r="C13" s="131"/>
      <c r="D13" s="131"/>
      <c r="E13" s="131"/>
      <c r="F13" s="131"/>
    </row>
    <row r="14" spans="1:9">
      <c r="A14" s="323" t="s">
        <v>249</v>
      </c>
      <c r="B14" s="323"/>
      <c r="C14" s="323" t="s">
        <v>250</v>
      </c>
      <c r="D14" s="323"/>
      <c r="E14" s="323"/>
      <c r="F14" s="129" t="s">
        <v>251</v>
      </c>
      <c r="G14" s="64"/>
      <c r="I14" s="27"/>
    </row>
    <row r="15" spans="1:9">
      <c r="A15" s="65" t="s">
        <v>252</v>
      </c>
      <c r="B15" s="65" t="s">
        <v>253</v>
      </c>
      <c r="C15" s="66" t="s">
        <v>254</v>
      </c>
      <c r="D15" s="66" t="s">
        <v>255</v>
      </c>
      <c r="E15" s="65" t="s">
        <v>256</v>
      </c>
      <c r="F15" s="129" t="s">
        <v>257</v>
      </c>
      <c r="G15" s="64"/>
    </row>
    <row r="16" spans="1:9">
      <c r="A16" s="67" t="s">
        <v>258</v>
      </c>
      <c r="B16" s="67" t="s">
        <v>259</v>
      </c>
      <c r="C16" s="68">
        <v>1300</v>
      </c>
      <c r="D16" s="68">
        <v>3250</v>
      </c>
      <c r="E16" s="75">
        <f t="shared" ref="E16:E28" si="0">D16/C16</f>
        <v>2.5</v>
      </c>
      <c r="F16" s="6">
        <f>IF(E16&gt;=120%,D16*118%,D16*90%)</f>
        <v>3835</v>
      </c>
      <c r="G16" s="49"/>
    </row>
    <row r="17" spans="1:7">
      <c r="A17" s="67" t="s">
        <v>260</v>
      </c>
      <c r="B17" s="67" t="s">
        <v>261</v>
      </c>
      <c r="C17" s="68">
        <v>6000</v>
      </c>
      <c r="D17" s="68">
        <v>9939</v>
      </c>
      <c r="E17" s="75">
        <f t="shared" si="0"/>
        <v>1.6565000000000001</v>
      </c>
      <c r="F17" s="6">
        <f t="shared" ref="F17:F28" si="1">IF(E17&gt;=120%,D17*118%,D17*90%)</f>
        <v>11728.019999999999</v>
      </c>
      <c r="G17" s="49"/>
    </row>
    <row r="18" spans="1:7">
      <c r="A18" s="67" t="s">
        <v>258</v>
      </c>
      <c r="B18" s="67" t="s">
        <v>262</v>
      </c>
      <c r="C18" s="68">
        <v>6000</v>
      </c>
      <c r="D18" s="68">
        <v>8739</v>
      </c>
      <c r="E18" s="75">
        <f t="shared" si="0"/>
        <v>1.4564999999999999</v>
      </c>
      <c r="F18" s="6">
        <f t="shared" si="1"/>
        <v>10312.019999999999</v>
      </c>
      <c r="G18" s="49"/>
    </row>
    <row r="19" spans="1:7">
      <c r="A19" s="67" t="s">
        <v>260</v>
      </c>
      <c r="B19" s="67" t="s">
        <v>263</v>
      </c>
      <c r="C19" s="68">
        <v>4100</v>
      </c>
      <c r="D19" s="68">
        <v>5500</v>
      </c>
      <c r="E19" s="75">
        <f t="shared" si="0"/>
        <v>1.3414634146341464</v>
      </c>
      <c r="F19" s="6">
        <f t="shared" si="1"/>
        <v>6490</v>
      </c>
      <c r="G19" s="49"/>
    </row>
    <row r="20" spans="1:7">
      <c r="A20" s="67" t="s">
        <v>260</v>
      </c>
      <c r="B20" s="67" t="s">
        <v>264</v>
      </c>
      <c r="C20" s="68">
        <v>7600</v>
      </c>
      <c r="D20" s="68">
        <v>9550</v>
      </c>
      <c r="E20" s="75">
        <f t="shared" si="0"/>
        <v>1.256578947368421</v>
      </c>
      <c r="F20" s="6">
        <f t="shared" si="1"/>
        <v>11269</v>
      </c>
      <c r="G20" s="49"/>
    </row>
    <row r="21" spans="1:7">
      <c r="A21" s="67" t="s">
        <v>265</v>
      </c>
      <c r="B21" s="67" t="s">
        <v>266</v>
      </c>
      <c r="C21" s="68">
        <v>7000</v>
      </c>
      <c r="D21" s="68">
        <v>8170</v>
      </c>
      <c r="E21" s="75">
        <f t="shared" si="0"/>
        <v>1.167142857142857</v>
      </c>
      <c r="F21" s="6">
        <f t="shared" si="1"/>
        <v>7353</v>
      </c>
      <c r="G21" s="49"/>
    </row>
    <row r="22" spans="1:7">
      <c r="A22" s="67" t="s">
        <v>265</v>
      </c>
      <c r="B22" s="67" t="s">
        <v>267</v>
      </c>
      <c r="C22" s="68">
        <v>2800</v>
      </c>
      <c r="D22" s="68">
        <v>3250</v>
      </c>
      <c r="E22" s="75">
        <f t="shared" si="0"/>
        <v>1.1607142857142858</v>
      </c>
      <c r="F22" s="6">
        <f t="shared" si="1"/>
        <v>2925</v>
      </c>
      <c r="G22" s="49"/>
    </row>
    <row r="23" spans="1:7">
      <c r="A23" s="65" t="s">
        <v>260</v>
      </c>
      <c r="B23" s="65" t="s">
        <v>268</v>
      </c>
      <c r="C23" s="69">
        <v>4800</v>
      </c>
      <c r="D23" s="69">
        <v>4700</v>
      </c>
      <c r="E23" s="75">
        <f t="shared" si="0"/>
        <v>0.97916666666666663</v>
      </c>
      <c r="F23" s="6">
        <f t="shared" si="1"/>
        <v>4230</v>
      </c>
      <c r="G23" s="49"/>
    </row>
    <row r="24" spans="1:7">
      <c r="A24" s="65" t="s">
        <v>258</v>
      </c>
      <c r="B24" s="65" t="s">
        <v>269</v>
      </c>
      <c r="C24" s="69">
        <v>3000</v>
      </c>
      <c r="D24" s="69">
        <v>2900</v>
      </c>
      <c r="E24" s="75">
        <f t="shared" si="0"/>
        <v>0.96666666666666667</v>
      </c>
      <c r="F24" s="6">
        <f t="shared" si="1"/>
        <v>2610</v>
      </c>
      <c r="G24" s="49"/>
    </row>
    <row r="25" spans="1:7">
      <c r="A25" s="65" t="s">
        <v>258</v>
      </c>
      <c r="B25" s="65" t="s">
        <v>270</v>
      </c>
      <c r="C25" s="69">
        <v>7200</v>
      </c>
      <c r="D25" s="69">
        <v>6940</v>
      </c>
      <c r="E25" s="75">
        <f t="shared" si="0"/>
        <v>0.96388888888888891</v>
      </c>
      <c r="F25" s="6">
        <f t="shared" si="1"/>
        <v>6246</v>
      </c>
      <c r="G25" s="49"/>
    </row>
    <row r="26" spans="1:7">
      <c r="A26" s="65" t="s">
        <v>265</v>
      </c>
      <c r="B26" s="65" t="s">
        <v>271</v>
      </c>
      <c r="C26" s="69">
        <v>5300</v>
      </c>
      <c r="D26" s="69">
        <v>5100</v>
      </c>
      <c r="E26" s="75">
        <f t="shared" si="0"/>
        <v>0.96226415094339623</v>
      </c>
      <c r="F26" s="6">
        <f t="shared" si="1"/>
        <v>4590</v>
      </c>
      <c r="G26" s="49"/>
    </row>
    <row r="27" spans="1:7">
      <c r="A27" s="65" t="s">
        <v>258</v>
      </c>
      <c r="B27" s="65" t="s">
        <v>272</v>
      </c>
      <c r="C27" s="69">
        <v>7300</v>
      </c>
      <c r="D27" s="69">
        <v>6950</v>
      </c>
      <c r="E27" s="75">
        <f t="shared" si="0"/>
        <v>0.95205479452054798</v>
      </c>
      <c r="F27" s="6">
        <f t="shared" si="1"/>
        <v>6255</v>
      </c>
      <c r="G27" s="49"/>
    </row>
    <row r="28" spans="1:7">
      <c r="A28" s="65" t="s">
        <v>258</v>
      </c>
      <c r="B28" s="65" t="s">
        <v>273</v>
      </c>
      <c r="C28" s="69">
        <v>4000</v>
      </c>
      <c r="D28" s="69">
        <v>3700</v>
      </c>
      <c r="E28" s="75">
        <f t="shared" si="0"/>
        <v>0.92500000000000004</v>
      </c>
      <c r="F28" s="6">
        <f t="shared" si="1"/>
        <v>3330</v>
      </c>
      <c r="G28" s="49"/>
    </row>
    <row r="29" spans="1:7">
      <c r="B29" s="70"/>
      <c r="C29" s="70"/>
      <c r="D29" s="70"/>
      <c r="E29" s="70"/>
      <c r="F29" s="70"/>
      <c r="G29" s="70"/>
    </row>
    <row r="30" spans="1:7">
      <c r="A30" s="70"/>
      <c r="B30" s="70"/>
      <c r="C30" s="70"/>
      <c r="D30" s="70"/>
      <c r="E30" s="70"/>
      <c r="F30" s="70"/>
      <c r="G30" s="70"/>
    </row>
    <row r="31" spans="1:7">
      <c r="A31" s="71" t="s">
        <v>274</v>
      </c>
      <c r="B31" s="70"/>
      <c r="C31" s="70"/>
      <c r="D31" s="70" t="s">
        <v>275</v>
      </c>
      <c r="E31" s="70"/>
      <c r="F31" s="70"/>
      <c r="G31" s="70"/>
    </row>
    <row r="32" spans="1:7">
      <c r="A32" s="67" t="s">
        <v>276</v>
      </c>
      <c r="B32" s="67" t="s">
        <v>277</v>
      </c>
      <c r="C32" s="70"/>
      <c r="D32" s="72" t="s">
        <v>278</v>
      </c>
      <c r="E32" s="72"/>
      <c r="F32" s="72" t="s">
        <v>279</v>
      </c>
      <c r="G32" s="70"/>
    </row>
    <row r="33" spans="1:8">
      <c r="A33" s="73">
        <v>1</v>
      </c>
      <c r="B33" s="72">
        <v>1</v>
      </c>
      <c r="C33" s="70"/>
      <c r="D33" s="72" t="s">
        <v>280</v>
      </c>
      <c r="E33" s="72"/>
      <c r="F33" s="72" t="s">
        <v>281</v>
      </c>
      <c r="G33" s="70"/>
    </row>
    <row r="34" spans="1:8">
      <c r="A34" s="73">
        <v>1.5</v>
      </c>
      <c r="B34" s="72">
        <v>1.5</v>
      </c>
      <c r="C34" s="70"/>
      <c r="D34" s="70"/>
      <c r="E34" s="70"/>
      <c r="F34" s="70"/>
      <c r="G34" s="70"/>
    </row>
    <row r="35" spans="1:8">
      <c r="A35" s="73">
        <v>0.9</v>
      </c>
      <c r="B35" s="72">
        <v>0.9</v>
      </c>
      <c r="C35" s="70"/>
      <c r="D35" s="70"/>
      <c r="E35" s="70"/>
      <c r="F35" s="70"/>
      <c r="G35" s="70"/>
      <c r="H35" s="28"/>
    </row>
    <row r="36" spans="1:8">
      <c r="A36" s="70"/>
      <c r="B36" s="70"/>
      <c r="C36" s="70"/>
      <c r="D36" s="70"/>
      <c r="E36" s="70"/>
      <c r="F36" s="70"/>
      <c r="G36" s="70"/>
    </row>
    <row r="37" spans="1:8">
      <c r="A37" s="74"/>
      <c r="B37" s="70"/>
      <c r="C37" s="70"/>
      <c r="D37" s="70"/>
      <c r="E37" s="70"/>
      <c r="F37" s="70"/>
      <c r="G37" s="70"/>
    </row>
    <row r="38" spans="1:8">
      <c r="A38" s="70"/>
      <c r="B38" s="70"/>
      <c r="C38" s="70"/>
      <c r="D38" s="70"/>
      <c r="E38" s="70"/>
      <c r="F38" s="70"/>
      <c r="G38" s="28"/>
    </row>
    <row r="39" spans="1:8">
      <c r="A39" s="70"/>
      <c r="B39" s="70"/>
      <c r="C39" s="70"/>
      <c r="D39" s="70"/>
      <c r="E39" s="70"/>
      <c r="F39" s="70"/>
      <c r="G39" s="70"/>
    </row>
    <row r="40" spans="1:8">
      <c r="A40" s="70"/>
      <c r="B40" s="70"/>
      <c r="C40" s="70"/>
      <c r="D40" s="70"/>
      <c r="E40" s="70"/>
      <c r="F40" s="70"/>
      <c r="G40" s="70"/>
    </row>
  </sheetData>
  <mergeCells count="4">
    <mergeCell ref="A1:D1"/>
    <mergeCell ref="A14:B14"/>
    <mergeCell ref="C14:E14"/>
    <mergeCell ref="A12:F12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E22" sqref="E22"/>
    </sheetView>
  </sheetViews>
  <sheetFormatPr defaultRowHeight="13.5"/>
  <cols>
    <col min="3" max="3" width="12.109375" bestFit="1" customWidth="1"/>
    <col min="4" max="4" width="11.5546875" customWidth="1"/>
  </cols>
  <sheetData>
    <row r="1" spans="1:6">
      <c r="A1" s="315" t="s">
        <v>14</v>
      </c>
      <c r="B1" s="315"/>
      <c r="C1" s="315"/>
      <c r="D1" s="315"/>
      <c r="E1" s="315"/>
      <c r="F1" s="315"/>
    </row>
    <row r="2" spans="1:6">
      <c r="A2" s="2" t="s">
        <v>16</v>
      </c>
      <c r="B2" s="2" t="s">
        <v>27</v>
      </c>
      <c r="C2" s="2" t="s">
        <v>28</v>
      </c>
      <c r="D2" s="15" t="s">
        <v>29</v>
      </c>
      <c r="E2" s="15" t="s">
        <v>30</v>
      </c>
      <c r="F2" s="89" t="s">
        <v>31</v>
      </c>
    </row>
    <row r="3" spans="1:6">
      <c r="A3" s="2" t="s">
        <v>32</v>
      </c>
      <c r="B3" s="2">
        <v>75</v>
      </c>
      <c r="C3" s="2">
        <v>45</v>
      </c>
      <c r="D3" s="2">
        <f>SUM(B3:C3)</f>
        <v>120</v>
      </c>
      <c r="E3" s="2">
        <f>AVERAGE(B3:C3)</f>
        <v>60</v>
      </c>
      <c r="F3" s="2" t="str">
        <f>IF(E3&gt;=90,"수",IF(E3&gt;=80,"우",IF(E3&gt;=70,"미",IF(E3&gt;=60,"양","가"))))</f>
        <v>양</v>
      </c>
    </row>
    <row r="4" spans="1:6">
      <c r="A4" s="2" t="s">
        <v>33</v>
      </c>
      <c r="B4" s="2">
        <v>56</v>
      </c>
      <c r="C4" s="2">
        <v>58</v>
      </c>
      <c r="D4" s="2">
        <f t="shared" ref="D4:D10" si="0">SUM(B4:C4)</f>
        <v>114</v>
      </c>
      <c r="E4" s="2">
        <f t="shared" ref="E4:E10" si="1">AVERAGE(B4:C4)</f>
        <v>57</v>
      </c>
      <c r="F4" s="2" t="str">
        <f t="shared" ref="F4:F10" si="2">IF(E4&gt;=90,"수",IF(E4&gt;=80,"우",IF(E4&gt;=70,"미",IF(E4&gt;=60,"양","가"))))</f>
        <v>가</v>
      </c>
    </row>
    <row r="5" spans="1:6">
      <c r="A5" s="2" t="s">
        <v>34</v>
      </c>
      <c r="B5" s="2">
        <v>38</v>
      </c>
      <c r="C5" s="2">
        <v>24</v>
      </c>
      <c r="D5" s="2">
        <f t="shared" si="0"/>
        <v>62</v>
      </c>
      <c r="E5" s="2">
        <f t="shared" si="1"/>
        <v>31</v>
      </c>
      <c r="F5" s="2" t="str">
        <f t="shared" si="2"/>
        <v>가</v>
      </c>
    </row>
    <row r="6" spans="1:6">
      <c r="A6" s="2" t="s">
        <v>35</v>
      </c>
      <c r="B6" s="2">
        <v>88</v>
      </c>
      <c r="C6" s="2">
        <v>92</v>
      </c>
      <c r="D6" s="2">
        <f t="shared" si="0"/>
        <v>180</v>
      </c>
      <c r="E6" s="2">
        <f t="shared" si="1"/>
        <v>90</v>
      </c>
      <c r="F6" s="2" t="str">
        <f t="shared" si="2"/>
        <v>수</v>
      </c>
    </row>
    <row r="7" spans="1:6">
      <c r="A7" s="2" t="s">
        <v>36</v>
      </c>
      <c r="B7" s="2">
        <v>83</v>
      </c>
      <c r="C7" s="2">
        <v>39</v>
      </c>
      <c r="D7" s="2">
        <f t="shared" si="0"/>
        <v>122</v>
      </c>
      <c r="E7" s="2">
        <f t="shared" si="1"/>
        <v>61</v>
      </c>
      <c r="F7" s="2" t="str">
        <f t="shared" si="2"/>
        <v>양</v>
      </c>
    </row>
    <row r="8" spans="1:6">
      <c r="A8" s="15" t="s">
        <v>76</v>
      </c>
      <c r="B8" s="15">
        <v>99</v>
      </c>
      <c r="C8" s="15">
        <v>99</v>
      </c>
      <c r="D8" s="2">
        <f t="shared" si="0"/>
        <v>198</v>
      </c>
      <c r="E8" s="2">
        <f t="shared" si="1"/>
        <v>99</v>
      </c>
      <c r="F8" s="2" t="str">
        <f t="shared" si="2"/>
        <v>수</v>
      </c>
    </row>
    <row r="9" spans="1:6">
      <c r="A9" s="15" t="s">
        <v>77</v>
      </c>
      <c r="B9" s="15">
        <v>89</v>
      </c>
      <c r="C9" s="15">
        <v>85</v>
      </c>
      <c r="D9" s="2">
        <f t="shared" si="0"/>
        <v>174</v>
      </c>
      <c r="E9" s="2">
        <f t="shared" si="1"/>
        <v>87</v>
      </c>
      <c r="F9" s="2" t="str">
        <f t="shared" si="2"/>
        <v>우</v>
      </c>
    </row>
    <row r="10" spans="1:6">
      <c r="A10" s="15" t="s">
        <v>78</v>
      </c>
      <c r="B10" s="15">
        <v>66</v>
      </c>
      <c r="C10" s="15">
        <v>70</v>
      </c>
      <c r="D10" s="2">
        <f t="shared" si="0"/>
        <v>136</v>
      </c>
      <c r="E10" s="2">
        <f t="shared" si="1"/>
        <v>68</v>
      </c>
      <c r="F10" s="2" t="str">
        <f t="shared" si="2"/>
        <v>양</v>
      </c>
    </row>
    <row r="13" spans="1:6">
      <c r="A13" t="s">
        <v>81</v>
      </c>
    </row>
    <row r="14" spans="1:6">
      <c r="A14" t="s">
        <v>82</v>
      </c>
    </row>
    <row r="17" spans="1:11">
      <c r="A17" s="196" t="s">
        <v>301</v>
      </c>
    </row>
    <row r="19" spans="1:11" ht="14.25" customHeight="1">
      <c r="A19" s="318" t="s">
        <v>358</v>
      </c>
      <c r="B19" s="318"/>
      <c r="C19" s="318"/>
      <c r="D19" s="318"/>
      <c r="E19" s="318"/>
      <c r="F19" s="132"/>
      <c r="G19" s="132"/>
      <c r="H19" s="132"/>
      <c r="I19" s="132"/>
      <c r="J19" s="132"/>
      <c r="K19" s="132"/>
    </row>
    <row r="20" spans="1:11">
      <c r="A20" s="70"/>
      <c r="B20" s="70"/>
      <c r="C20" s="70"/>
      <c r="D20" s="70"/>
      <c r="E20" s="70"/>
    </row>
    <row r="21" spans="1:11">
      <c r="A21" s="96" t="s">
        <v>359</v>
      </c>
      <c r="B21" s="96" t="s">
        <v>16</v>
      </c>
      <c r="C21" s="96" t="s">
        <v>360</v>
      </c>
      <c r="D21" s="96" t="s">
        <v>361</v>
      </c>
      <c r="E21" s="96" t="s">
        <v>362</v>
      </c>
      <c r="G21" s="133"/>
      <c r="H21" s="133"/>
      <c r="I21" s="63"/>
      <c r="J21" s="133"/>
    </row>
    <row r="22" spans="1:11">
      <c r="A22" s="115">
        <v>5789</v>
      </c>
      <c r="B22" s="115" t="s">
        <v>363</v>
      </c>
      <c r="C22" s="119">
        <v>333000</v>
      </c>
      <c r="D22" s="123">
        <f t="shared" ref="D22:D33" si="3">INT(C22/10000)*1000</f>
        <v>33000</v>
      </c>
      <c r="E22" s="115" t="str">
        <f t="shared" ref="E22:E33" si="4">IF(D22&gt;=100000,"VIP고객",IF(D22&gt;=80000,"우수고객",""))</f>
        <v/>
      </c>
      <c r="G22" s="133"/>
      <c r="H22" s="134"/>
      <c r="I22" s="63"/>
      <c r="J22" s="134"/>
    </row>
    <row r="23" spans="1:11">
      <c r="A23" s="116">
        <v>1568</v>
      </c>
      <c r="B23" s="116" t="s">
        <v>364</v>
      </c>
      <c r="C23" s="120">
        <v>556000</v>
      </c>
      <c r="D23" s="124">
        <f t="shared" si="3"/>
        <v>55000</v>
      </c>
      <c r="E23" s="116" t="str">
        <f t="shared" si="4"/>
        <v/>
      </c>
      <c r="G23" s="133"/>
      <c r="H23" s="134"/>
      <c r="I23" s="63"/>
      <c r="J23" s="134"/>
    </row>
    <row r="24" spans="1:11">
      <c r="A24" s="116">
        <v>4312</v>
      </c>
      <c r="B24" s="116" t="s">
        <v>390</v>
      </c>
      <c r="C24" s="120">
        <v>571000</v>
      </c>
      <c r="D24" s="124">
        <f t="shared" si="3"/>
        <v>57000</v>
      </c>
      <c r="E24" s="116" t="str">
        <f t="shared" si="4"/>
        <v/>
      </c>
      <c r="G24" s="133"/>
      <c r="H24" s="134"/>
      <c r="I24" s="63"/>
      <c r="J24" s="134"/>
    </row>
    <row r="25" spans="1:11">
      <c r="A25" s="116">
        <v>8216</v>
      </c>
      <c r="B25" s="116" t="s">
        <v>391</v>
      </c>
      <c r="C25" s="120">
        <v>672000</v>
      </c>
      <c r="D25" s="124">
        <f t="shared" si="3"/>
        <v>67000</v>
      </c>
      <c r="E25" s="116" t="str">
        <f t="shared" si="4"/>
        <v/>
      </c>
      <c r="G25" s="133"/>
      <c r="H25" s="134"/>
      <c r="I25" s="63"/>
      <c r="J25" s="134"/>
    </row>
    <row r="26" spans="1:11">
      <c r="A26" s="116">
        <v>9231</v>
      </c>
      <c r="B26" s="116" t="s">
        <v>392</v>
      </c>
      <c r="C26" s="120">
        <v>799000</v>
      </c>
      <c r="D26" s="124">
        <f t="shared" si="3"/>
        <v>79000</v>
      </c>
      <c r="E26" s="116" t="str">
        <f t="shared" si="4"/>
        <v/>
      </c>
      <c r="G26" s="133"/>
      <c r="H26" s="134"/>
      <c r="I26" s="63"/>
      <c r="J26" s="134"/>
    </row>
    <row r="27" spans="1:11">
      <c r="A27" s="116">
        <v>3219</v>
      </c>
      <c r="B27" s="116" t="s">
        <v>389</v>
      </c>
      <c r="C27" s="120">
        <v>854000</v>
      </c>
      <c r="D27" s="124">
        <f t="shared" si="3"/>
        <v>85000</v>
      </c>
      <c r="E27" s="116" t="str">
        <f t="shared" si="4"/>
        <v>우수고객</v>
      </c>
      <c r="G27" s="133"/>
      <c r="H27" s="134"/>
      <c r="I27" s="63"/>
      <c r="J27" s="134"/>
    </row>
    <row r="28" spans="1:11">
      <c r="A28" s="116">
        <v>1686</v>
      </c>
      <c r="B28" s="116" t="s">
        <v>393</v>
      </c>
      <c r="C28" s="120">
        <v>1410000</v>
      </c>
      <c r="D28" s="124">
        <f t="shared" si="3"/>
        <v>141000</v>
      </c>
      <c r="E28" s="116" t="str">
        <f t="shared" si="4"/>
        <v>VIP고객</v>
      </c>
      <c r="G28" s="133"/>
      <c r="H28" s="134"/>
      <c r="I28" s="63"/>
      <c r="J28" s="134"/>
    </row>
    <row r="29" spans="1:11">
      <c r="A29" s="117">
        <v>5678</v>
      </c>
      <c r="B29" s="117" t="s">
        <v>368</v>
      </c>
      <c r="C29" s="121">
        <v>777000</v>
      </c>
      <c r="D29" s="125">
        <f t="shared" si="3"/>
        <v>77000</v>
      </c>
      <c r="E29" s="117" t="str">
        <f t="shared" si="4"/>
        <v/>
      </c>
      <c r="G29" s="135"/>
      <c r="H29" s="136"/>
      <c r="I29" s="63"/>
      <c r="J29" s="136"/>
    </row>
    <row r="30" spans="1:11">
      <c r="A30" s="117">
        <v>6794</v>
      </c>
      <c r="B30" s="117" t="s">
        <v>369</v>
      </c>
      <c r="C30" s="121">
        <v>853000</v>
      </c>
      <c r="D30" s="125">
        <f t="shared" si="3"/>
        <v>85000</v>
      </c>
      <c r="E30" s="117" t="str">
        <f t="shared" si="4"/>
        <v>우수고객</v>
      </c>
      <c r="G30" s="135"/>
      <c r="H30" s="136"/>
      <c r="I30" s="63"/>
      <c r="J30" s="136"/>
    </row>
    <row r="31" spans="1:11">
      <c r="A31" s="117">
        <v>5730</v>
      </c>
      <c r="B31" s="117" t="s">
        <v>371</v>
      </c>
      <c r="C31" s="121">
        <v>987000</v>
      </c>
      <c r="D31" s="125">
        <f t="shared" si="3"/>
        <v>98000</v>
      </c>
      <c r="E31" s="117" t="str">
        <f t="shared" si="4"/>
        <v>우수고객</v>
      </c>
      <c r="G31" s="135"/>
      <c r="H31" s="136"/>
      <c r="I31" s="63"/>
      <c r="J31" s="136"/>
    </row>
    <row r="32" spans="1:11">
      <c r="A32" s="117">
        <v>1235</v>
      </c>
      <c r="B32" s="117" t="s">
        <v>372</v>
      </c>
      <c r="C32" s="121">
        <v>1125000</v>
      </c>
      <c r="D32" s="125">
        <f t="shared" si="3"/>
        <v>112000</v>
      </c>
      <c r="E32" s="117" t="str">
        <f t="shared" si="4"/>
        <v>VIP고객</v>
      </c>
      <c r="G32" s="135"/>
      <c r="H32" s="136"/>
      <c r="I32" s="63"/>
      <c r="J32" s="136"/>
    </row>
    <row r="33" spans="1:10">
      <c r="A33" s="118">
        <v>7935</v>
      </c>
      <c r="B33" s="118" t="s">
        <v>373</v>
      </c>
      <c r="C33" s="122">
        <v>1326000</v>
      </c>
      <c r="D33" s="126">
        <f t="shared" si="3"/>
        <v>132000</v>
      </c>
      <c r="E33" s="118" t="str">
        <f t="shared" si="4"/>
        <v>VIP고객</v>
      </c>
      <c r="G33" s="135"/>
      <c r="H33" s="136"/>
      <c r="I33" s="63"/>
      <c r="J33" s="136"/>
    </row>
    <row r="34" spans="1:10">
      <c r="A34" s="70"/>
      <c r="B34" s="70"/>
      <c r="C34" s="70"/>
      <c r="D34" s="70"/>
      <c r="E34" s="70"/>
    </row>
  </sheetData>
  <sortState ref="A20:E30">
    <sortCondition ref="A20:A30"/>
  </sortState>
  <mergeCells count="2">
    <mergeCell ref="A19:E19"/>
    <mergeCell ref="A1:F1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21" sqref="F21"/>
    </sheetView>
  </sheetViews>
  <sheetFormatPr defaultRowHeight="13.5"/>
  <cols>
    <col min="1" max="1" width="10.109375" customWidth="1"/>
    <col min="4" max="4" width="7.88671875" customWidth="1"/>
    <col min="5" max="5" width="8.6640625" customWidth="1"/>
  </cols>
  <sheetData>
    <row r="1" spans="1:5">
      <c r="A1" s="8"/>
      <c r="B1" s="1" t="s">
        <v>227</v>
      </c>
    </row>
    <row r="2" spans="1:5">
      <c r="A2" s="2" t="s">
        <v>16</v>
      </c>
      <c r="B2" s="2" t="s">
        <v>37</v>
      </c>
      <c r="C2" s="2" t="s">
        <v>38</v>
      </c>
      <c r="D2" s="89" t="s">
        <v>394</v>
      </c>
      <c r="E2" s="108" t="s">
        <v>131</v>
      </c>
    </row>
    <row r="3" spans="1:5">
      <c r="A3" s="2" t="s">
        <v>39</v>
      </c>
      <c r="B3" s="3">
        <v>80</v>
      </c>
      <c r="C3" s="3">
        <v>80</v>
      </c>
      <c r="D3" s="23" t="str">
        <f>IF(AND(B3&gt;=80,C3&gt;=70),"합격","불합격")</f>
        <v>합격</v>
      </c>
      <c r="E3" s="23" t="str">
        <f>IF(OR(B3&gt;=80,C3&gt;=60),"합격","불합격")</f>
        <v>합격</v>
      </c>
    </row>
    <row r="4" spans="1:5">
      <c r="A4" s="2" t="s">
        <v>40</v>
      </c>
      <c r="B4" s="3">
        <v>85</v>
      </c>
      <c r="C4" s="3">
        <v>60</v>
      </c>
      <c r="D4" s="23" t="str">
        <f t="shared" ref="D4:D9" si="0">IF(AND(B4&gt;=80,C4&gt;=70),"합격","불합격")</f>
        <v>불합격</v>
      </c>
      <c r="E4" s="23" t="str">
        <f t="shared" ref="E4:E9" si="1">IF(OR(B4&gt;=80,C4&gt;=60),"합격","불합격")</f>
        <v>합격</v>
      </c>
    </row>
    <row r="5" spans="1:5">
      <c r="A5" s="2" t="s">
        <v>41</v>
      </c>
      <c r="B5" s="3">
        <v>80</v>
      </c>
      <c r="C5" s="3">
        <v>75</v>
      </c>
      <c r="D5" s="23" t="str">
        <f t="shared" si="0"/>
        <v>합격</v>
      </c>
      <c r="E5" s="23" t="str">
        <f t="shared" si="1"/>
        <v>합격</v>
      </c>
    </row>
    <row r="6" spans="1:5">
      <c r="A6" s="2" t="s">
        <v>42</v>
      </c>
      <c r="B6" s="3">
        <v>81</v>
      </c>
      <c r="C6" s="3">
        <v>85</v>
      </c>
      <c r="D6" s="23" t="str">
        <f t="shared" si="0"/>
        <v>합격</v>
      </c>
      <c r="E6" s="23" t="str">
        <f t="shared" si="1"/>
        <v>합격</v>
      </c>
    </row>
    <row r="7" spans="1:5">
      <c r="A7" s="2" t="s">
        <v>43</v>
      </c>
      <c r="B7" s="3">
        <v>50</v>
      </c>
      <c r="C7" s="3">
        <v>45</v>
      </c>
      <c r="D7" s="23" t="str">
        <f t="shared" si="0"/>
        <v>불합격</v>
      </c>
      <c r="E7" s="23" t="str">
        <f t="shared" si="1"/>
        <v>불합격</v>
      </c>
    </row>
    <row r="8" spans="1:5">
      <c r="A8" s="2" t="s">
        <v>44</v>
      </c>
      <c r="B8" s="3">
        <v>60</v>
      </c>
      <c r="C8" s="3">
        <v>80</v>
      </c>
      <c r="D8" s="23" t="str">
        <f t="shared" si="0"/>
        <v>불합격</v>
      </c>
      <c r="E8" s="23" t="str">
        <f t="shared" si="1"/>
        <v>합격</v>
      </c>
    </row>
    <row r="9" spans="1:5">
      <c r="A9" s="2" t="s">
        <v>45</v>
      </c>
      <c r="B9" s="3">
        <v>75</v>
      </c>
      <c r="C9" s="3">
        <v>79</v>
      </c>
      <c r="D9" s="23" t="str">
        <f t="shared" si="0"/>
        <v>불합격</v>
      </c>
      <c r="E9" s="23" t="str">
        <f t="shared" si="1"/>
        <v>합격</v>
      </c>
    </row>
    <row r="11" spans="1:5">
      <c r="A11" s="50"/>
    </row>
    <row r="12" spans="1:5">
      <c r="A12" s="50"/>
    </row>
    <row r="13" spans="1:5">
      <c r="A13" t="s">
        <v>752</v>
      </c>
    </row>
    <row r="14" spans="1:5">
      <c r="A14" t="s">
        <v>753</v>
      </c>
    </row>
    <row r="17" spans="1:7">
      <c r="A17" s="196" t="s">
        <v>301</v>
      </c>
      <c r="D17" s="32"/>
    </row>
    <row r="18" spans="1:7">
      <c r="D18" s="32"/>
    </row>
    <row r="19" spans="1:7">
      <c r="A19" s="325" t="s">
        <v>395</v>
      </c>
      <c r="B19" s="325"/>
      <c r="C19" s="325"/>
      <c r="D19" s="325"/>
      <c r="E19" s="325"/>
      <c r="F19" s="325"/>
    </row>
    <row r="20" spans="1:7">
      <c r="A20" s="152" t="s">
        <v>396</v>
      </c>
      <c r="B20" s="152" t="s">
        <v>397</v>
      </c>
      <c r="C20" s="152" t="s">
        <v>398</v>
      </c>
      <c r="D20" s="152" t="s">
        <v>399</v>
      </c>
      <c r="E20" s="152" t="s">
        <v>400</v>
      </c>
      <c r="F20" s="152" t="s">
        <v>406</v>
      </c>
    </row>
    <row r="21" spans="1:7">
      <c r="A21" s="142">
        <v>2003</v>
      </c>
      <c r="B21" s="142" t="s">
        <v>401</v>
      </c>
      <c r="C21" s="143">
        <v>8000</v>
      </c>
      <c r="D21" s="144">
        <v>2</v>
      </c>
      <c r="E21" s="143">
        <f t="shared" ref="E21:E30" si="2">C21*10%</f>
        <v>800</v>
      </c>
      <c r="F21" s="143">
        <f>IF(AND(2002&gt;=A21,2002&lt;(A21+D21)),(C21-E21)/D21,0)</f>
        <v>0</v>
      </c>
      <c r="G21" t="b">
        <f>AND(2002&gt;=A21,2002&lt;(A21+D21))</f>
        <v>0</v>
      </c>
    </row>
    <row r="22" spans="1:7">
      <c r="A22" s="145">
        <v>2002</v>
      </c>
      <c r="B22" s="145" t="s">
        <v>401</v>
      </c>
      <c r="C22" s="146">
        <v>10000</v>
      </c>
      <c r="D22" s="147">
        <v>2</v>
      </c>
      <c r="E22" s="146">
        <f t="shared" si="2"/>
        <v>1000</v>
      </c>
      <c r="F22" s="146">
        <f t="shared" ref="F22:F30" si="3">IF(AND(2002&gt;=A22,2002&lt;(A22+D22)),(C22-E22)/D22,0)</f>
        <v>4500</v>
      </c>
      <c r="G22" t="b">
        <f t="shared" ref="G22:G30" si="4">AND(2002&gt;=A22,2002&lt;(A22+D22))</f>
        <v>1</v>
      </c>
    </row>
    <row r="23" spans="1:7">
      <c r="A23" s="145">
        <v>2002</v>
      </c>
      <c r="B23" s="145" t="s">
        <v>402</v>
      </c>
      <c r="C23" s="146">
        <v>50000</v>
      </c>
      <c r="D23" s="147">
        <v>5</v>
      </c>
      <c r="E23" s="146">
        <f t="shared" si="2"/>
        <v>5000</v>
      </c>
      <c r="F23" s="146">
        <f t="shared" si="3"/>
        <v>9000</v>
      </c>
      <c r="G23" t="b">
        <f t="shared" si="4"/>
        <v>1</v>
      </c>
    </row>
    <row r="24" spans="1:7">
      <c r="A24" s="148">
        <v>2003</v>
      </c>
      <c r="B24" s="148" t="s">
        <v>403</v>
      </c>
      <c r="C24" s="146">
        <v>50000</v>
      </c>
      <c r="D24" s="147">
        <v>10</v>
      </c>
      <c r="E24" s="146">
        <f t="shared" si="2"/>
        <v>5000</v>
      </c>
      <c r="F24" s="146">
        <f t="shared" si="3"/>
        <v>0</v>
      </c>
      <c r="G24" t="b">
        <f t="shared" si="4"/>
        <v>0</v>
      </c>
    </row>
    <row r="25" spans="1:7">
      <c r="A25" s="148">
        <v>2003</v>
      </c>
      <c r="B25" s="148" t="s">
        <v>403</v>
      </c>
      <c r="C25" s="146">
        <v>70000</v>
      </c>
      <c r="D25" s="147">
        <v>10</v>
      </c>
      <c r="E25" s="146">
        <f t="shared" si="2"/>
        <v>7000</v>
      </c>
      <c r="F25" s="146">
        <f t="shared" si="3"/>
        <v>0</v>
      </c>
      <c r="G25" t="b">
        <f t="shared" si="4"/>
        <v>0</v>
      </c>
    </row>
    <row r="26" spans="1:7">
      <c r="A26" s="145">
        <v>2002</v>
      </c>
      <c r="B26" s="145" t="s">
        <v>404</v>
      </c>
      <c r="C26" s="146">
        <v>80000</v>
      </c>
      <c r="D26" s="147">
        <v>8</v>
      </c>
      <c r="E26" s="146">
        <f t="shared" si="2"/>
        <v>8000</v>
      </c>
      <c r="F26" s="146">
        <f t="shared" si="3"/>
        <v>9000</v>
      </c>
      <c r="G26" t="b">
        <f t="shared" si="4"/>
        <v>1</v>
      </c>
    </row>
    <row r="27" spans="1:7">
      <c r="A27" s="148">
        <v>2003</v>
      </c>
      <c r="B27" s="148" t="s">
        <v>404</v>
      </c>
      <c r="C27" s="146">
        <v>80000</v>
      </c>
      <c r="D27" s="147">
        <v>8</v>
      </c>
      <c r="E27" s="146">
        <f t="shared" si="2"/>
        <v>8000</v>
      </c>
      <c r="F27" s="146">
        <f t="shared" si="3"/>
        <v>0</v>
      </c>
      <c r="G27" t="b">
        <f t="shared" si="4"/>
        <v>0</v>
      </c>
    </row>
    <row r="28" spans="1:7">
      <c r="A28" s="145">
        <v>2002</v>
      </c>
      <c r="B28" s="145" t="s">
        <v>403</v>
      </c>
      <c r="C28" s="146">
        <v>100000</v>
      </c>
      <c r="D28" s="147">
        <v>10</v>
      </c>
      <c r="E28" s="146">
        <f t="shared" si="2"/>
        <v>10000</v>
      </c>
      <c r="F28" s="146">
        <f t="shared" si="3"/>
        <v>9000</v>
      </c>
      <c r="G28" t="b">
        <f t="shared" si="4"/>
        <v>1</v>
      </c>
    </row>
    <row r="29" spans="1:7">
      <c r="A29" s="148">
        <v>2003</v>
      </c>
      <c r="B29" s="148" t="s">
        <v>402</v>
      </c>
      <c r="C29" s="146">
        <v>150000</v>
      </c>
      <c r="D29" s="147">
        <v>1</v>
      </c>
      <c r="E29" s="146">
        <f t="shared" si="2"/>
        <v>15000</v>
      </c>
      <c r="F29" s="146">
        <f t="shared" si="3"/>
        <v>0</v>
      </c>
      <c r="G29" t="b">
        <f t="shared" si="4"/>
        <v>0</v>
      </c>
    </row>
    <row r="30" spans="1:7">
      <c r="A30" s="149">
        <v>2002</v>
      </c>
      <c r="B30" s="149" t="s">
        <v>405</v>
      </c>
      <c r="C30" s="150">
        <v>300000</v>
      </c>
      <c r="D30" s="151">
        <v>40</v>
      </c>
      <c r="E30" s="150">
        <f t="shared" si="2"/>
        <v>30000</v>
      </c>
      <c r="F30" s="150">
        <f t="shared" si="3"/>
        <v>6750</v>
      </c>
      <c r="G30" t="b">
        <f t="shared" si="4"/>
        <v>1</v>
      </c>
    </row>
  </sheetData>
  <mergeCells count="1">
    <mergeCell ref="A19:F19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workbookViewId="0">
      <selection activeCell="B23" sqref="B23"/>
    </sheetView>
  </sheetViews>
  <sheetFormatPr defaultRowHeight="13.5"/>
  <cols>
    <col min="1" max="1" width="13.44140625" customWidth="1"/>
    <col min="2" max="3" width="14.77734375" customWidth="1"/>
    <col min="4" max="4" width="14.109375" customWidth="1"/>
  </cols>
  <sheetData>
    <row r="2" spans="1:4">
      <c r="A2" s="327" t="s">
        <v>120</v>
      </c>
      <c r="B2" s="328"/>
      <c r="C2" s="153" t="s">
        <v>408</v>
      </c>
      <c r="D2" s="154" t="s">
        <v>407</v>
      </c>
    </row>
    <row r="3" spans="1:4">
      <c r="A3" s="16" t="s">
        <v>115</v>
      </c>
      <c r="B3" s="19" t="s">
        <v>409</v>
      </c>
      <c r="C3" s="16" t="s">
        <v>121</v>
      </c>
      <c r="D3" s="16" t="str">
        <f>LEFT(A3,7)</f>
        <v>대한민국 Ko</v>
      </c>
    </row>
    <row r="4" spans="1:4">
      <c r="A4" s="16" t="s">
        <v>116</v>
      </c>
      <c r="B4" s="19" t="s">
        <v>410</v>
      </c>
      <c r="C4" s="16" t="s">
        <v>122</v>
      </c>
      <c r="D4" s="16" t="str">
        <f>LEFT(A4,3)</f>
        <v>Kor</v>
      </c>
    </row>
    <row r="5" spans="1:4">
      <c r="A5" s="16" t="s">
        <v>117</v>
      </c>
      <c r="B5" s="19" t="s">
        <v>411</v>
      </c>
      <c r="C5" s="16" t="s">
        <v>123</v>
      </c>
      <c r="D5" s="16" t="str">
        <f>LEFT(A5,2)</f>
        <v>대한</v>
      </c>
    </row>
    <row r="8" spans="1:4">
      <c r="A8" s="327" t="s">
        <v>119</v>
      </c>
      <c r="B8" s="328"/>
      <c r="C8" s="153" t="s">
        <v>408</v>
      </c>
      <c r="D8" s="154" t="s">
        <v>407</v>
      </c>
    </row>
    <row r="9" spans="1:4">
      <c r="A9" s="16" t="s">
        <v>115</v>
      </c>
      <c r="B9" s="19" t="s">
        <v>413</v>
      </c>
      <c r="C9" s="16" t="s">
        <v>412</v>
      </c>
      <c r="D9" s="16" t="str">
        <f>RIGHT(A9,5)</f>
        <v>Korea</v>
      </c>
    </row>
    <row r="10" spans="1:4">
      <c r="A10" s="16" t="s">
        <v>116</v>
      </c>
      <c r="B10" s="19" t="s">
        <v>414</v>
      </c>
      <c r="C10" s="16" t="s">
        <v>124</v>
      </c>
      <c r="D10" s="16" t="str">
        <f>RIGHT(A10,3)</f>
        <v>rea</v>
      </c>
    </row>
    <row r="11" spans="1:4">
      <c r="A11" s="16" t="s">
        <v>117</v>
      </c>
      <c r="B11" s="19" t="s">
        <v>415</v>
      </c>
      <c r="C11" s="16" t="s">
        <v>125</v>
      </c>
      <c r="D11" s="16" t="str">
        <f>RIGHT(A11,2)</f>
        <v>민국</v>
      </c>
    </row>
    <row r="14" spans="1:4">
      <c r="A14" s="327" t="s">
        <v>118</v>
      </c>
      <c r="B14" s="328"/>
      <c r="C14" s="153" t="s">
        <v>408</v>
      </c>
      <c r="D14" s="154" t="s">
        <v>407</v>
      </c>
    </row>
    <row r="15" spans="1:4">
      <c r="A15" s="16" t="s">
        <v>115</v>
      </c>
      <c r="B15" s="19" t="s">
        <v>419</v>
      </c>
      <c r="C15" s="16" t="s">
        <v>416</v>
      </c>
      <c r="D15" s="16" t="str">
        <f>MID(A15,3,6)</f>
        <v>민국 Kor</v>
      </c>
    </row>
    <row r="16" spans="1:4">
      <c r="A16" s="16" t="s">
        <v>116</v>
      </c>
      <c r="B16" s="19" t="s">
        <v>420</v>
      </c>
      <c r="C16" s="16" t="s">
        <v>417</v>
      </c>
      <c r="D16" s="16" t="str">
        <f>MID(A16,2,2)</f>
        <v>or</v>
      </c>
    </row>
    <row r="17" spans="1:5">
      <c r="A17" s="16" t="s">
        <v>117</v>
      </c>
      <c r="B17" s="19" t="s">
        <v>421</v>
      </c>
      <c r="C17" s="16" t="s">
        <v>418</v>
      </c>
      <c r="D17" s="16" t="str">
        <f>MID(A17,3,2)</f>
        <v>민국</v>
      </c>
    </row>
    <row r="19" spans="1:5">
      <c r="A19" s="196" t="s">
        <v>301</v>
      </c>
    </row>
    <row r="21" spans="1:5">
      <c r="A21" s="326" t="s">
        <v>422</v>
      </c>
      <c r="B21" s="326"/>
    </row>
    <row r="22" spans="1:5">
      <c r="A22" s="20" t="s">
        <v>97</v>
      </c>
      <c r="B22" s="157" t="s">
        <v>107</v>
      </c>
      <c r="C22" s="155"/>
    </row>
    <row r="23" spans="1:5">
      <c r="A23" s="20" t="s">
        <v>99</v>
      </c>
      <c r="B23" s="113" t="str">
        <f>IF(LEFT(A23,2)="P1","공공용",IF(LEFT(A23,2)="P2","가정용","사업용"))</f>
        <v>공공용</v>
      </c>
      <c r="C23" s="156"/>
    </row>
    <row r="24" spans="1:5">
      <c r="A24" s="20" t="s">
        <v>100</v>
      </c>
      <c r="B24" s="113" t="str">
        <f t="shared" ref="B24:B30" si="0">IF(LEFT(A24,2)="P1","공공용",IF(LEFT(A24,2)="P2","가정용","사업용"))</f>
        <v>공공용</v>
      </c>
      <c r="C24" s="156"/>
    </row>
    <row r="25" spans="1:5">
      <c r="A25" s="20" t="s">
        <v>100</v>
      </c>
      <c r="B25" s="113" t="str">
        <f t="shared" si="0"/>
        <v>공공용</v>
      </c>
      <c r="C25" s="156"/>
    </row>
    <row r="26" spans="1:5">
      <c r="A26" s="20" t="s">
        <v>101</v>
      </c>
      <c r="B26" s="113" t="str">
        <f t="shared" si="0"/>
        <v>가정용</v>
      </c>
      <c r="C26" s="156"/>
    </row>
    <row r="27" spans="1:5">
      <c r="A27" s="20" t="s">
        <v>102</v>
      </c>
      <c r="B27" s="113" t="str">
        <f t="shared" si="0"/>
        <v>가정용</v>
      </c>
      <c r="C27" s="156"/>
      <c r="E27" s="51"/>
    </row>
    <row r="28" spans="1:5">
      <c r="A28" s="20" t="s">
        <v>103</v>
      </c>
      <c r="B28" s="113" t="str">
        <f t="shared" si="0"/>
        <v>사업용</v>
      </c>
      <c r="C28" s="156"/>
      <c r="D28" s="76" t="s">
        <v>132</v>
      </c>
    </row>
    <row r="29" spans="1:5">
      <c r="A29" s="20" t="s">
        <v>104</v>
      </c>
      <c r="B29" s="113" t="str">
        <f t="shared" si="0"/>
        <v>사업용</v>
      </c>
      <c r="C29" s="156"/>
      <c r="D29" s="76" t="s">
        <v>133</v>
      </c>
    </row>
    <row r="30" spans="1:5">
      <c r="A30" s="20" t="s">
        <v>105</v>
      </c>
      <c r="B30" s="113" t="str">
        <f t="shared" si="0"/>
        <v>사업용</v>
      </c>
      <c r="C30" s="156"/>
      <c r="D30" s="76" t="s">
        <v>134</v>
      </c>
    </row>
  </sheetData>
  <mergeCells count="4">
    <mergeCell ref="A21:B21"/>
    <mergeCell ref="A2:B2"/>
    <mergeCell ref="A8:B8"/>
    <mergeCell ref="A14:B14"/>
  </mergeCells>
  <phoneticPr fontId="5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8"/>
  <sheetViews>
    <sheetView workbookViewId="0">
      <selection activeCell="E18" sqref="E18"/>
    </sheetView>
  </sheetViews>
  <sheetFormatPr defaultRowHeight="13.5"/>
  <cols>
    <col min="4" max="4" width="21.109375" customWidth="1"/>
    <col min="5" max="5" width="22.6640625" customWidth="1"/>
  </cols>
  <sheetData>
    <row r="2" spans="1:4">
      <c r="A2" s="23" t="s">
        <v>424</v>
      </c>
      <c r="B2" s="23" t="s">
        <v>85</v>
      </c>
      <c r="C2" s="23" t="s">
        <v>86</v>
      </c>
      <c r="D2" s="21" t="s">
        <v>87</v>
      </c>
    </row>
    <row r="3" spans="1:4">
      <c r="A3" s="7">
        <v>1998</v>
      </c>
      <c r="B3" s="7">
        <v>5</v>
      </c>
      <c r="C3" s="7">
        <v>11</v>
      </c>
      <c r="D3" s="16" t="str">
        <f>A3&amp;"년 "&amp;B3&amp;"월 "&amp;C3&amp;"일"</f>
        <v>1998년 5월 11일</v>
      </c>
    </row>
    <row r="4" spans="1:4">
      <c r="A4" s="7">
        <v>1999</v>
      </c>
      <c r="B4" s="7">
        <v>6</v>
      </c>
      <c r="C4" s="7">
        <v>12</v>
      </c>
      <c r="D4" s="16" t="str">
        <f t="shared" ref="D4:D10" si="0">A4&amp;"년 "&amp;B4&amp;"월 "&amp;C4&amp;"일"</f>
        <v>1999년 6월 12일</v>
      </c>
    </row>
    <row r="5" spans="1:4">
      <c r="A5" s="7">
        <v>2000</v>
      </c>
      <c r="B5" s="7">
        <v>7</v>
      </c>
      <c r="C5" s="7">
        <v>13</v>
      </c>
      <c r="D5" s="16" t="str">
        <f t="shared" si="0"/>
        <v>2000년 7월 13일</v>
      </c>
    </row>
    <row r="6" spans="1:4">
      <c r="A6" s="7">
        <v>2001</v>
      </c>
      <c r="B6" s="7">
        <v>8</v>
      </c>
      <c r="C6" s="7">
        <v>14</v>
      </c>
      <c r="D6" s="16" t="str">
        <f t="shared" si="0"/>
        <v>2001년 8월 14일</v>
      </c>
    </row>
    <row r="7" spans="1:4">
      <c r="A7" s="7">
        <v>2003</v>
      </c>
      <c r="B7" s="7">
        <v>9</v>
      </c>
      <c r="C7" s="7">
        <v>15</v>
      </c>
      <c r="D7" s="16" t="str">
        <f t="shared" si="0"/>
        <v>2003년 9월 15일</v>
      </c>
    </row>
    <row r="8" spans="1:4">
      <c r="A8" s="7">
        <v>2003</v>
      </c>
      <c r="B8" s="7">
        <v>10</v>
      </c>
      <c r="C8" s="7">
        <v>16</v>
      </c>
      <c r="D8" s="16" t="str">
        <f t="shared" si="0"/>
        <v>2003년 10월 16일</v>
      </c>
    </row>
    <row r="9" spans="1:4">
      <c r="A9" s="7">
        <v>2004</v>
      </c>
      <c r="B9" s="7">
        <v>11</v>
      </c>
      <c r="C9" s="7">
        <v>17</v>
      </c>
      <c r="D9" s="16" t="str">
        <f t="shared" si="0"/>
        <v>2004년 11월 17일</v>
      </c>
    </row>
    <row r="10" spans="1:4">
      <c r="A10" s="7">
        <v>2005</v>
      </c>
      <c r="B10" s="7">
        <v>12</v>
      </c>
      <c r="C10" s="7">
        <v>18</v>
      </c>
      <c r="D10" s="16" t="str">
        <f t="shared" si="0"/>
        <v>2005년 12월 18일</v>
      </c>
    </row>
    <row r="12" spans="1:4">
      <c r="A12" t="s">
        <v>423</v>
      </c>
    </row>
    <row r="15" spans="1:4">
      <c r="A15" s="196" t="s">
        <v>301</v>
      </c>
    </row>
    <row r="17" spans="1:5">
      <c r="A17" s="53" t="s">
        <v>228</v>
      </c>
      <c r="B17" s="53" t="s">
        <v>229</v>
      </c>
      <c r="C17" s="53" t="s">
        <v>245</v>
      </c>
      <c r="D17" s="55" t="s">
        <v>246</v>
      </c>
    </row>
    <row r="18" spans="1:5">
      <c r="A18" s="52" t="s">
        <v>214</v>
      </c>
      <c r="B18" s="52" t="s">
        <v>230</v>
      </c>
      <c r="C18" s="54">
        <v>3</v>
      </c>
      <c r="D18" s="24" t="str">
        <f>CONCATENATE(A18,":",LEFT(B18,1),":",C18,"일")</f>
        <v>이승엽:B:3일</v>
      </c>
      <c r="E18" t="str">
        <f>A18&amp;":"&amp;LEFT(B18,1)&amp;":"&amp;C18&amp;"일"</f>
        <v>이승엽:B:3일</v>
      </c>
    </row>
    <row r="19" spans="1:5">
      <c r="A19" s="52" t="s">
        <v>231</v>
      </c>
      <c r="B19" s="52" t="s">
        <v>232</v>
      </c>
      <c r="C19" s="54">
        <v>3</v>
      </c>
      <c r="D19" s="24" t="str">
        <f t="shared" ref="D19:D26" si="1">CONCATENATE(A19,":",LEFT(B19,1),":",C19,"일")</f>
        <v>김재해:A:3일</v>
      </c>
    </row>
    <row r="20" spans="1:5">
      <c r="A20" s="52" t="s">
        <v>233</v>
      </c>
      <c r="B20" s="52" t="s">
        <v>234</v>
      </c>
      <c r="C20" s="54">
        <v>4</v>
      </c>
      <c r="D20" s="24" t="str">
        <f t="shared" si="1"/>
        <v>최경주:C:4일</v>
      </c>
    </row>
    <row r="21" spans="1:5">
      <c r="A21" s="52" t="s">
        <v>144</v>
      </c>
      <c r="B21" s="52" t="s">
        <v>235</v>
      </c>
      <c r="C21" s="54">
        <v>4</v>
      </c>
      <c r="D21" s="24" t="str">
        <f t="shared" si="1"/>
        <v>이종범:A:4일</v>
      </c>
    </row>
    <row r="22" spans="1:5">
      <c r="A22" s="52" t="s">
        <v>236</v>
      </c>
      <c r="B22" s="52" t="s">
        <v>237</v>
      </c>
      <c r="C22" s="54">
        <v>5</v>
      </c>
      <c r="D22" s="24" t="str">
        <f t="shared" si="1"/>
        <v>이봉주:B:5일</v>
      </c>
    </row>
    <row r="23" spans="1:5">
      <c r="A23" s="52" t="s">
        <v>238</v>
      </c>
      <c r="B23" s="52" t="s">
        <v>239</v>
      </c>
      <c r="C23" s="54">
        <v>5</v>
      </c>
      <c r="D23" s="24" t="str">
        <f t="shared" si="1"/>
        <v>이수경:A:5일</v>
      </c>
    </row>
    <row r="24" spans="1:5">
      <c r="A24" s="53" t="s">
        <v>240</v>
      </c>
      <c r="B24" s="53" t="s">
        <v>241</v>
      </c>
      <c r="C24" s="54">
        <v>5</v>
      </c>
      <c r="D24" s="24" t="str">
        <f t="shared" si="1"/>
        <v>유남규:A:5일</v>
      </c>
    </row>
    <row r="25" spans="1:5">
      <c r="A25" s="52" t="s">
        <v>242</v>
      </c>
      <c r="B25" s="52" t="s">
        <v>230</v>
      </c>
      <c r="C25" s="54">
        <v>6</v>
      </c>
      <c r="D25" s="24" t="str">
        <f t="shared" si="1"/>
        <v>원미경:B:6일</v>
      </c>
    </row>
    <row r="26" spans="1:5">
      <c r="A26" s="53" t="s">
        <v>243</v>
      </c>
      <c r="B26" s="53" t="s">
        <v>244</v>
      </c>
      <c r="C26" s="54">
        <v>6</v>
      </c>
      <c r="D26" s="24" t="str">
        <f t="shared" si="1"/>
        <v>한기주:B:6일</v>
      </c>
    </row>
    <row r="28" spans="1:5">
      <c r="A28" t="s">
        <v>247</v>
      </c>
    </row>
  </sheetData>
  <phoneticPr fontId="5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workbookViewId="0">
      <selection activeCell="F25" sqref="F25"/>
    </sheetView>
  </sheetViews>
  <sheetFormatPr defaultRowHeight="13.5"/>
  <cols>
    <col min="1" max="1" width="8.77734375" customWidth="1"/>
    <col min="2" max="2" width="13" customWidth="1"/>
    <col min="3" max="3" width="12.33203125" customWidth="1"/>
    <col min="4" max="4" width="9.109375" customWidth="1"/>
    <col min="5" max="6" width="11.44140625" bestFit="1" customWidth="1"/>
  </cols>
  <sheetData>
    <row r="2" spans="1:6">
      <c r="A2" s="113" t="s">
        <v>126</v>
      </c>
      <c r="B2" s="7" t="s">
        <v>113</v>
      </c>
      <c r="C2" s="112" t="s">
        <v>407</v>
      </c>
    </row>
    <row r="3" spans="1:6">
      <c r="A3" s="113" t="s">
        <v>88</v>
      </c>
      <c r="B3" s="29" t="s">
        <v>142</v>
      </c>
      <c r="C3" s="159">
        <v>41638</v>
      </c>
      <c r="D3" s="57"/>
    </row>
    <row r="4" spans="1:6">
      <c r="A4" s="113" t="s">
        <v>89</v>
      </c>
      <c r="B4" s="30" t="s">
        <v>431</v>
      </c>
      <c r="C4" s="16">
        <f>YEAR(C3)</f>
        <v>2013</v>
      </c>
      <c r="D4" s="59"/>
    </row>
    <row r="5" spans="1:6">
      <c r="A5" s="113" t="s">
        <v>90</v>
      </c>
      <c r="B5" s="30" t="s">
        <v>430</v>
      </c>
      <c r="C5" s="16">
        <f>MONTH(C3)</f>
        <v>12</v>
      </c>
      <c r="D5" s="59"/>
      <c r="F5" s="57"/>
    </row>
    <row r="6" spans="1:6">
      <c r="A6" s="113" t="s">
        <v>91</v>
      </c>
      <c r="B6" s="30" t="s">
        <v>427</v>
      </c>
      <c r="C6" s="16">
        <f>DAY(C3)</f>
        <v>30</v>
      </c>
      <c r="D6" s="59"/>
    </row>
    <row r="7" spans="1:6">
      <c r="A7" s="111"/>
      <c r="B7" s="46"/>
      <c r="C7" s="63"/>
    </row>
    <row r="8" spans="1:6">
      <c r="A8" s="111"/>
      <c r="B8" s="46"/>
      <c r="C8" s="63"/>
    </row>
    <row r="9" spans="1:6">
      <c r="A9" s="113" t="s">
        <v>425</v>
      </c>
      <c r="B9" s="158" t="s">
        <v>426</v>
      </c>
      <c r="C9" s="112" t="s">
        <v>407</v>
      </c>
    </row>
    <row r="10" spans="1:6">
      <c r="A10" s="113" t="s">
        <v>92</v>
      </c>
      <c r="B10" s="31" t="s">
        <v>143</v>
      </c>
      <c r="C10" s="160">
        <v>0.35462962962962963</v>
      </c>
      <c r="D10" s="58"/>
    </row>
    <row r="11" spans="1:6">
      <c r="A11" s="113" t="s">
        <v>93</v>
      </c>
      <c r="B11" s="30" t="s">
        <v>432</v>
      </c>
      <c r="C11" s="16">
        <f>HOUR(C10)</f>
        <v>8</v>
      </c>
      <c r="D11" s="59"/>
    </row>
    <row r="12" spans="1:6">
      <c r="A12" s="113" t="s">
        <v>94</v>
      </c>
      <c r="B12" s="30" t="s">
        <v>428</v>
      </c>
      <c r="C12" s="16">
        <f>MINUTE(C10)</f>
        <v>30</v>
      </c>
      <c r="D12" s="59"/>
    </row>
    <row r="13" spans="1:6">
      <c r="A13" s="113" t="s">
        <v>95</v>
      </c>
      <c r="B13" s="30" t="s">
        <v>429</v>
      </c>
      <c r="C13" s="16">
        <f>SECOND(C10)</f>
        <v>40</v>
      </c>
      <c r="D13" s="59"/>
    </row>
    <row r="15" spans="1:6">
      <c r="E15" s="57"/>
    </row>
    <row r="17" spans="1:6">
      <c r="A17" s="329" t="s">
        <v>96</v>
      </c>
      <c r="B17" s="329"/>
      <c r="C17" s="329"/>
      <c r="D17" s="329"/>
    </row>
    <row r="18" spans="1:6">
      <c r="A18" s="56" t="s">
        <v>248</v>
      </c>
      <c r="B18" s="56"/>
      <c r="C18" s="56"/>
      <c r="D18" s="56"/>
    </row>
    <row r="21" spans="1:6">
      <c r="A21" s="196" t="s">
        <v>301</v>
      </c>
    </row>
    <row r="23" spans="1:6">
      <c r="A23" s="326" t="s">
        <v>453</v>
      </c>
      <c r="B23" s="326"/>
      <c r="C23" s="326"/>
      <c r="D23" s="326"/>
      <c r="E23" s="326"/>
      <c r="F23" s="326"/>
    </row>
    <row r="24" spans="1:6">
      <c r="A24" s="128" t="s">
        <v>16</v>
      </c>
      <c r="B24" s="128" t="s">
        <v>449</v>
      </c>
      <c r="C24" s="128" t="s">
        <v>433</v>
      </c>
      <c r="D24" s="67" t="s">
        <v>434</v>
      </c>
      <c r="E24" s="129" t="s">
        <v>435</v>
      </c>
      <c r="F24" s="129" t="s">
        <v>451</v>
      </c>
    </row>
    <row r="25" spans="1:6">
      <c r="A25" s="161" t="s">
        <v>436</v>
      </c>
      <c r="B25" s="162">
        <v>0.3923611111111111</v>
      </c>
      <c r="C25" s="162">
        <v>0.76388888888888884</v>
      </c>
      <c r="D25" s="163">
        <f t="shared" ref="D25:D37" si="0">C25-B25</f>
        <v>0.37152777777777773</v>
      </c>
      <c r="E25" s="164">
        <f t="shared" ref="E25:E37" si="1">HOUR(D25)*4800+MINUTE(D25)*80</f>
        <v>42800</v>
      </c>
      <c r="F25" s="102">
        <f>IF(HOUR(D25)&gt;=6,10000,2000)</f>
        <v>10000</v>
      </c>
    </row>
    <row r="26" spans="1:6">
      <c r="A26" s="165" t="s">
        <v>437</v>
      </c>
      <c r="B26" s="166">
        <v>0.3888888888888889</v>
      </c>
      <c r="C26" s="166">
        <v>0.69097222222222221</v>
      </c>
      <c r="D26" s="167">
        <f t="shared" si="0"/>
        <v>0.30208333333333331</v>
      </c>
      <c r="E26" s="168">
        <f t="shared" si="1"/>
        <v>34800</v>
      </c>
      <c r="F26" s="102">
        <f t="shared" ref="F26:F37" si="2">IF(HOUR(D26)&gt;=6,10000,2000)</f>
        <v>10000</v>
      </c>
    </row>
    <row r="27" spans="1:6">
      <c r="A27" s="165" t="s">
        <v>438</v>
      </c>
      <c r="B27" s="166">
        <v>0.56180555555555556</v>
      </c>
      <c r="C27" s="166">
        <v>0.72916666666666663</v>
      </c>
      <c r="D27" s="167">
        <f t="shared" si="0"/>
        <v>0.16736111111111107</v>
      </c>
      <c r="E27" s="168">
        <f t="shared" si="1"/>
        <v>19280</v>
      </c>
      <c r="F27" s="102">
        <f t="shared" si="2"/>
        <v>2000</v>
      </c>
    </row>
    <row r="28" spans="1:6">
      <c r="A28" s="165" t="s">
        <v>439</v>
      </c>
      <c r="B28" s="166">
        <v>0.54861111111111105</v>
      </c>
      <c r="C28" s="166">
        <v>0.84722222222222221</v>
      </c>
      <c r="D28" s="167">
        <f t="shared" si="0"/>
        <v>0.29861111111111116</v>
      </c>
      <c r="E28" s="168">
        <f t="shared" si="1"/>
        <v>34400</v>
      </c>
      <c r="F28" s="102">
        <f t="shared" si="2"/>
        <v>10000</v>
      </c>
    </row>
    <row r="29" spans="1:6">
      <c r="A29" s="165" t="s">
        <v>440</v>
      </c>
      <c r="B29" s="166">
        <v>0.59027777777777779</v>
      </c>
      <c r="C29" s="166">
        <v>0.875</v>
      </c>
      <c r="D29" s="167">
        <f t="shared" si="0"/>
        <v>0.28472222222222221</v>
      </c>
      <c r="E29" s="168">
        <f t="shared" si="1"/>
        <v>32800</v>
      </c>
      <c r="F29" s="102">
        <f t="shared" si="2"/>
        <v>10000</v>
      </c>
    </row>
    <row r="30" spans="1:6">
      <c r="A30" s="165" t="s">
        <v>441</v>
      </c>
      <c r="B30" s="166">
        <v>0.35069444444444442</v>
      </c>
      <c r="C30" s="166">
        <v>0.51388888888888895</v>
      </c>
      <c r="D30" s="167">
        <f t="shared" si="0"/>
        <v>0.16319444444444453</v>
      </c>
      <c r="E30" s="168">
        <f t="shared" si="1"/>
        <v>18800</v>
      </c>
      <c r="F30" s="102">
        <f t="shared" si="2"/>
        <v>2000</v>
      </c>
    </row>
    <row r="31" spans="1:6">
      <c r="A31" s="165" t="s">
        <v>442</v>
      </c>
      <c r="B31" s="166">
        <v>0.72777777777777775</v>
      </c>
      <c r="C31" s="166">
        <v>0.98611111111111116</v>
      </c>
      <c r="D31" s="167">
        <f t="shared" si="0"/>
        <v>0.25833333333333341</v>
      </c>
      <c r="E31" s="168">
        <f t="shared" si="1"/>
        <v>29760</v>
      </c>
      <c r="F31" s="102">
        <f t="shared" si="2"/>
        <v>10000</v>
      </c>
    </row>
    <row r="32" spans="1:6">
      <c r="A32" s="165" t="s">
        <v>443</v>
      </c>
      <c r="B32" s="166">
        <v>0.56944444444444442</v>
      </c>
      <c r="C32" s="166">
        <v>0.84722222222222221</v>
      </c>
      <c r="D32" s="167">
        <f t="shared" si="0"/>
        <v>0.27777777777777779</v>
      </c>
      <c r="E32" s="168">
        <f t="shared" si="1"/>
        <v>32000</v>
      </c>
      <c r="F32" s="102">
        <f t="shared" si="2"/>
        <v>10000</v>
      </c>
    </row>
    <row r="33" spans="1:6">
      <c r="A33" s="165" t="s">
        <v>444</v>
      </c>
      <c r="B33" s="166">
        <v>0.34722222222222227</v>
      </c>
      <c r="C33" s="166">
        <v>0.72222222222222221</v>
      </c>
      <c r="D33" s="167">
        <f t="shared" si="0"/>
        <v>0.37499999999999994</v>
      </c>
      <c r="E33" s="168">
        <f t="shared" si="1"/>
        <v>43200</v>
      </c>
      <c r="F33" s="102">
        <f t="shared" si="2"/>
        <v>10000</v>
      </c>
    </row>
    <row r="34" spans="1:6">
      <c r="A34" s="165" t="s">
        <v>445</v>
      </c>
      <c r="B34" s="166">
        <v>0.68055555555555547</v>
      </c>
      <c r="C34" s="166">
        <v>0.83750000000000002</v>
      </c>
      <c r="D34" s="167">
        <f t="shared" si="0"/>
        <v>0.15694444444444455</v>
      </c>
      <c r="E34" s="168">
        <f t="shared" si="1"/>
        <v>18080</v>
      </c>
      <c r="F34" s="102">
        <f t="shared" si="2"/>
        <v>2000</v>
      </c>
    </row>
    <row r="35" spans="1:6">
      <c r="A35" s="165" t="s">
        <v>446</v>
      </c>
      <c r="B35" s="166">
        <v>0.37152777777777773</v>
      </c>
      <c r="C35" s="166">
        <v>0.71527777777777779</v>
      </c>
      <c r="D35" s="167">
        <f t="shared" si="0"/>
        <v>0.34375000000000006</v>
      </c>
      <c r="E35" s="168">
        <f t="shared" si="1"/>
        <v>39600</v>
      </c>
      <c r="F35" s="102">
        <f t="shared" si="2"/>
        <v>10000</v>
      </c>
    </row>
    <row r="36" spans="1:6">
      <c r="A36" s="165" t="s">
        <v>447</v>
      </c>
      <c r="B36" s="166">
        <v>0.55555555555555558</v>
      </c>
      <c r="C36" s="166">
        <v>0.84027777777777779</v>
      </c>
      <c r="D36" s="169">
        <f t="shared" si="0"/>
        <v>0.28472222222222221</v>
      </c>
      <c r="E36" s="170">
        <f t="shared" si="1"/>
        <v>32800</v>
      </c>
      <c r="F36" s="102">
        <f t="shared" si="2"/>
        <v>10000</v>
      </c>
    </row>
    <row r="37" spans="1:6">
      <c r="A37" s="171" t="s">
        <v>448</v>
      </c>
      <c r="B37" s="172">
        <v>0.55208333333333337</v>
      </c>
      <c r="C37" s="172">
        <v>0.86805555555555547</v>
      </c>
      <c r="D37" s="173">
        <f t="shared" si="0"/>
        <v>0.3159722222222221</v>
      </c>
      <c r="E37" s="174">
        <f t="shared" si="1"/>
        <v>36400</v>
      </c>
      <c r="F37" s="104">
        <f t="shared" si="2"/>
        <v>10000</v>
      </c>
    </row>
    <row r="40" spans="1:6">
      <c r="A40" s="175" t="s">
        <v>450</v>
      </c>
    </row>
    <row r="41" spans="1:6">
      <c r="A41" t="s">
        <v>452</v>
      </c>
    </row>
  </sheetData>
  <mergeCells count="2">
    <mergeCell ref="A17:D17"/>
    <mergeCell ref="A23:F23"/>
  </mergeCells>
  <phoneticPr fontId="5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17" sqref="E17:F17"/>
    </sheetView>
  </sheetViews>
  <sheetFormatPr defaultRowHeight="13.5"/>
  <cols>
    <col min="1" max="1" width="9.6640625" customWidth="1"/>
    <col min="2" max="2" width="9.33203125" customWidth="1"/>
    <col min="3" max="3" width="9.6640625" customWidth="1"/>
    <col min="4" max="4" width="10.33203125" customWidth="1"/>
    <col min="5" max="5" width="10.77734375" customWidth="1"/>
    <col min="6" max="6" width="15.33203125" customWidth="1"/>
  </cols>
  <sheetData>
    <row r="1" spans="1:7" ht="22.5">
      <c r="A1" s="330" t="s">
        <v>106</v>
      </c>
      <c r="B1" s="330"/>
      <c r="C1" s="330"/>
      <c r="D1" s="330"/>
      <c r="E1" s="330"/>
      <c r="F1" s="330"/>
    </row>
    <row r="2" spans="1:7" ht="14.1" customHeight="1">
      <c r="A2" s="77" t="s">
        <v>97</v>
      </c>
      <c r="B2" s="78" t="s">
        <v>107</v>
      </c>
      <c r="C2" s="114" t="s">
        <v>456</v>
      </c>
      <c r="D2" s="78" t="s">
        <v>98</v>
      </c>
      <c r="E2" s="78" t="s">
        <v>108</v>
      </c>
      <c r="F2" s="78" t="s">
        <v>109</v>
      </c>
    </row>
    <row r="3" spans="1:7" ht="14.1" customHeight="1">
      <c r="A3" s="77" t="s">
        <v>225</v>
      </c>
      <c r="B3" s="79" t="s">
        <v>110</v>
      </c>
      <c r="C3" s="80">
        <v>210</v>
      </c>
      <c r="D3" s="81">
        <v>6000</v>
      </c>
      <c r="E3" s="82">
        <v>8022</v>
      </c>
      <c r="F3" s="82">
        <v>14022</v>
      </c>
    </row>
    <row r="4" spans="1:7" ht="14.1" customHeight="1">
      <c r="A4" s="77" t="s">
        <v>100</v>
      </c>
      <c r="B4" s="79" t="s">
        <v>110</v>
      </c>
      <c r="C4" s="80">
        <v>256</v>
      </c>
      <c r="D4" s="81">
        <v>2500</v>
      </c>
      <c r="E4" s="82">
        <v>9932.7999999999993</v>
      </c>
      <c r="F4" s="82">
        <v>12432.8</v>
      </c>
    </row>
    <row r="5" spans="1:7" ht="14.1" customHeight="1">
      <c r="A5" s="77" t="s">
        <v>100</v>
      </c>
      <c r="B5" s="79" t="s">
        <v>110</v>
      </c>
      <c r="C5" s="80">
        <v>256</v>
      </c>
      <c r="D5" s="81">
        <v>2500</v>
      </c>
      <c r="E5" s="82">
        <v>9779.2000000000007</v>
      </c>
      <c r="F5" s="82">
        <v>12279.2</v>
      </c>
    </row>
    <row r="6" spans="1:7" ht="14.1" customHeight="1">
      <c r="A6" s="77" t="s">
        <v>101</v>
      </c>
      <c r="B6" s="79" t="s">
        <v>111</v>
      </c>
      <c r="C6" s="80">
        <v>156</v>
      </c>
      <c r="D6" s="81">
        <v>4000</v>
      </c>
      <c r="E6" s="82">
        <v>6115.2</v>
      </c>
      <c r="F6" s="82">
        <v>10115.200000000001</v>
      </c>
    </row>
    <row r="7" spans="1:7" ht="14.1" customHeight="1">
      <c r="A7" s="77" t="s">
        <v>102</v>
      </c>
      <c r="B7" s="79" t="s">
        <v>111</v>
      </c>
      <c r="C7" s="80">
        <v>468</v>
      </c>
      <c r="D7" s="81">
        <v>5000</v>
      </c>
      <c r="E7" s="82">
        <v>17971.2</v>
      </c>
      <c r="F7" s="82">
        <v>22971.200000000001</v>
      </c>
    </row>
    <row r="8" spans="1:7" ht="14.1" customHeight="1">
      <c r="A8" s="77" t="s">
        <v>103</v>
      </c>
      <c r="B8" s="79" t="s">
        <v>112</v>
      </c>
      <c r="C8" s="80">
        <v>30</v>
      </c>
      <c r="D8" s="81">
        <v>4000</v>
      </c>
      <c r="E8" s="82">
        <v>1146</v>
      </c>
      <c r="F8" s="82">
        <v>5146</v>
      </c>
    </row>
    <row r="9" spans="1:7" ht="14.1" customHeight="1">
      <c r="A9" s="77" t="s">
        <v>104</v>
      </c>
      <c r="B9" s="79" t="s">
        <v>112</v>
      </c>
      <c r="C9" s="80">
        <v>56</v>
      </c>
      <c r="D9" s="81">
        <v>4000</v>
      </c>
      <c r="E9" s="82">
        <v>2083.1999999999998</v>
      </c>
      <c r="F9" s="82">
        <v>6083.2</v>
      </c>
    </row>
    <row r="10" spans="1:7" ht="14.1" customHeight="1">
      <c r="A10" s="77" t="s">
        <v>105</v>
      </c>
      <c r="B10" s="79" t="s">
        <v>112</v>
      </c>
      <c r="C10" s="80">
        <v>186</v>
      </c>
      <c r="D10" s="81">
        <v>4000</v>
      </c>
      <c r="E10" s="82">
        <v>6956.4</v>
      </c>
      <c r="F10" s="82">
        <v>10956.4</v>
      </c>
    </row>
    <row r="11" spans="1:7" ht="14.1" customHeight="1">
      <c r="A11" s="342" t="s">
        <v>454</v>
      </c>
      <c r="B11" s="83" t="s">
        <v>282</v>
      </c>
      <c r="C11" s="84">
        <f>SUMIF($B$3:$B$10,$B11,C$3:C$10)</f>
        <v>722</v>
      </c>
      <c r="D11" s="84">
        <f t="shared" ref="D11:F11" si="0">SUMIF($B$3:$B$10,$B11,D$3:D$10)</f>
        <v>11000</v>
      </c>
      <c r="E11" s="84">
        <f t="shared" si="0"/>
        <v>27734</v>
      </c>
      <c r="F11" s="84">
        <f t="shared" si="0"/>
        <v>38734</v>
      </c>
      <c r="G11" s="18"/>
    </row>
    <row r="12" spans="1:7" ht="14.1" customHeight="1">
      <c r="A12" s="342"/>
      <c r="B12" s="83" t="s">
        <v>283</v>
      </c>
      <c r="C12" s="84">
        <f t="shared" ref="C12:E13" si="1">SUMIF($B$3:$B$10,$B12,C$3:C$10)</f>
        <v>624</v>
      </c>
      <c r="D12" s="84">
        <f>SUMIF($B$3:$B$10,$B12,D$3:D$10)</f>
        <v>9000</v>
      </c>
      <c r="E12" s="84">
        <f t="shared" si="1"/>
        <v>24086.400000000001</v>
      </c>
      <c r="F12" s="84">
        <f>SUMIF($B$3:$B$10,$B12,F$3:F$10)</f>
        <v>33086.400000000001</v>
      </c>
    </row>
    <row r="13" spans="1:7" ht="14.1" customHeight="1">
      <c r="A13" s="342"/>
      <c r="B13" s="83" t="s">
        <v>284</v>
      </c>
      <c r="C13" s="84">
        <f t="shared" si="1"/>
        <v>272</v>
      </c>
      <c r="D13" s="84">
        <f t="shared" si="1"/>
        <v>12000</v>
      </c>
      <c r="E13" s="84">
        <f t="shared" si="1"/>
        <v>10185.599999999999</v>
      </c>
      <c r="F13" s="84">
        <f>SUMIF($B$3:$B$10,$B13,F$3:F$10)</f>
        <v>22185.599999999999</v>
      </c>
    </row>
    <row r="14" spans="1:7" ht="14.1" customHeight="1">
      <c r="A14" s="338" t="s">
        <v>457</v>
      </c>
      <c r="B14" s="339"/>
      <c r="C14" s="339"/>
      <c r="D14" s="339"/>
      <c r="E14" s="337">
        <f>SUMIF(A3:A10,"P1*",E3:E10)</f>
        <v>27734</v>
      </c>
      <c r="F14" s="337"/>
      <c r="G14" s="48"/>
    </row>
    <row r="15" spans="1:7" ht="14.1" customHeight="1">
      <c r="A15" s="338" t="s">
        <v>458</v>
      </c>
      <c r="B15" s="339"/>
      <c r="C15" s="339"/>
      <c r="D15" s="339"/>
      <c r="E15" s="337">
        <f>SUMIF(C3:C10,"&gt;=250",F3:F10)</f>
        <v>47683.199999999997</v>
      </c>
      <c r="F15" s="337"/>
    </row>
    <row r="16" spans="1:7" ht="14.1" customHeight="1">
      <c r="A16" s="338" t="s">
        <v>755</v>
      </c>
      <c r="B16" s="339"/>
      <c r="C16" s="339"/>
      <c r="D16" s="339"/>
      <c r="E16" s="337">
        <f>SUMIF(C3:C10,"&gt;=200",D3:D10)-SUMIF(C3:C10,"&gt;=300",D3:D10)</f>
        <v>11000</v>
      </c>
      <c r="F16" s="337"/>
    </row>
    <row r="17" spans="1:7" ht="14.1" customHeight="1">
      <c r="A17" s="333" t="s">
        <v>285</v>
      </c>
      <c r="B17" s="334"/>
      <c r="C17" s="334"/>
      <c r="D17" s="335"/>
      <c r="E17" s="340">
        <f>SUMIF(B3:B10,"&lt;영업용",D3:D10)</f>
        <v>20000</v>
      </c>
      <c r="F17" s="341"/>
      <c r="G17" s="48"/>
    </row>
    <row r="18" spans="1:7" ht="14.1" customHeight="1">
      <c r="A18" s="336" t="s">
        <v>754</v>
      </c>
      <c r="B18" s="334"/>
      <c r="C18" s="334"/>
      <c r="D18" s="335"/>
      <c r="E18" s="331" t="s">
        <v>455</v>
      </c>
      <c r="F18" s="332"/>
    </row>
  </sheetData>
  <mergeCells count="12">
    <mergeCell ref="A1:F1"/>
    <mergeCell ref="E18:F18"/>
    <mergeCell ref="A17:D17"/>
    <mergeCell ref="A18:D18"/>
    <mergeCell ref="E14:F14"/>
    <mergeCell ref="E15:F15"/>
    <mergeCell ref="A16:D16"/>
    <mergeCell ref="E16:F16"/>
    <mergeCell ref="A14:D14"/>
    <mergeCell ref="A15:D15"/>
    <mergeCell ref="E17:F17"/>
    <mergeCell ref="A11:A13"/>
  </mergeCells>
  <phoneticPr fontId="5" type="noConversion"/>
  <printOptions horizontalCentered="1"/>
  <pageMargins left="0.74803149606299213" right="0.74803149606299213" top="2.3622047244094491" bottom="0.98425196850393704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D35" sqref="D35:E35"/>
    </sheetView>
  </sheetViews>
  <sheetFormatPr defaultRowHeight="13.5"/>
  <cols>
    <col min="2" max="2" width="13.33203125" customWidth="1"/>
    <col min="3" max="3" width="13.21875" customWidth="1"/>
    <col min="4" max="4" width="11.88671875" customWidth="1"/>
    <col min="5" max="5" width="17" customWidth="1"/>
    <col min="6" max="6" width="13.6640625" customWidth="1"/>
  </cols>
  <sheetData>
    <row r="1" spans="1:8">
      <c r="A1" s="343" t="s">
        <v>461</v>
      </c>
      <c r="B1" s="343"/>
      <c r="C1" s="343"/>
      <c r="D1" s="343"/>
      <c r="E1" s="343"/>
    </row>
    <row r="2" spans="1:8">
      <c r="A2" s="11" t="s">
        <v>16</v>
      </c>
      <c r="B2" s="2" t="s">
        <v>459</v>
      </c>
      <c r="C2" s="2" t="s">
        <v>460</v>
      </c>
      <c r="E2" s="62"/>
    </row>
    <row r="3" spans="1:8">
      <c r="A3" s="11" t="s">
        <v>65</v>
      </c>
      <c r="B3" s="13">
        <v>34491</v>
      </c>
      <c r="C3" s="11">
        <v>73</v>
      </c>
      <c r="D3" s="138" t="s">
        <v>468</v>
      </c>
      <c r="E3" s="139"/>
    </row>
    <row r="4" spans="1:8">
      <c r="A4" s="11" t="s">
        <v>66</v>
      </c>
      <c r="B4" s="13">
        <v>35521</v>
      </c>
      <c r="C4" s="11">
        <v>68</v>
      </c>
      <c r="D4" s="331">
        <f>COUNTIF(C3:C11,"&gt;=70")</f>
        <v>4</v>
      </c>
      <c r="E4" s="344"/>
    </row>
    <row r="5" spans="1:8">
      <c r="A5" s="11" t="s">
        <v>67</v>
      </c>
      <c r="B5" s="13">
        <v>36286</v>
      </c>
      <c r="C5" s="11">
        <v>98</v>
      </c>
      <c r="D5" s="140" t="s">
        <v>469</v>
      </c>
      <c r="E5" s="141"/>
    </row>
    <row r="6" spans="1:8">
      <c r="A6" s="11" t="s">
        <v>68</v>
      </c>
      <c r="B6" s="13">
        <v>35004</v>
      </c>
      <c r="C6" s="2"/>
      <c r="D6" s="331">
        <f>COUNTIF(A3:A11,"김*")</f>
        <v>3</v>
      </c>
      <c r="E6" s="344"/>
    </row>
    <row r="7" spans="1:8">
      <c r="A7" s="11" t="s">
        <v>69</v>
      </c>
      <c r="B7" s="13">
        <v>35796</v>
      </c>
      <c r="C7" s="11">
        <v>69</v>
      </c>
      <c r="D7" s="16" t="s">
        <v>466</v>
      </c>
      <c r="E7" s="16"/>
    </row>
    <row r="8" spans="1:8">
      <c r="A8" s="11" t="s">
        <v>70</v>
      </c>
      <c r="B8" s="13">
        <v>35956</v>
      </c>
      <c r="C8" s="11">
        <v>80</v>
      </c>
      <c r="D8" s="345">
        <f>COUNTIF(A3:A11,"*희")</f>
        <v>2</v>
      </c>
      <c r="E8" s="346"/>
    </row>
    <row r="9" spans="1:8">
      <c r="A9" s="11" t="s">
        <v>71</v>
      </c>
      <c r="B9" s="13">
        <v>35684</v>
      </c>
      <c r="C9" s="2"/>
      <c r="D9" s="138" t="s">
        <v>467</v>
      </c>
      <c r="E9" s="139"/>
      <c r="G9" s="26"/>
      <c r="H9" s="26"/>
    </row>
    <row r="10" spans="1:8">
      <c r="A10" s="11" t="s">
        <v>130</v>
      </c>
      <c r="B10" s="13">
        <v>35226</v>
      </c>
      <c r="C10" s="11">
        <v>70</v>
      </c>
      <c r="D10" s="331">
        <f>SUMIF(C3:C11,"&gt;=70",C3:C11)/COUNTIF(C3:C11,"&gt;=70")</f>
        <v>80.25</v>
      </c>
      <c r="E10" s="344"/>
    </row>
    <row r="11" spans="1:8">
      <c r="A11" s="14" t="s">
        <v>72</v>
      </c>
      <c r="B11" s="13">
        <v>35921</v>
      </c>
      <c r="C11" s="14">
        <v>68</v>
      </c>
    </row>
    <row r="12" spans="1:8">
      <c r="A12" s="352" t="s">
        <v>464</v>
      </c>
      <c r="B12" s="353"/>
      <c r="C12" s="353"/>
      <c r="D12" s="110">
        <f>COUNT(C3:C11)</f>
        <v>7</v>
      </c>
    </row>
    <row r="13" spans="1:8">
      <c r="A13" s="354" t="s">
        <v>465</v>
      </c>
      <c r="B13" s="355"/>
      <c r="C13" s="356"/>
      <c r="D13" s="110">
        <f>COUNTBLANK(C3:C11)</f>
        <v>2</v>
      </c>
    </row>
    <row r="14" spans="1:8">
      <c r="A14" s="352" t="s">
        <v>463</v>
      </c>
      <c r="B14" s="353"/>
      <c r="C14" s="353"/>
      <c r="D14" s="110">
        <f>COUNTIF(A3:A11,"&gt;=박정호")</f>
        <v>4</v>
      </c>
      <c r="E14" s="85"/>
    </row>
    <row r="15" spans="1:8">
      <c r="A15" s="352" t="s">
        <v>756</v>
      </c>
      <c r="B15" s="353"/>
      <c r="C15" s="353"/>
      <c r="D15" s="86">
        <f>COUNTIF(A3:A11,"&gt;=박인수")-COUNTIF(A3:A11,"&gt;=유현숙")</f>
        <v>3</v>
      </c>
      <c r="E15" s="85"/>
    </row>
    <row r="16" spans="1:8">
      <c r="A16" s="357" t="s">
        <v>462</v>
      </c>
      <c r="B16" s="358"/>
      <c r="C16" s="359"/>
      <c r="D16" s="86">
        <f>COUNTIF(B3:B11,"&gt;=1997-4-1")</f>
        <v>6</v>
      </c>
      <c r="E16" s="85"/>
    </row>
    <row r="19" spans="1:5">
      <c r="A19" s="313" t="s">
        <v>471</v>
      </c>
      <c r="B19" s="313"/>
      <c r="C19" s="313"/>
      <c r="D19" s="313"/>
      <c r="E19" s="313"/>
    </row>
    <row r="21" spans="1:5">
      <c r="A21" s="137" t="s">
        <v>97</v>
      </c>
      <c r="B21" s="137" t="s">
        <v>184</v>
      </c>
      <c r="C21" s="137" t="s">
        <v>185</v>
      </c>
      <c r="D21" s="137" t="s">
        <v>186</v>
      </c>
      <c r="E21" s="137" t="s">
        <v>187</v>
      </c>
    </row>
    <row r="22" spans="1:5">
      <c r="A22" s="137" t="s">
        <v>178</v>
      </c>
      <c r="B22" s="137" t="s">
        <v>111</v>
      </c>
      <c r="C22" s="16">
        <v>156</v>
      </c>
      <c r="D22" s="47">
        <v>85800</v>
      </c>
      <c r="E22" s="47">
        <v>173800</v>
      </c>
    </row>
    <row r="23" spans="1:5">
      <c r="A23" s="137" t="s">
        <v>179</v>
      </c>
      <c r="B23" s="137" t="s">
        <v>188</v>
      </c>
      <c r="C23" s="16">
        <v>122</v>
      </c>
      <c r="D23" s="47">
        <v>42700</v>
      </c>
      <c r="E23" s="47">
        <v>86700</v>
      </c>
    </row>
    <row r="24" spans="1:5">
      <c r="A24" s="137" t="s">
        <v>189</v>
      </c>
      <c r="B24" s="137" t="s">
        <v>190</v>
      </c>
      <c r="C24" s="16">
        <v>114</v>
      </c>
      <c r="D24" s="47">
        <v>28500</v>
      </c>
      <c r="E24" s="47">
        <v>52580</v>
      </c>
    </row>
    <row r="25" spans="1:5">
      <c r="A25" s="137" t="s">
        <v>180</v>
      </c>
      <c r="B25" s="137" t="s">
        <v>188</v>
      </c>
      <c r="C25" s="16">
        <v>154</v>
      </c>
      <c r="D25" s="47">
        <v>53900</v>
      </c>
      <c r="E25" s="47">
        <v>47432</v>
      </c>
    </row>
    <row r="26" spans="1:5">
      <c r="A26" s="137" t="s">
        <v>191</v>
      </c>
      <c r="B26" s="137" t="s">
        <v>190</v>
      </c>
      <c r="C26" s="16">
        <v>136</v>
      </c>
      <c r="D26" s="47">
        <v>34000</v>
      </c>
      <c r="E26" s="47">
        <v>37520</v>
      </c>
    </row>
    <row r="27" spans="1:5">
      <c r="A27" s="137" t="s">
        <v>192</v>
      </c>
      <c r="B27" s="137" t="s">
        <v>111</v>
      </c>
      <c r="C27" s="16">
        <v>60</v>
      </c>
      <c r="D27" s="47">
        <v>33000</v>
      </c>
      <c r="E27" s="47">
        <v>33000</v>
      </c>
    </row>
    <row r="28" spans="1:5">
      <c r="A28" s="137" t="s">
        <v>193</v>
      </c>
      <c r="B28" s="137" t="s">
        <v>188</v>
      </c>
      <c r="C28" s="16">
        <v>66</v>
      </c>
      <c r="D28" s="47">
        <v>23100</v>
      </c>
      <c r="E28" s="47">
        <v>20328</v>
      </c>
    </row>
    <row r="29" spans="1:5">
      <c r="A29" s="137" t="s">
        <v>181</v>
      </c>
      <c r="B29" s="137" t="s">
        <v>190</v>
      </c>
      <c r="C29" s="16">
        <v>33</v>
      </c>
      <c r="D29" s="47">
        <v>8250</v>
      </c>
      <c r="E29" s="47">
        <v>13200</v>
      </c>
    </row>
    <row r="30" spans="1:5">
      <c r="A30" s="137" t="s">
        <v>194</v>
      </c>
      <c r="B30" s="137" t="s">
        <v>111</v>
      </c>
      <c r="C30" s="16">
        <v>26</v>
      </c>
      <c r="D30" s="47">
        <v>14300</v>
      </c>
      <c r="E30" s="47">
        <v>12584</v>
      </c>
    </row>
    <row r="31" spans="1:5">
      <c r="A31" s="137" t="s">
        <v>182</v>
      </c>
      <c r="B31" s="137" t="s">
        <v>188</v>
      </c>
      <c r="C31" s="16">
        <v>12</v>
      </c>
      <c r="D31" s="47">
        <v>4200</v>
      </c>
      <c r="E31" s="47">
        <v>8316</v>
      </c>
    </row>
    <row r="32" spans="1:5">
      <c r="A32" s="137" t="s">
        <v>195</v>
      </c>
      <c r="B32" s="137" t="s">
        <v>188</v>
      </c>
      <c r="C32" s="16">
        <v>13</v>
      </c>
      <c r="D32" s="47">
        <v>4550</v>
      </c>
      <c r="E32" s="47">
        <v>6750</v>
      </c>
    </row>
    <row r="33" spans="1:5">
      <c r="A33" s="137" t="s">
        <v>196</v>
      </c>
      <c r="B33" s="137" t="s">
        <v>188</v>
      </c>
      <c r="C33" s="16">
        <v>18</v>
      </c>
      <c r="D33" s="47">
        <v>6300</v>
      </c>
      <c r="E33" s="47">
        <v>5544</v>
      </c>
    </row>
    <row r="34" spans="1:5">
      <c r="A34" s="137" t="s">
        <v>183</v>
      </c>
      <c r="B34" s="137" t="s">
        <v>190</v>
      </c>
      <c r="C34" s="16">
        <v>18</v>
      </c>
      <c r="D34" s="47">
        <v>4500</v>
      </c>
      <c r="E34" s="47">
        <v>3960</v>
      </c>
    </row>
    <row r="35" spans="1:5">
      <c r="A35" s="347" t="s">
        <v>470</v>
      </c>
      <c r="B35" s="348"/>
      <c r="C35" s="349"/>
      <c r="D35" s="350">
        <f>COUNTIF(E22:E34,"&gt;=10000")-COUNTIF(E22:E34,"&gt;=15000")</f>
        <v>2</v>
      </c>
      <c r="E35" s="351"/>
    </row>
  </sheetData>
  <mergeCells count="13">
    <mergeCell ref="A35:C35"/>
    <mergeCell ref="D35:E35"/>
    <mergeCell ref="A14:C14"/>
    <mergeCell ref="A15:C15"/>
    <mergeCell ref="A12:C12"/>
    <mergeCell ref="A13:C13"/>
    <mergeCell ref="A19:E19"/>
    <mergeCell ref="A16:C16"/>
    <mergeCell ref="A1:E1"/>
    <mergeCell ref="D4:E4"/>
    <mergeCell ref="D6:E6"/>
    <mergeCell ref="D8:E8"/>
    <mergeCell ref="D10:E10"/>
  </mergeCells>
  <phoneticPr fontId="5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opLeftCell="A4" zoomScaleNormal="100" workbookViewId="0">
      <selection activeCell="I18" sqref="I18"/>
    </sheetView>
  </sheetViews>
  <sheetFormatPr defaultRowHeight="16.5"/>
  <cols>
    <col min="1" max="1" width="8.88671875" style="201"/>
    <col min="2" max="2" width="8.33203125" style="201" customWidth="1"/>
    <col min="3" max="3" width="8.88671875" style="201"/>
    <col min="4" max="4" width="11.21875" style="201" customWidth="1"/>
    <col min="5" max="5" width="8.77734375" style="201" customWidth="1"/>
    <col min="6" max="8" width="8.88671875" style="201"/>
    <col min="9" max="9" width="9.5546875" style="201" customWidth="1"/>
    <col min="10" max="10" width="8.88671875" style="201"/>
    <col min="11" max="11" width="10" style="201" customWidth="1"/>
    <col min="12" max="16384" width="8.88671875" style="201"/>
  </cols>
  <sheetData>
    <row r="1" spans="1:11">
      <c r="A1" s="200" t="s">
        <v>16</v>
      </c>
      <c r="B1" s="200" t="s">
        <v>560</v>
      </c>
      <c r="C1" s="200" t="s">
        <v>561</v>
      </c>
      <c r="D1" s="200" t="s">
        <v>562</v>
      </c>
      <c r="E1" s="200" t="s">
        <v>563</v>
      </c>
    </row>
    <row r="2" spans="1:11">
      <c r="A2" s="202" t="s">
        <v>564</v>
      </c>
      <c r="B2" s="202" t="s">
        <v>565</v>
      </c>
      <c r="C2" s="203">
        <v>540</v>
      </c>
      <c r="D2" s="203">
        <v>230</v>
      </c>
      <c r="E2" s="203">
        <v>340</v>
      </c>
    </row>
    <row r="3" spans="1:11">
      <c r="A3" s="202" t="s">
        <v>566</v>
      </c>
      <c r="B3" s="202" t="s">
        <v>567</v>
      </c>
      <c r="C3" s="203">
        <v>430</v>
      </c>
      <c r="D3" s="203">
        <v>330</v>
      </c>
      <c r="E3" s="203">
        <v>300</v>
      </c>
    </row>
    <row r="4" spans="1:11">
      <c r="A4" s="202" t="s">
        <v>568</v>
      </c>
      <c r="B4" s="202" t="s">
        <v>569</v>
      </c>
      <c r="C4" s="203">
        <v>120</v>
      </c>
      <c r="D4" s="203">
        <v>80</v>
      </c>
      <c r="E4" s="203">
        <v>110</v>
      </c>
    </row>
    <row r="5" spans="1:11">
      <c r="A5" s="202" t="s">
        <v>570</v>
      </c>
      <c r="B5" s="202" t="s">
        <v>6</v>
      </c>
      <c r="C5" s="203">
        <v>500</v>
      </c>
      <c r="D5" s="203">
        <v>310</v>
      </c>
      <c r="E5" s="203">
        <v>422</v>
      </c>
    </row>
    <row r="6" spans="1:11">
      <c r="A6" s="202" t="s">
        <v>571</v>
      </c>
      <c r="B6" s="202" t="s">
        <v>565</v>
      </c>
      <c r="C6" s="203">
        <v>120</v>
      </c>
      <c r="D6" s="203">
        <v>110</v>
      </c>
      <c r="E6" s="203">
        <v>70</v>
      </c>
    </row>
    <row r="7" spans="1:11">
      <c r="A7" s="202" t="s">
        <v>572</v>
      </c>
      <c r="B7" s="202" t="s">
        <v>567</v>
      </c>
      <c r="C7" s="203">
        <v>480</v>
      </c>
      <c r="D7" s="203">
        <v>310</v>
      </c>
      <c r="E7" s="203">
        <v>520</v>
      </c>
    </row>
    <row r="8" spans="1:11">
      <c r="A8" s="202" t="s">
        <v>573</v>
      </c>
      <c r="B8" s="202" t="s">
        <v>565</v>
      </c>
      <c r="C8" s="203">
        <v>60</v>
      </c>
      <c r="D8" s="203">
        <v>72</v>
      </c>
      <c r="E8" s="203">
        <v>20</v>
      </c>
    </row>
    <row r="9" spans="1:11">
      <c r="A9" s="202" t="s">
        <v>574</v>
      </c>
      <c r="B9" s="202" t="s">
        <v>565</v>
      </c>
      <c r="C9" s="203">
        <v>45</v>
      </c>
      <c r="D9" s="203">
        <v>12</v>
      </c>
      <c r="E9" s="203">
        <v>30</v>
      </c>
    </row>
    <row r="10" spans="1:11">
      <c r="A10" s="204"/>
      <c r="B10" s="204"/>
      <c r="C10" s="205"/>
      <c r="D10" s="205"/>
      <c r="E10" s="205"/>
    </row>
    <row r="11" spans="1:11">
      <c r="A11" s="206" t="s">
        <v>575</v>
      </c>
      <c r="B11" s="207"/>
      <c r="C11" s="207"/>
      <c r="D11" s="207"/>
      <c r="E11" s="207"/>
      <c r="G11" s="208" t="s">
        <v>576</v>
      </c>
      <c r="H11" s="209"/>
      <c r="I11" s="209"/>
      <c r="J11" s="209"/>
      <c r="K11" s="209"/>
    </row>
    <row r="12" spans="1:11">
      <c r="A12" s="363" t="s">
        <v>577</v>
      </c>
      <c r="B12" s="364"/>
      <c r="C12" s="365">
        <f>SUMIFS(D2:D9,C2:C9,"&gt;=400",C2:C9,"&lt;500")</f>
        <v>640</v>
      </c>
      <c r="D12" s="365"/>
      <c r="E12" s="365"/>
      <c r="G12" s="366" t="s">
        <v>578</v>
      </c>
      <c r="H12" s="366"/>
      <c r="I12" s="360" t="str">
        <f>COUNTIFS(C2:C9,"&gt;=400",C2:C9,"&lt;500")&amp;"건"</f>
        <v>2건</v>
      </c>
      <c r="J12" s="360"/>
      <c r="K12" s="360"/>
    </row>
    <row r="14" spans="1:11">
      <c r="A14" s="210" t="s">
        <v>579</v>
      </c>
      <c r="B14" s="211"/>
      <c r="C14" s="211"/>
      <c r="D14" s="211"/>
      <c r="E14" s="211"/>
      <c r="G14" s="212" t="s">
        <v>580</v>
      </c>
      <c r="H14" s="211"/>
      <c r="I14" s="211"/>
      <c r="J14" s="211"/>
      <c r="K14" s="211"/>
    </row>
    <row r="15" spans="1:11">
      <c r="A15" s="361" t="s">
        <v>581</v>
      </c>
      <c r="B15" s="362"/>
      <c r="C15" s="213">
        <f>AVERAGEIF($A$2:$A$9,"이*",C2:C9)</f>
        <v>203.33333333333334</v>
      </c>
      <c r="D15" s="213">
        <f t="shared" ref="D15:E15" si="0">AVERAGEIF($A$2:$A$9,"이*",D2:D9)</f>
        <v>170.66666666666666</v>
      </c>
      <c r="E15" s="213">
        <f t="shared" si="0"/>
        <v>130</v>
      </c>
      <c r="G15" s="361" t="s">
        <v>582</v>
      </c>
      <c r="H15" s="361"/>
      <c r="I15" s="214">
        <f>AVERAGEIFS(C2:C9,$A$2:$A$9,"이*",$B$2:$B$9,"대구",$E$2:$E$9,"&gt;=300")</f>
        <v>430</v>
      </c>
      <c r="J15" s="214">
        <f t="shared" ref="J15:K15" si="1">AVERAGEIFS(D2:D9,$A$2:$A$9,"이*",$B$2:$B$9,"대구",$E$2:$E$9,"&gt;=300")</f>
        <v>330</v>
      </c>
      <c r="K15" s="214">
        <f t="shared" si="1"/>
        <v>300</v>
      </c>
    </row>
    <row r="17" spans="1:11">
      <c r="A17" s="212" t="s">
        <v>583</v>
      </c>
      <c r="B17" s="211"/>
      <c r="C17" s="211"/>
      <c r="D17" s="211"/>
      <c r="E17" s="211"/>
      <c r="G17" s="206" t="s">
        <v>584</v>
      </c>
      <c r="H17" s="207"/>
      <c r="I17" s="207"/>
      <c r="J17" s="207"/>
      <c r="K17" s="207"/>
    </row>
    <row r="18" spans="1:11">
      <c r="A18" s="361" t="s">
        <v>585</v>
      </c>
      <c r="B18" s="361"/>
      <c r="C18" s="214">
        <f>SUMIFS(C2:C9,$A$2:$A$9,"이*",$B$2:$B$9,"대구",$E$2:$E$9,"&gt;=300")</f>
        <v>430</v>
      </c>
      <c r="D18" s="214">
        <f t="shared" ref="D18:E18" si="2">SUMIFS(D2:D9,$A$2:$A$9,"이*",$B$2:$B$9,"대구",$E$2:$E$9,"&gt;=300")</f>
        <v>330</v>
      </c>
      <c r="E18" s="214">
        <f t="shared" si="2"/>
        <v>300</v>
      </c>
      <c r="G18" s="363" t="s">
        <v>586</v>
      </c>
      <c r="H18" s="364"/>
      <c r="I18" s="214">
        <f>AVERAGEIFS(C2:C9,$C$2:$C$9,"&gt;=400",$C$2:$C$9,"&lt;500")</f>
        <v>455</v>
      </c>
      <c r="J18" s="214">
        <f t="shared" ref="J18:K18" si="3">AVERAGEIFS(D2:D9,$C$2:$C$9,"&gt;=400",$C$2:$C$9,"&lt;500")</f>
        <v>320</v>
      </c>
      <c r="K18" s="214">
        <f t="shared" si="3"/>
        <v>410</v>
      </c>
    </row>
  </sheetData>
  <mergeCells count="8">
    <mergeCell ref="I12:K12"/>
    <mergeCell ref="A15:B15"/>
    <mergeCell ref="G15:H15"/>
    <mergeCell ref="A18:B18"/>
    <mergeCell ref="G18:H18"/>
    <mergeCell ref="A12:B12"/>
    <mergeCell ref="C12:E12"/>
    <mergeCell ref="G12:H12"/>
  </mergeCells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J4" sqref="J4"/>
    </sheetView>
  </sheetViews>
  <sheetFormatPr defaultRowHeight="16.5"/>
  <cols>
    <col min="1" max="1" width="9.44140625" style="218" customWidth="1"/>
    <col min="2" max="2" width="12" style="218" customWidth="1"/>
    <col min="3" max="3" width="11.44140625" style="218" customWidth="1"/>
    <col min="4" max="4" width="12.33203125" style="218" customWidth="1"/>
    <col min="5" max="5" width="11.88671875" style="218" customWidth="1"/>
    <col min="6" max="6" width="3.88671875" style="218" customWidth="1"/>
    <col min="7" max="7" width="10.77734375" style="218" customWidth="1"/>
    <col min="8" max="8" width="10" style="218" customWidth="1"/>
    <col min="9" max="9" width="8.88671875" style="218"/>
    <col min="10" max="10" width="9.109375" style="218" customWidth="1"/>
    <col min="11" max="16384" width="8.88671875" style="218"/>
  </cols>
  <sheetData>
    <row r="1" spans="1:11">
      <c r="A1" s="215" t="s">
        <v>587</v>
      </c>
      <c r="B1" s="215"/>
      <c r="C1" s="215"/>
      <c r="D1" s="216"/>
      <c r="E1" s="216"/>
      <c r="F1" s="217"/>
      <c r="G1" s="367" t="s">
        <v>588</v>
      </c>
      <c r="H1" s="368"/>
      <c r="I1" s="368"/>
      <c r="J1" s="368"/>
    </row>
    <row r="2" spans="1:11">
      <c r="A2" s="215" t="s">
        <v>589</v>
      </c>
      <c r="B2" s="215"/>
      <c r="C2" s="215"/>
      <c r="D2" s="216"/>
      <c r="E2" s="216"/>
      <c r="F2" s="217"/>
      <c r="G2" s="369"/>
      <c r="H2" s="369"/>
      <c r="I2" s="369"/>
      <c r="J2" s="369"/>
    </row>
    <row r="3" spans="1:11">
      <c r="A3" s="219" t="s">
        <v>590</v>
      </c>
      <c r="B3" s="219" t="s">
        <v>16</v>
      </c>
      <c r="C3" s="219" t="s">
        <v>18</v>
      </c>
      <c r="D3" s="220" t="s">
        <v>591</v>
      </c>
      <c r="E3" s="221" t="s">
        <v>592</v>
      </c>
      <c r="G3" s="222" t="s">
        <v>593</v>
      </c>
      <c r="H3" s="222" t="s">
        <v>594</v>
      </c>
      <c r="I3" s="222" t="s">
        <v>595</v>
      </c>
      <c r="J3" s="223" t="s">
        <v>596</v>
      </c>
      <c r="K3" s="201"/>
    </row>
    <row r="4" spans="1:11">
      <c r="A4" s="219" t="s">
        <v>597</v>
      </c>
      <c r="B4" s="219" t="s">
        <v>598</v>
      </c>
      <c r="C4" s="219">
        <v>82</v>
      </c>
      <c r="D4" s="219" t="str">
        <f>VLOOKUP(C4,$A$15:$B$19,2)</f>
        <v>B</v>
      </c>
      <c r="E4" s="224" t="str">
        <f>VLOOKUP(A4,$D$15:$E$19,2,0)</f>
        <v>경영학</v>
      </c>
      <c r="G4" s="225">
        <v>2</v>
      </c>
      <c r="H4" s="226" t="s">
        <v>599</v>
      </c>
      <c r="I4" s="225">
        <v>16</v>
      </c>
      <c r="J4" s="227" t="str">
        <f t="shared" ref="J4:J10" si="0">HLOOKUP(MID(H4,2,1),$H$13:$K$14,2,0)</f>
        <v>브라질</v>
      </c>
      <c r="K4" s="201"/>
    </row>
    <row r="5" spans="1:11">
      <c r="A5" s="219" t="s">
        <v>600</v>
      </c>
      <c r="B5" s="219" t="s">
        <v>601</v>
      </c>
      <c r="C5" s="219">
        <v>62</v>
      </c>
      <c r="D5" s="219" t="str">
        <f t="shared" ref="D5:D11" si="1">VLOOKUP(C5,$A$15:$B$19,2)</f>
        <v>D</v>
      </c>
      <c r="E5" s="224" t="str">
        <f t="shared" ref="E5:E11" si="2">VLOOKUP(A5,$D$15:$E$19,2,0)</f>
        <v>의학</v>
      </c>
      <c r="G5" s="225">
        <v>3</v>
      </c>
      <c r="H5" s="226" t="s">
        <v>602</v>
      </c>
      <c r="I5" s="225">
        <v>14</v>
      </c>
      <c r="J5" s="227" t="str">
        <f t="shared" si="0"/>
        <v>미국</v>
      </c>
      <c r="K5" s="201"/>
    </row>
    <row r="6" spans="1:11">
      <c r="A6" s="219" t="s">
        <v>603</v>
      </c>
      <c r="B6" s="219" t="s">
        <v>604</v>
      </c>
      <c r="C6" s="219">
        <v>77</v>
      </c>
      <c r="D6" s="219" t="str">
        <f t="shared" si="1"/>
        <v>C</v>
      </c>
      <c r="E6" s="224" t="str">
        <f t="shared" si="2"/>
        <v>간호학</v>
      </c>
      <c r="G6" s="225">
        <v>4</v>
      </c>
      <c r="H6" s="226" t="s">
        <v>605</v>
      </c>
      <c r="I6" s="225">
        <v>8</v>
      </c>
      <c r="J6" s="227" t="str">
        <f t="shared" si="0"/>
        <v>캐나다</v>
      </c>
      <c r="K6" s="201"/>
    </row>
    <row r="7" spans="1:11">
      <c r="A7" s="219" t="s">
        <v>606</v>
      </c>
      <c r="B7" s="219" t="s">
        <v>607</v>
      </c>
      <c r="C7" s="219">
        <v>63</v>
      </c>
      <c r="D7" s="219" t="str">
        <f t="shared" si="1"/>
        <v>D</v>
      </c>
      <c r="E7" s="224" t="str">
        <f t="shared" si="2"/>
        <v>법학</v>
      </c>
      <c r="G7" s="225">
        <v>5</v>
      </c>
      <c r="H7" s="226" t="s">
        <v>608</v>
      </c>
      <c r="I7" s="225">
        <v>16</v>
      </c>
      <c r="J7" s="227" t="str">
        <f t="shared" si="0"/>
        <v>브라질</v>
      </c>
      <c r="K7" s="201"/>
    </row>
    <row r="8" spans="1:11">
      <c r="A8" s="219" t="s">
        <v>609</v>
      </c>
      <c r="B8" s="219" t="s">
        <v>610</v>
      </c>
      <c r="C8" s="219">
        <v>51</v>
      </c>
      <c r="D8" s="219" t="str">
        <f t="shared" si="1"/>
        <v>F</v>
      </c>
      <c r="E8" s="224" t="str">
        <f t="shared" si="2"/>
        <v>홍학</v>
      </c>
      <c r="G8" s="225">
        <v>6</v>
      </c>
      <c r="H8" s="226" t="s">
        <v>611</v>
      </c>
      <c r="I8" s="225">
        <v>7</v>
      </c>
      <c r="J8" s="227" t="str">
        <f t="shared" si="0"/>
        <v>미국</v>
      </c>
      <c r="K8" s="201"/>
    </row>
    <row r="9" spans="1:11">
      <c r="A9" s="219" t="s">
        <v>603</v>
      </c>
      <c r="B9" s="219" t="s">
        <v>612</v>
      </c>
      <c r="C9" s="219">
        <v>87</v>
      </c>
      <c r="D9" s="219" t="str">
        <f t="shared" si="1"/>
        <v>B</v>
      </c>
      <c r="E9" s="224" t="str">
        <f t="shared" si="2"/>
        <v>간호학</v>
      </c>
      <c r="G9" s="225">
        <v>7</v>
      </c>
      <c r="H9" s="226" t="s">
        <v>613</v>
      </c>
      <c r="I9" s="225">
        <v>14</v>
      </c>
      <c r="J9" s="227" t="e">
        <f t="shared" si="0"/>
        <v>#N/A</v>
      </c>
      <c r="K9" s="201"/>
    </row>
    <row r="10" spans="1:11">
      <c r="A10" s="219" t="s">
        <v>614</v>
      </c>
      <c r="B10" s="219" t="s">
        <v>615</v>
      </c>
      <c r="C10" s="219">
        <v>63</v>
      </c>
      <c r="D10" s="219" t="str">
        <f t="shared" si="1"/>
        <v>D</v>
      </c>
      <c r="E10" s="224" t="e">
        <f t="shared" si="2"/>
        <v>#N/A</v>
      </c>
      <c r="G10" s="225">
        <v>8</v>
      </c>
      <c r="H10" s="226" t="s">
        <v>616</v>
      </c>
      <c r="I10" s="225">
        <v>11</v>
      </c>
      <c r="J10" s="227" t="str">
        <f t="shared" si="0"/>
        <v>미국</v>
      </c>
      <c r="K10" s="201"/>
    </row>
    <row r="11" spans="1:11">
      <c r="A11" s="219" t="s">
        <v>609</v>
      </c>
      <c r="B11" s="219" t="s">
        <v>617</v>
      </c>
      <c r="C11" s="219">
        <v>92</v>
      </c>
      <c r="D11" s="219" t="str">
        <f t="shared" si="1"/>
        <v>A</v>
      </c>
      <c r="E11" s="224" t="str">
        <f t="shared" si="2"/>
        <v>홍학</v>
      </c>
      <c r="G11" s="228"/>
      <c r="H11" s="229"/>
      <c r="I11" s="228"/>
      <c r="J11" s="230"/>
    </row>
    <row r="12" spans="1:11">
      <c r="A12" s="217"/>
      <c r="B12" s="217"/>
      <c r="C12" s="217"/>
      <c r="D12" s="217"/>
      <c r="E12" s="217"/>
      <c r="F12" s="217"/>
      <c r="G12" s="370" t="s">
        <v>618</v>
      </c>
      <c r="H12" s="370"/>
      <c r="I12" s="370"/>
      <c r="J12" s="370"/>
      <c r="K12" s="370"/>
    </row>
    <row r="13" spans="1:11">
      <c r="A13" s="371" t="s">
        <v>619</v>
      </c>
      <c r="B13" s="371"/>
      <c r="C13" s="231"/>
      <c r="D13" s="371" t="s">
        <v>620</v>
      </c>
      <c r="E13" s="371"/>
      <c r="G13" s="232" t="s">
        <v>594</v>
      </c>
      <c r="H13" s="233" t="s">
        <v>621</v>
      </c>
      <c r="I13" s="233" t="s">
        <v>622</v>
      </c>
      <c r="J13" s="233" t="s">
        <v>623</v>
      </c>
      <c r="K13" s="233" t="s">
        <v>624</v>
      </c>
    </row>
    <row r="14" spans="1:11">
      <c r="A14" s="219" t="s">
        <v>625</v>
      </c>
      <c r="B14" s="219" t="s">
        <v>626</v>
      </c>
      <c r="D14" s="234" t="s">
        <v>620</v>
      </c>
      <c r="E14" s="234" t="s">
        <v>627</v>
      </c>
      <c r="G14" s="232" t="s">
        <v>628</v>
      </c>
      <c r="H14" s="235" t="s">
        <v>629</v>
      </c>
      <c r="I14" s="235" t="s">
        <v>630</v>
      </c>
      <c r="J14" s="235" t="s">
        <v>631</v>
      </c>
      <c r="K14" s="235" t="s">
        <v>632</v>
      </c>
    </row>
    <row r="15" spans="1:11">
      <c r="A15" s="219">
        <v>0</v>
      </c>
      <c r="B15" s="219" t="s">
        <v>633</v>
      </c>
      <c r="D15" s="236" t="s">
        <v>597</v>
      </c>
      <c r="E15" s="236" t="s">
        <v>634</v>
      </c>
    </row>
    <row r="16" spans="1:11">
      <c r="A16" s="219">
        <v>60</v>
      </c>
      <c r="B16" s="219" t="s">
        <v>536</v>
      </c>
      <c r="D16" s="236" t="s">
        <v>600</v>
      </c>
      <c r="E16" s="236" t="s">
        <v>635</v>
      </c>
    </row>
    <row r="17" spans="1:7">
      <c r="A17" s="219">
        <v>70</v>
      </c>
      <c r="B17" s="219" t="s">
        <v>636</v>
      </c>
      <c r="D17" s="236" t="s">
        <v>603</v>
      </c>
      <c r="E17" s="236" t="s">
        <v>637</v>
      </c>
    </row>
    <row r="18" spans="1:7">
      <c r="A18" s="219">
        <v>80</v>
      </c>
      <c r="B18" s="219" t="s">
        <v>538</v>
      </c>
      <c r="D18" s="236" t="s">
        <v>606</v>
      </c>
      <c r="E18" s="236" t="s">
        <v>638</v>
      </c>
    </row>
    <row r="19" spans="1:7">
      <c r="A19" s="219">
        <v>90</v>
      </c>
      <c r="B19" s="219" t="s">
        <v>639</v>
      </c>
      <c r="D19" s="236" t="s">
        <v>609</v>
      </c>
      <c r="E19" s="236" t="s">
        <v>640</v>
      </c>
    </row>
    <row r="22" spans="1:7">
      <c r="G22" s="237"/>
    </row>
    <row r="34" spans="1:4">
      <c r="A34" s="201"/>
      <c r="B34" s="201"/>
      <c r="C34" s="238"/>
    </row>
    <row r="35" spans="1:4">
      <c r="A35" s="201"/>
      <c r="B35" s="201"/>
      <c r="C35" s="238"/>
      <c r="D35" s="238"/>
    </row>
    <row r="36" spans="1:4">
      <c r="A36" s="201"/>
      <c r="B36" s="201"/>
      <c r="C36" s="238"/>
      <c r="D36" s="238"/>
    </row>
    <row r="37" spans="1:4">
      <c r="A37" s="201"/>
      <c r="B37" s="201"/>
      <c r="C37" s="238"/>
      <c r="D37" s="238"/>
    </row>
    <row r="38" spans="1:4">
      <c r="A38" s="201"/>
      <c r="B38" s="201"/>
      <c r="C38" s="238"/>
      <c r="D38" s="238"/>
    </row>
  </sheetData>
  <mergeCells count="4">
    <mergeCell ref="G1:J2"/>
    <mergeCell ref="G12:K12"/>
    <mergeCell ref="A13:B13"/>
    <mergeCell ref="D13:E13"/>
  </mergeCells>
  <phoneticPr fontId="5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G23" sqref="G23"/>
    </sheetView>
  </sheetViews>
  <sheetFormatPr defaultRowHeight="13.5"/>
  <cols>
    <col min="1" max="1" width="7.109375" style="40" customWidth="1"/>
    <col min="2" max="2" width="8.44140625" style="40" customWidth="1"/>
    <col min="3" max="3" width="7.6640625" style="40" customWidth="1"/>
    <col min="4" max="4" width="8.88671875" style="40" customWidth="1"/>
    <col min="5" max="5" width="9.21875" style="40" customWidth="1"/>
    <col min="6" max="6" width="11.6640625" style="40" customWidth="1"/>
    <col min="7" max="7" width="12" style="40" customWidth="1"/>
    <col min="8" max="8" width="11.109375" style="40" customWidth="1"/>
    <col min="9" max="16384" width="8.88671875" style="40"/>
  </cols>
  <sheetData>
    <row r="1" spans="1:8" ht="14.25">
      <c r="A1" s="376" t="s">
        <v>472</v>
      </c>
      <c r="B1" s="376"/>
      <c r="C1" s="376"/>
      <c r="D1" s="376"/>
      <c r="E1" s="376"/>
      <c r="F1" s="376"/>
      <c r="G1" s="376"/>
      <c r="H1" s="376"/>
    </row>
    <row r="2" spans="1:8">
      <c r="A2" s="23" t="s">
        <v>480</v>
      </c>
      <c r="B2" s="15" t="s">
        <v>136</v>
      </c>
      <c r="C2" s="15" t="s">
        <v>146</v>
      </c>
      <c r="D2" s="15" t="s">
        <v>147</v>
      </c>
      <c r="E2" s="15" t="s">
        <v>491</v>
      </c>
      <c r="F2" s="15" t="s">
        <v>218</v>
      </c>
      <c r="G2" s="15" t="s">
        <v>148</v>
      </c>
      <c r="H2" s="15" t="s">
        <v>149</v>
      </c>
    </row>
    <row r="3" spans="1:8">
      <c r="A3" s="23" t="s">
        <v>481</v>
      </c>
      <c r="B3" s="15" t="s">
        <v>176</v>
      </c>
      <c r="C3" s="178">
        <v>10</v>
      </c>
      <c r="D3" s="15" t="s">
        <v>150</v>
      </c>
      <c r="E3" s="179">
        <v>41338</v>
      </c>
      <c r="F3" s="176">
        <v>100000</v>
      </c>
      <c r="G3" s="176">
        <v>250000</v>
      </c>
      <c r="H3" s="177">
        <f>SUM(F3:G3)</f>
        <v>350000</v>
      </c>
    </row>
    <row r="4" spans="1:8">
      <c r="A4" s="23" t="s">
        <v>489</v>
      </c>
      <c r="B4" s="15" t="s">
        <v>22</v>
      </c>
      <c r="C4" s="178">
        <v>15</v>
      </c>
      <c r="D4" s="15" t="s">
        <v>151</v>
      </c>
      <c r="E4" s="179">
        <v>41339</v>
      </c>
      <c r="F4" s="176">
        <v>200000</v>
      </c>
      <c r="G4" s="176">
        <v>450000</v>
      </c>
      <c r="H4" s="177">
        <f t="shared" ref="H4:H11" si="0">SUM(F4:G4)</f>
        <v>650000</v>
      </c>
    </row>
    <row r="5" spans="1:8">
      <c r="A5" s="23" t="s">
        <v>482</v>
      </c>
      <c r="B5" s="15" t="s">
        <v>22</v>
      </c>
      <c r="C5" s="178">
        <v>11</v>
      </c>
      <c r="D5" s="15" t="s">
        <v>153</v>
      </c>
      <c r="E5" s="179">
        <v>41340</v>
      </c>
      <c r="F5" s="176">
        <v>230000</v>
      </c>
      <c r="G5" s="176">
        <v>520000</v>
      </c>
      <c r="H5" s="177">
        <f t="shared" si="0"/>
        <v>750000</v>
      </c>
    </row>
    <row r="6" spans="1:8">
      <c r="A6" s="23" t="s">
        <v>483</v>
      </c>
      <c r="B6" s="15" t="s">
        <v>22</v>
      </c>
      <c r="C6" s="178">
        <v>22</v>
      </c>
      <c r="D6" s="15" t="s">
        <v>154</v>
      </c>
      <c r="E6" s="179">
        <v>41341</v>
      </c>
      <c r="F6" s="176">
        <v>200000</v>
      </c>
      <c r="G6" s="176">
        <v>210000</v>
      </c>
      <c r="H6" s="177">
        <f t="shared" si="0"/>
        <v>410000</v>
      </c>
    </row>
    <row r="7" spans="1:8">
      <c r="A7" s="23" t="s">
        <v>487</v>
      </c>
      <c r="B7" s="15" t="s">
        <v>155</v>
      </c>
      <c r="C7" s="178">
        <v>15</v>
      </c>
      <c r="D7" s="15" t="s">
        <v>156</v>
      </c>
      <c r="E7" s="179">
        <v>41342</v>
      </c>
      <c r="F7" s="176">
        <v>80000</v>
      </c>
      <c r="G7" s="176">
        <v>175000</v>
      </c>
      <c r="H7" s="177">
        <f t="shared" si="0"/>
        <v>255000</v>
      </c>
    </row>
    <row r="8" spans="1:8">
      <c r="A8" s="23" t="s">
        <v>484</v>
      </c>
      <c r="B8" s="15" t="s">
        <v>160</v>
      </c>
      <c r="C8" s="178">
        <v>7</v>
      </c>
      <c r="D8" s="15" t="s">
        <v>157</v>
      </c>
      <c r="E8" s="179">
        <v>41343</v>
      </c>
      <c r="F8" s="176">
        <v>120000</v>
      </c>
      <c r="G8" s="176">
        <v>320000</v>
      </c>
      <c r="H8" s="177">
        <f t="shared" si="0"/>
        <v>440000</v>
      </c>
    </row>
    <row r="9" spans="1:8">
      <c r="A9" s="23" t="s">
        <v>488</v>
      </c>
      <c r="B9" s="15" t="s">
        <v>160</v>
      </c>
      <c r="C9" s="178">
        <v>9</v>
      </c>
      <c r="D9" s="15" t="s">
        <v>158</v>
      </c>
      <c r="E9" s="179">
        <v>41344</v>
      </c>
      <c r="F9" s="176">
        <v>150000</v>
      </c>
      <c r="G9" s="176">
        <v>485000</v>
      </c>
      <c r="H9" s="177">
        <f t="shared" si="0"/>
        <v>635000</v>
      </c>
    </row>
    <row r="10" spans="1:8">
      <c r="A10" s="23" t="s">
        <v>485</v>
      </c>
      <c r="B10" s="15" t="s">
        <v>152</v>
      </c>
      <c r="C10" s="178">
        <v>10</v>
      </c>
      <c r="D10" s="15" t="s">
        <v>159</v>
      </c>
      <c r="E10" s="179">
        <v>41345</v>
      </c>
      <c r="F10" s="176">
        <v>200000</v>
      </c>
      <c r="G10" s="176">
        <v>450000</v>
      </c>
      <c r="H10" s="177">
        <f t="shared" si="0"/>
        <v>650000</v>
      </c>
    </row>
    <row r="11" spans="1:8">
      <c r="A11" s="23" t="s">
        <v>486</v>
      </c>
      <c r="B11" s="15" t="s">
        <v>161</v>
      </c>
      <c r="C11" s="178">
        <v>5</v>
      </c>
      <c r="D11" s="15" t="s">
        <v>150</v>
      </c>
      <c r="E11" s="179">
        <v>41346</v>
      </c>
      <c r="F11" s="176">
        <v>100000</v>
      </c>
      <c r="G11" s="176">
        <v>250000</v>
      </c>
      <c r="H11" s="177">
        <f t="shared" si="0"/>
        <v>350000</v>
      </c>
    </row>
    <row r="13" spans="1:8">
      <c r="A13" s="373" t="s">
        <v>492</v>
      </c>
      <c r="B13" s="374"/>
      <c r="C13" s="374"/>
      <c r="D13" s="374"/>
      <c r="E13" s="374"/>
      <c r="F13" s="375"/>
      <c r="G13" s="199">
        <f>DSUM(A2:H11,H2,B26:B27)</f>
        <v>2810000</v>
      </c>
      <c r="H13" s="46"/>
    </row>
    <row r="14" spans="1:8">
      <c r="A14" s="373" t="s">
        <v>493</v>
      </c>
      <c r="B14" s="374"/>
      <c r="C14" s="374"/>
      <c r="D14" s="374"/>
      <c r="E14" s="374"/>
      <c r="F14" s="375"/>
      <c r="G14" s="199">
        <f>DAVERAGE(A2:H11,H2,D26:D27)</f>
        <v>443333.33333333331</v>
      </c>
      <c r="H14" s="46"/>
    </row>
    <row r="15" spans="1:8">
      <c r="A15" s="373" t="s">
        <v>494</v>
      </c>
      <c r="B15" s="374"/>
      <c r="C15" s="374"/>
      <c r="D15" s="374"/>
      <c r="E15" s="374"/>
      <c r="F15" s="375"/>
      <c r="G15" s="199">
        <f>DCOUNTA(A2:H11,D2,F26:F27)</f>
        <v>2</v>
      </c>
      <c r="H15" s="46"/>
    </row>
    <row r="16" spans="1:8">
      <c r="A16" s="373" t="s">
        <v>516</v>
      </c>
      <c r="B16" s="374"/>
      <c r="C16" s="374"/>
      <c r="D16" s="374"/>
      <c r="E16" s="374"/>
      <c r="F16" s="375"/>
      <c r="G16" s="199">
        <f>DMAX(A2:H11,F2,H26:H27)</f>
        <v>200000</v>
      </c>
    </row>
    <row r="17" spans="1:8">
      <c r="A17" s="373" t="s">
        <v>558</v>
      </c>
      <c r="B17" s="374"/>
      <c r="C17" s="374"/>
      <c r="D17" s="374"/>
      <c r="E17" s="374"/>
      <c r="F17" s="375"/>
      <c r="G17" s="197">
        <f>DSUM(A2:H11,F2,B29:C30)</f>
        <v>400000</v>
      </c>
      <c r="H17" s="46"/>
    </row>
    <row r="18" spans="1:8">
      <c r="A18" s="373" t="s">
        <v>555</v>
      </c>
      <c r="B18" s="374"/>
      <c r="C18" s="374"/>
      <c r="D18" s="374"/>
      <c r="E18" s="374"/>
      <c r="F18" s="375"/>
      <c r="G18" s="197">
        <f>DSUM(A2:H11,H2,F29:G30)</f>
        <v>2345000</v>
      </c>
    </row>
    <row r="19" spans="1:8">
      <c r="A19" s="373" t="s">
        <v>513</v>
      </c>
      <c r="B19" s="374"/>
      <c r="C19" s="374"/>
      <c r="D19" s="374"/>
      <c r="E19" s="374"/>
      <c r="F19" s="375"/>
      <c r="G19" s="197">
        <f>DAVERAGE(A2:H11,G2,B32:C34)</f>
        <v>342500</v>
      </c>
    </row>
    <row r="20" spans="1:8">
      <c r="A20" s="373" t="s">
        <v>495</v>
      </c>
      <c r="B20" s="374"/>
      <c r="C20" s="374"/>
      <c r="D20" s="374"/>
      <c r="E20" s="374"/>
      <c r="F20" s="375"/>
      <c r="G20" s="197">
        <f>DSUM(A2:H11,H2,F32:F34)</f>
        <v>2395000</v>
      </c>
    </row>
    <row r="21" spans="1:8">
      <c r="A21" s="373" t="s">
        <v>557</v>
      </c>
      <c r="B21" s="374"/>
      <c r="C21" s="374"/>
      <c r="D21" s="374"/>
      <c r="E21" s="374"/>
      <c r="F21" s="375"/>
      <c r="G21" s="197">
        <f>DAVERAGE(A2:H11,F2,B36:C38)</f>
        <v>160000</v>
      </c>
    </row>
    <row r="22" spans="1:8">
      <c r="A22" s="373" t="s">
        <v>517</v>
      </c>
      <c r="B22" s="374"/>
      <c r="C22" s="374"/>
      <c r="D22" s="374"/>
      <c r="E22" s="374"/>
      <c r="F22" s="375"/>
      <c r="G22" s="197">
        <f>DSUM(A2:H11,H2,F36:G38)</f>
        <v>1695000</v>
      </c>
    </row>
    <row r="23" spans="1:8">
      <c r="A23" s="373" t="s">
        <v>556</v>
      </c>
      <c r="B23" s="374"/>
      <c r="C23" s="374"/>
      <c r="D23" s="374"/>
      <c r="E23" s="374"/>
      <c r="F23" s="375"/>
      <c r="G23" s="197">
        <f>DSUM(A2:H11,G2,B40:C41)</f>
        <v>1055000</v>
      </c>
    </row>
    <row r="24" spans="1:8" s="46" customFormat="1">
      <c r="A24" s="372"/>
      <c r="B24" s="372"/>
      <c r="C24" s="372"/>
      <c r="D24" s="372"/>
      <c r="E24" s="372"/>
      <c r="F24" s="372"/>
      <c r="G24" s="198"/>
    </row>
    <row r="26" spans="1:8">
      <c r="A26" s="181" t="s">
        <v>496</v>
      </c>
      <c r="B26" s="24" t="s">
        <v>473</v>
      </c>
      <c r="C26" s="181" t="s">
        <v>497</v>
      </c>
      <c r="D26" s="24" t="s">
        <v>473</v>
      </c>
      <c r="E26" s="180" t="s">
        <v>498</v>
      </c>
      <c r="F26" s="24" t="s">
        <v>499</v>
      </c>
      <c r="G26" s="180" t="s">
        <v>514</v>
      </c>
      <c r="H26" s="194" t="s">
        <v>490</v>
      </c>
    </row>
    <row r="27" spans="1:8" ht="16.5">
      <c r="A27" s="181"/>
      <c r="B27" s="24" t="s">
        <v>474</v>
      </c>
      <c r="D27" s="24" t="s">
        <v>476</v>
      </c>
      <c r="E27" s="181"/>
      <c r="F27" s="24" t="s">
        <v>500</v>
      </c>
      <c r="H27" s="195" t="s">
        <v>515</v>
      </c>
    </row>
    <row r="28" spans="1:8">
      <c r="A28" s="181"/>
      <c r="E28" s="181"/>
    </row>
    <row r="29" spans="1:8">
      <c r="A29" s="181" t="s">
        <v>501</v>
      </c>
      <c r="B29" s="24" t="s">
        <v>473</v>
      </c>
      <c r="C29" s="24" t="s">
        <v>475</v>
      </c>
      <c r="E29" s="181" t="s">
        <v>502</v>
      </c>
      <c r="F29" s="24" t="s">
        <v>478</v>
      </c>
      <c r="G29" s="24" t="s">
        <v>478</v>
      </c>
    </row>
    <row r="30" spans="1:8">
      <c r="A30" s="181"/>
      <c r="B30" s="24" t="s">
        <v>474</v>
      </c>
      <c r="C30" s="24" t="s">
        <v>477</v>
      </c>
      <c r="E30" s="181"/>
      <c r="F30" s="24" t="s">
        <v>554</v>
      </c>
      <c r="G30" s="24" t="s">
        <v>479</v>
      </c>
    </row>
    <row r="31" spans="1:8">
      <c r="A31" s="181"/>
      <c r="E31" s="181"/>
    </row>
    <row r="32" spans="1:8">
      <c r="A32" s="181" t="s">
        <v>503</v>
      </c>
      <c r="B32" s="24" t="s">
        <v>473</v>
      </c>
      <c r="C32" s="24" t="s">
        <v>475</v>
      </c>
      <c r="E32" s="180" t="s">
        <v>504</v>
      </c>
      <c r="F32" s="24" t="s">
        <v>480</v>
      </c>
    </row>
    <row r="33" spans="1:8">
      <c r="A33" s="181"/>
      <c r="B33" s="24" t="s">
        <v>474</v>
      </c>
      <c r="C33" s="24"/>
      <c r="E33" s="181"/>
      <c r="F33" s="24" t="s">
        <v>505</v>
      </c>
    </row>
    <row r="34" spans="1:8">
      <c r="A34" s="181"/>
      <c r="B34" s="24"/>
      <c r="C34" s="24" t="s">
        <v>477</v>
      </c>
      <c r="E34" s="181"/>
      <c r="F34" s="24" t="s">
        <v>506</v>
      </c>
    </row>
    <row r="35" spans="1:8">
      <c r="A35" s="181"/>
      <c r="E35" s="181"/>
    </row>
    <row r="36" spans="1:8">
      <c r="A36" s="181" t="s">
        <v>507</v>
      </c>
      <c r="B36" s="24" t="s">
        <v>473</v>
      </c>
      <c r="C36" s="24" t="s">
        <v>475</v>
      </c>
      <c r="E36" s="182" t="s">
        <v>508</v>
      </c>
      <c r="F36" s="24" t="s">
        <v>473</v>
      </c>
      <c r="G36" s="24" t="s">
        <v>480</v>
      </c>
    </row>
    <row r="37" spans="1:8">
      <c r="A37" s="181"/>
      <c r="B37" s="24" t="s">
        <v>474</v>
      </c>
      <c r="C37" s="24" t="s">
        <v>477</v>
      </c>
      <c r="E37" s="181"/>
      <c r="F37" s="24" t="s">
        <v>474</v>
      </c>
      <c r="G37" s="24" t="s">
        <v>505</v>
      </c>
    </row>
    <row r="38" spans="1:8">
      <c r="A38" s="181"/>
      <c r="B38" s="24" t="s">
        <v>476</v>
      </c>
      <c r="C38" s="24" t="s">
        <v>477</v>
      </c>
      <c r="E38" s="181"/>
      <c r="F38" s="24" t="s">
        <v>476</v>
      </c>
      <c r="G38" s="24" t="s">
        <v>505</v>
      </c>
    </row>
    <row r="39" spans="1:8">
      <c r="A39" s="181"/>
      <c r="E39" s="181"/>
    </row>
    <row r="40" spans="1:8">
      <c r="A40" s="181" t="s">
        <v>509</v>
      </c>
      <c r="B40" s="24" t="s">
        <v>510</v>
      </c>
      <c r="C40" s="24" t="s">
        <v>473</v>
      </c>
      <c r="E40" s="180"/>
      <c r="F40" s="46"/>
      <c r="G40" s="46"/>
      <c r="H40" s="46"/>
    </row>
    <row r="41" spans="1:8">
      <c r="B41" s="24" t="s">
        <v>511</v>
      </c>
      <c r="C41" s="24" t="s">
        <v>512</v>
      </c>
      <c r="E41" s="46"/>
      <c r="F41" s="46"/>
      <c r="G41" s="46"/>
      <c r="H41" s="46"/>
    </row>
    <row r="42" spans="1:8">
      <c r="E42" s="46"/>
      <c r="F42" s="46"/>
      <c r="G42" s="46"/>
      <c r="H42" s="46"/>
    </row>
    <row r="43" spans="1:8">
      <c r="E43" s="46"/>
      <c r="F43" s="46"/>
      <c r="G43" s="46"/>
      <c r="H43" s="46"/>
    </row>
  </sheetData>
  <mergeCells count="13">
    <mergeCell ref="A24:F24"/>
    <mergeCell ref="A23:F23"/>
    <mergeCell ref="A1:H1"/>
    <mergeCell ref="A18:F18"/>
    <mergeCell ref="A19:F19"/>
    <mergeCell ref="A20:F20"/>
    <mergeCell ref="A21:F21"/>
    <mergeCell ref="A22:F22"/>
    <mergeCell ref="A13:F13"/>
    <mergeCell ref="A14:F14"/>
    <mergeCell ref="A15:F15"/>
    <mergeCell ref="A16:F16"/>
    <mergeCell ref="A17:F17"/>
  </mergeCells>
  <phoneticPr fontId="5" type="noConversion"/>
  <pageMargins left="0.75" right="0.75" top="1" bottom="1" header="0.5" footer="0.5"/>
  <pageSetup paperSize="9" orientation="portrait" r:id="rId1"/>
  <headerFooter alignWithMargins="0"/>
  <ignoredErrors>
    <ignoredError sqref="H3:H11" formulaRange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14" sqref="E14"/>
    </sheetView>
  </sheetViews>
  <sheetFormatPr defaultRowHeight="13.5"/>
  <cols>
    <col min="1" max="1" width="11.109375" style="40" customWidth="1"/>
    <col min="2" max="2" width="12.109375" style="40" customWidth="1"/>
    <col min="3" max="3" width="11.6640625" style="40" customWidth="1"/>
    <col min="4" max="4" width="10.109375" style="40" customWidth="1"/>
    <col min="5" max="5" width="14.21875" style="40" customWidth="1"/>
    <col min="6" max="6" width="13.44140625" style="40" customWidth="1"/>
    <col min="7" max="16384" width="8.88671875" style="40"/>
  </cols>
  <sheetData>
    <row r="1" spans="1:6">
      <c r="A1" s="382" t="s">
        <v>518</v>
      </c>
      <c r="B1" s="382"/>
      <c r="C1" s="382"/>
      <c r="D1" s="382"/>
      <c r="E1" s="382"/>
      <c r="F1" s="382"/>
    </row>
    <row r="2" spans="1:6">
      <c r="A2" s="22" t="s">
        <v>219</v>
      </c>
      <c r="B2" s="22" t="s">
        <v>162</v>
      </c>
      <c r="C2" s="22" t="s">
        <v>163</v>
      </c>
      <c r="D2" s="23" t="s">
        <v>519</v>
      </c>
      <c r="E2" s="22" t="s">
        <v>170</v>
      </c>
      <c r="F2" s="22" t="s">
        <v>171</v>
      </c>
    </row>
    <row r="3" spans="1:6">
      <c r="A3" s="22" t="s">
        <v>220</v>
      </c>
      <c r="B3" s="22" t="s">
        <v>165</v>
      </c>
      <c r="C3" s="45">
        <v>35</v>
      </c>
      <c r="D3" s="45">
        <v>27</v>
      </c>
      <c r="E3" s="185">
        <v>192000000</v>
      </c>
      <c r="F3" s="185">
        <v>768000</v>
      </c>
    </row>
    <row r="4" spans="1:6">
      <c r="A4" s="22" t="s">
        <v>220</v>
      </c>
      <c r="B4" s="22" t="s">
        <v>167</v>
      </c>
      <c r="C4" s="45">
        <v>23</v>
      </c>
      <c r="D4" s="45">
        <v>18</v>
      </c>
      <c r="E4" s="185">
        <v>160000000</v>
      </c>
      <c r="F4" s="185">
        <v>640000</v>
      </c>
    </row>
    <row r="5" spans="1:6">
      <c r="A5" s="22" t="s">
        <v>164</v>
      </c>
      <c r="B5" s="22" t="s">
        <v>198</v>
      </c>
      <c r="C5" s="45">
        <v>17</v>
      </c>
      <c r="D5" s="45">
        <v>15</v>
      </c>
      <c r="E5" s="185">
        <v>304000000</v>
      </c>
      <c r="F5" s="185">
        <v>1216000</v>
      </c>
    </row>
    <row r="6" spans="1:6">
      <c r="A6" s="22" t="s">
        <v>164</v>
      </c>
      <c r="B6" s="22" t="s">
        <v>168</v>
      </c>
      <c r="C6" s="45">
        <v>31</v>
      </c>
      <c r="D6" s="45">
        <v>27</v>
      </c>
      <c r="E6" s="185">
        <v>240000000</v>
      </c>
      <c r="F6" s="185">
        <v>960000</v>
      </c>
    </row>
    <row r="7" spans="1:6">
      <c r="A7" s="22" t="s">
        <v>175</v>
      </c>
      <c r="B7" s="22" t="s">
        <v>168</v>
      </c>
      <c r="C7" s="45">
        <v>26</v>
      </c>
      <c r="D7" s="45">
        <v>23</v>
      </c>
      <c r="E7" s="185">
        <v>176000000</v>
      </c>
      <c r="F7" s="185">
        <v>704000</v>
      </c>
    </row>
    <row r="8" spans="1:6">
      <c r="A8" s="22" t="s">
        <v>169</v>
      </c>
      <c r="B8" s="22" t="s">
        <v>165</v>
      </c>
      <c r="C8" s="45">
        <v>37</v>
      </c>
      <c r="D8" s="45">
        <v>32</v>
      </c>
      <c r="E8" s="185">
        <v>288000000</v>
      </c>
      <c r="F8" s="185">
        <v>1152000</v>
      </c>
    </row>
    <row r="9" spans="1:6">
      <c r="A9" s="22" t="s">
        <v>169</v>
      </c>
      <c r="B9" s="22" t="s">
        <v>198</v>
      </c>
      <c r="C9" s="45">
        <v>22</v>
      </c>
      <c r="D9" s="45">
        <v>20</v>
      </c>
      <c r="E9" s="185">
        <v>208000000</v>
      </c>
      <c r="F9" s="185">
        <v>832000</v>
      </c>
    </row>
    <row r="10" spans="1:6">
      <c r="A10" s="22" t="s">
        <v>169</v>
      </c>
      <c r="B10" s="22" t="s">
        <v>166</v>
      </c>
      <c r="C10" s="45">
        <v>31</v>
      </c>
      <c r="D10" s="45">
        <v>27</v>
      </c>
      <c r="E10" s="185">
        <v>208000000</v>
      </c>
      <c r="F10" s="185">
        <v>832000</v>
      </c>
    </row>
    <row r="11" spans="1:6">
      <c r="A11" s="22" t="s">
        <v>221</v>
      </c>
      <c r="B11" s="22" t="s">
        <v>166</v>
      </c>
      <c r="C11" s="45">
        <v>46</v>
      </c>
      <c r="D11" s="45">
        <v>40</v>
      </c>
      <c r="E11" s="185">
        <v>192000000</v>
      </c>
      <c r="F11" s="185">
        <v>768000</v>
      </c>
    </row>
    <row r="12" spans="1:6">
      <c r="A12" s="22" t="s">
        <v>221</v>
      </c>
      <c r="B12" s="22" t="s">
        <v>168</v>
      </c>
      <c r="C12" s="45">
        <v>21</v>
      </c>
      <c r="D12" s="45">
        <v>16</v>
      </c>
      <c r="E12" s="185">
        <v>192000000</v>
      </c>
      <c r="F12" s="185">
        <v>768000</v>
      </c>
    </row>
    <row r="13" spans="1:6">
      <c r="A13" s="22" t="s">
        <v>177</v>
      </c>
      <c r="B13" s="22" t="s">
        <v>197</v>
      </c>
      <c r="C13" s="45">
        <v>13</v>
      </c>
      <c r="D13" s="45">
        <v>10</v>
      </c>
      <c r="E13" s="185">
        <v>288000000</v>
      </c>
      <c r="F13" s="185">
        <v>1152000</v>
      </c>
    </row>
    <row r="14" spans="1:6">
      <c r="A14" s="357" t="s">
        <v>526</v>
      </c>
      <c r="B14" s="377"/>
      <c r="C14" s="377"/>
      <c r="D14" s="378"/>
      <c r="E14" s="186">
        <f>DSUM($A$2:$F$13,E2,$A$19:$B$21)</f>
        <v>304000000</v>
      </c>
      <c r="F14" s="186">
        <f>DSUM($A$2:$F$13,F2,$A$19:$B$21)</f>
        <v>1216000</v>
      </c>
    </row>
    <row r="15" spans="1:6" ht="13.5" customHeight="1">
      <c r="A15" s="379" t="s">
        <v>525</v>
      </c>
      <c r="B15" s="380"/>
      <c r="C15" s="380"/>
      <c r="D15" s="381"/>
      <c r="E15" s="187">
        <f>DAVERAGE($A$2:$F$13,E2,$E$19:$F$21)</f>
        <v>232000000</v>
      </c>
      <c r="F15" s="187">
        <f>DAVERAGE($A$2:$F$13,F2,$E$19:$F$21)</f>
        <v>928000</v>
      </c>
    </row>
    <row r="16" spans="1:6">
      <c r="A16" s="357" t="s">
        <v>532</v>
      </c>
      <c r="B16" s="377"/>
      <c r="C16" s="377"/>
      <c r="D16" s="378"/>
      <c r="E16" s="183">
        <f>DCOUNTA(A2:F13,E2,A24:B26)</f>
        <v>2</v>
      </c>
      <c r="F16" s="184"/>
    </row>
    <row r="18" spans="1:6">
      <c r="A18" s="40" t="s">
        <v>172</v>
      </c>
      <c r="E18" s="40" t="s">
        <v>173</v>
      </c>
    </row>
    <row r="19" spans="1:6">
      <c r="A19" s="24" t="s">
        <v>520</v>
      </c>
      <c r="B19" s="24" t="s">
        <v>521</v>
      </c>
      <c r="E19" s="24" t="s">
        <v>520</v>
      </c>
      <c r="F19" s="24" t="s">
        <v>528</v>
      </c>
    </row>
    <row r="20" spans="1:6">
      <c r="A20" s="24" t="s">
        <v>522</v>
      </c>
      <c r="B20" s="24" t="s">
        <v>524</v>
      </c>
      <c r="E20" s="24" t="s">
        <v>522</v>
      </c>
      <c r="F20" s="24" t="s">
        <v>529</v>
      </c>
    </row>
    <row r="21" spans="1:6">
      <c r="A21" s="24" t="s">
        <v>523</v>
      </c>
      <c r="B21" s="24" t="s">
        <v>524</v>
      </c>
      <c r="E21" s="24" t="s">
        <v>527</v>
      </c>
      <c r="F21" s="24" t="s">
        <v>529</v>
      </c>
    </row>
    <row r="23" spans="1:6">
      <c r="A23" s="40" t="s">
        <v>174</v>
      </c>
    </row>
    <row r="24" spans="1:6">
      <c r="A24" s="24" t="s">
        <v>520</v>
      </c>
      <c r="B24" s="24" t="s">
        <v>521</v>
      </c>
    </row>
    <row r="25" spans="1:6">
      <c r="A25" s="24" t="s">
        <v>522</v>
      </c>
      <c r="B25" s="24" t="s">
        <v>530</v>
      </c>
    </row>
    <row r="26" spans="1:6">
      <c r="A26" s="24" t="s">
        <v>527</v>
      </c>
      <c r="B26" s="24" t="s">
        <v>531</v>
      </c>
    </row>
  </sheetData>
  <mergeCells count="4">
    <mergeCell ref="A14:D14"/>
    <mergeCell ref="A15:D15"/>
    <mergeCell ref="A16:D16"/>
    <mergeCell ref="A1:F1"/>
  </mergeCells>
  <phoneticPr fontId="5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16" sqref="F16"/>
    </sheetView>
  </sheetViews>
  <sheetFormatPr defaultRowHeight="13.5"/>
  <cols>
    <col min="1" max="1" width="11.21875" style="40" customWidth="1"/>
    <col min="2" max="2" width="10.5546875" style="40" customWidth="1"/>
    <col min="3" max="3" width="9.109375" style="40" customWidth="1"/>
    <col min="4" max="4" width="9.88671875" style="40" customWidth="1"/>
    <col min="5" max="5" width="11.77734375" style="40" customWidth="1"/>
    <col min="6" max="16384" width="8.88671875" style="40"/>
  </cols>
  <sheetData>
    <row r="1" spans="1:7" ht="13.5" customHeight="1">
      <c r="A1" s="382" t="s">
        <v>533</v>
      </c>
      <c r="B1" s="383"/>
      <c r="C1" s="383"/>
      <c r="D1" s="383"/>
      <c r="E1" s="383"/>
      <c r="F1" s="383"/>
    </row>
    <row r="2" spans="1:7" s="41" customFormat="1" ht="13.5" customHeight="1">
      <c r="A2" s="386" t="s">
        <v>199</v>
      </c>
      <c r="B2" s="388"/>
      <c r="C2" s="386" t="s">
        <v>200</v>
      </c>
      <c r="D2" s="387"/>
      <c r="E2" s="388"/>
      <c r="F2" s="22" t="s">
        <v>201</v>
      </c>
      <c r="G2" s="188" t="s">
        <v>534</v>
      </c>
    </row>
    <row r="3" spans="1:7" s="41" customFormat="1" ht="13.5" customHeight="1">
      <c r="A3" s="22" t="s">
        <v>17</v>
      </c>
      <c r="B3" s="22" t="s">
        <v>16</v>
      </c>
      <c r="C3" s="22" t="s">
        <v>137</v>
      </c>
      <c r="D3" s="22" t="s">
        <v>138</v>
      </c>
      <c r="E3" s="22" t="s">
        <v>139</v>
      </c>
      <c r="F3" s="22" t="s">
        <v>137</v>
      </c>
      <c r="G3" s="188" t="s">
        <v>535</v>
      </c>
    </row>
    <row r="4" spans="1:7" s="41" customFormat="1" ht="13.5" customHeight="1">
      <c r="A4" s="34" t="s">
        <v>202</v>
      </c>
      <c r="B4" s="34" t="s">
        <v>203</v>
      </c>
      <c r="C4" s="33">
        <v>4300</v>
      </c>
      <c r="D4" s="33">
        <v>7100</v>
      </c>
      <c r="E4" s="42">
        <f t="shared" ref="E4:E13" si="0">D4/C4</f>
        <v>1.6511627906976745</v>
      </c>
      <c r="F4" s="33">
        <f t="shared" ref="F4:F13" si="1">IF(D4&gt;=7000,C4+1000,IF(D4&gt;=5000,C4+500,C4+200))</f>
        <v>5300</v>
      </c>
      <c r="G4" s="189" t="str">
        <f t="shared" ref="G4:G13" si="2">IF(D4&gt;=8000,"A",IF(D4&gt;=6000,"B",IF(D4&gt;=1000,"C","")))</f>
        <v>B</v>
      </c>
    </row>
    <row r="5" spans="1:7" s="41" customFormat="1" ht="13.5" customHeight="1">
      <c r="A5" s="36" t="s">
        <v>204</v>
      </c>
      <c r="B5" s="36" t="s">
        <v>205</v>
      </c>
      <c r="C5" s="35">
        <v>6400</v>
      </c>
      <c r="D5" s="35">
        <v>9838</v>
      </c>
      <c r="E5" s="43">
        <f t="shared" si="0"/>
        <v>1.5371874999999999</v>
      </c>
      <c r="F5" s="35">
        <f t="shared" si="1"/>
        <v>7400</v>
      </c>
      <c r="G5" s="190" t="str">
        <f t="shared" si="2"/>
        <v>A</v>
      </c>
    </row>
    <row r="6" spans="1:7" s="41" customFormat="1" ht="13.5" customHeight="1">
      <c r="A6" s="36" t="s">
        <v>206</v>
      </c>
      <c r="B6" s="36" t="s">
        <v>207</v>
      </c>
      <c r="C6" s="35">
        <v>9800</v>
      </c>
      <c r="D6" s="35">
        <v>8950</v>
      </c>
      <c r="E6" s="43">
        <f t="shared" si="0"/>
        <v>0.91326530612244894</v>
      </c>
      <c r="F6" s="35">
        <f t="shared" si="1"/>
        <v>10800</v>
      </c>
      <c r="G6" s="190" t="str">
        <f t="shared" si="2"/>
        <v>A</v>
      </c>
    </row>
    <row r="7" spans="1:7" s="41" customFormat="1" ht="13.5" customHeight="1">
      <c r="A7" s="36" t="s">
        <v>208</v>
      </c>
      <c r="B7" s="36" t="s">
        <v>145</v>
      </c>
      <c r="C7" s="35">
        <v>6300</v>
      </c>
      <c r="D7" s="35">
        <v>5700</v>
      </c>
      <c r="E7" s="43">
        <f t="shared" si="0"/>
        <v>0.90476190476190477</v>
      </c>
      <c r="F7" s="35">
        <f t="shared" si="1"/>
        <v>6800</v>
      </c>
      <c r="G7" s="190" t="str">
        <f t="shared" si="2"/>
        <v>C</v>
      </c>
    </row>
    <row r="8" spans="1:7" s="41" customFormat="1" ht="13.5" customHeight="1">
      <c r="A8" s="36" t="s">
        <v>209</v>
      </c>
      <c r="B8" s="36" t="s">
        <v>210</v>
      </c>
      <c r="C8" s="35">
        <v>7600</v>
      </c>
      <c r="D8" s="35">
        <v>6840</v>
      </c>
      <c r="E8" s="43">
        <f t="shared" si="0"/>
        <v>0.9</v>
      </c>
      <c r="F8" s="35">
        <f t="shared" si="1"/>
        <v>8100</v>
      </c>
      <c r="G8" s="190" t="str">
        <f t="shared" si="2"/>
        <v>B</v>
      </c>
    </row>
    <row r="9" spans="1:7" s="41" customFormat="1" ht="13.5" customHeight="1">
      <c r="A9" s="36" t="s">
        <v>211</v>
      </c>
      <c r="B9" s="36" t="s">
        <v>212</v>
      </c>
      <c r="C9" s="35">
        <v>7300</v>
      </c>
      <c r="D9" s="35">
        <v>6150</v>
      </c>
      <c r="E9" s="43">
        <f t="shared" si="0"/>
        <v>0.84246575342465757</v>
      </c>
      <c r="F9" s="35">
        <f t="shared" si="1"/>
        <v>7800</v>
      </c>
      <c r="G9" s="190" t="str">
        <f t="shared" si="2"/>
        <v>B</v>
      </c>
    </row>
    <row r="10" spans="1:7" s="41" customFormat="1" ht="13.5" customHeight="1">
      <c r="A10" s="36" t="s">
        <v>213</v>
      </c>
      <c r="B10" s="36" t="s">
        <v>214</v>
      </c>
      <c r="C10" s="35">
        <v>7100</v>
      </c>
      <c r="D10" s="35">
        <v>5800</v>
      </c>
      <c r="E10" s="43">
        <f t="shared" si="0"/>
        <v>0.81690140845070425</v>
      </c>
      <c r="F10" s="35">
        <f t="shared" si="1"/>
        <v>7600</v>
      </c>
      <c r="G10" s="190" t="str">
        <f t="shared" si="2"/>
        <v>C</v>
      </c>
    </row>
    <row r="11" spans="1:7" s="41" customFormat="1" ht="13.5" customHeight="1">
      <c r="A11" s="36" t="s">
        <v>202</v>
      </c>
      <c r="B11" s="36" t="s">
        <v>215</v>
      </c>
      <c r="C11" s="35">
        <v>5800</v>
      </c>
      <c r="D11" s="35">
        <v>4300</v>
      </c>
      <c r="E11" s="43">
        <f t="shared" si="0"/>
        <v>0.74137931034482762</v>
      </c>
      <c r="F11" s="35">
        <f t="shared" si="1"/>
        <v>6000</v>
      </c>
      <c r="G11" s="190" t="s">
        <v>536</v>
      </c>
    </row>
    <row r="12" spans="1:7" s="41" customFormat="1" ht="13.5" customHeight="1">
      <c r="A12" s="36" t="s">
        <v>213</v>
      </c>
      <c r="B12" s="36" t="s">
        <v>216</v>
      </c>
      <c r="C12" s="35">
        <v>6800</v>
      </c>
      <c r="D12" s="35">
        <v>4960</v>
      </c>
      <c r="E12" s="43">
        <f t="shared" si="0"/>
        <v>0.72941176470588232</v>
      </c>
      <c r="F12" s="35">
        <f t="shared" si="1"/>
        <v>7000</v>
      </c>
      <c r="G12" s="190" t="str">
        <f t="shared" si="2"/>
        <v>C</v>
      </c>
    </row>
    <row r="13" spans="1:7" s="41" customFormat="1" ht="13.5" customHeight="1">
      <c r="A13" s="38" t="s">
        <v>206</v>
      </c>
      <c r="B13" s="38" t="s">
        <v>217</v>
      </c>
      <c r="C13" s="37">
        <v>8200</v>
      </c>
      <c r="D13" s="37">
        <v>4500</v>
      </c>
      <c r="E13" s="44">
        <f t="shared" si="0"/>
        <v>0.54878048780487809</v>
      </c>
      <c r="F13" s="37">
        <f t="shared" si="1"/>
        <v>8400</v>
      </c>
      <c r="G13" s="191" t="str">
        <f t="shared" si="2"/>
        <v>C</v>
      </c>
    </row>
    <row r="14" spans="1:7" s="41" customFormat="1" ht="13.5" customHeight="1">
      <c r="A14" s="389" t="s">
        <v>548</v>
      </c>
      <c r="B14" s="390"/>
      <c r="C14" s="390"/>
      <c r="D14" s="390"/>
      <c r="E14" s="390"/>
      <c r="F14" s="193">
        <f>DSUM(A3:G13,6,A19:A21)</f>
        <v>27200</v>
      </c>
      <c r="G14" s="384"/>
    </row>
    <row r="15" spans="1:7" s="41" customFormat="1" ht="13.5" customHeight="1">
      <c r="A15" s="390" t="s">
        <v>222</v>
      </c>
      <c r="B15" s="390"/>
      <c r="C15" s="390"/>
      <c r="D15" s="390"/>
      <c r="E15" s="390"/>
      <c r="F15" s="193">
        <f>DSUM(A3:G13,D3,C19:D21)</f>
        <v>16050</v>
      </c>
      <c r="G15" s="384"/>
    </row>
    <row r="16" spans="1:7" s="41" customFormat="1" ht="13.5" customHeight="1">
      <c r="A16" s="389" t="s">
        <v>547</v>
      </c>
      <c r="B16" s="390"/>
      <c r="C16" s="390"/>
      <c r="D16" s="390"/>
      <c r="E16" s="390"/>
      <c r="F16" s="193">
        <f>DSUM(A3:G13,6,F19:G20)</f>
        <v>44700</v>
      </c>
      <c r="G16" s="385"/>
    </row>
    <row r="17" spans="1:7" ht="13.5" customHeight="1">
      <c r="A17" s="39"/>
      <c r="B17" s="39"/>
      <c r="C17" s="39"/>
      <c r="D17" s="39"/>
      <c r="E17" s="39"/>
      <c r="F17" s="39"/>
    </row>
    <row r="18" spans="1:7" ht="13.5" customHeight="1">
      <c r="A18" s="39"/>
      <c r="B18" s="39"/>
      <c r="C18" s="39"/>
      <c r="D18" s="39"/>
      <c r="E18" s="39"/>
      <c r="F18" s="39"/>
    </row>
    <row r="19" spans="1:7" ht="13.5" customHeight="1">
      <c r="A19" s="24" t="s">
        <v>537</v>
      </c>
      <c r="C19" s="24" t="s">
        <v>473</v>
      </c>
      <c r="D19" s="24" t="s">
        <v>544</v>
      </c>
      <c r="E19" s="39"/>
      <c r="F19" s="192" t="s">
        <v>543</v>
      </c>
      <c r="G19" s="192" t="s">
        <v>543</v>
      </c>
    </row>
    <row r="20" spans="1:7" ht="13.5" customHeight="1">
      <c r="A20" s="24" t="s">
        <v>538</v>
      </c>
      <c r="C20" s="24" t="s">
        <v>540</v>
      </c>
      <c r="D20" s="24" t="s">
        <v>542</v>
      </c>
      <c r="E20" s="39"/>
      <c r="F20" s="24" t="s">
        <v>546</v>
      </c>
      <c r="G20" s="24" t="s">
        <v>545</v>
      </c>
    </row>
    <row r="21" spans="1:7">
      <c r="A21" s="24" t="s">
        <v>539</v>
      </c>
      <c r="C21" s="24" t="s">
        <v>541</v>
      </c>
      <c r="D21" s="24" t="s">
        <v>542</v>
      </c>
      <c r="E21" s="39"/>
      <c r="F21" s="39"/>
    </row>
    <row r="22" spans="1:7">
      <c r="A22" s="39"/>
      <c r="B22" s="39"/>
      <c r="C22" s="39"/>
      <c r="D22" s="39"/>
      <c r="E22" s="39"/>
      <c r="F22" s="39"/>
    </row>
    <row r="23" spans="1:7">
      <c r="A23" s="39"/>
      <c r="B23" s="39"/>
      <c r="C23" s="39"/>
      <c r="D23" s="39"/>
      <c r="E23" s="39"/>
      <c r="F23" s="39"/>
    </row>
    <row r="24" spans="1:7">
      <c r="A24" s="39"/>
      <c r="B24" s="39"/>
      <c r="C24" s="39"/>
      <c r="D24" s="39"/>
      <c r="E24" s="39"/>
      <c r="F24" s="39"/>
    </row>
    <row r="25" spans="1:7">
      <c r="A25" s="39"/>
      <c r="B25" s="39"/>
      <c r="C25" s="39"/>
      <c r="D25" s="39"/>
      <c r="E25" s="39"/>
      <c r="F25" s="39"/>
    </row>
  </sheetData>
  <mergeCells count="7">
    <mergeCell ref="A1:F1"/>
    <mergeCell ref="G14:G16"/>
    <mergeCell ref="C2:E2"/>
    <mergeCell ref="A2:B2"/>
    <mergeCell ref="A14:E14"/>
    <mergeCell ref="A15:E15"/>
    <mergeCell ref="A16:E16"/>
  </mergeCells>
  <phoneticPr fontId="5" type="noConversion"/>
  <printOptions horizontalCentered="1"/>
  <pageMargins left="0.74803149606299213" right="0.74803149606299213" top="2.3622047244094491" bottom="0.78740157480314965" header="0.51181102362204722" footer="0.51181102362204722"/>
  <pageSetup paperSize="9" orientation="portrait" horizontalDpi="180" verticalDpi="18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F29" sqref="F29"/>
    </sheetView>
  </sheetViews>
  <sheetFormatPr defaultRowHeight="13.5"/>
  <cols>
    <col min="5" max="5" width="0" hidden="1" customWidth="1"/>
  </cols>
  <sheetData>
    <row r="2" spans="1:9">
      <c r="A2" s="292" t="s">
        <v>757</v>
      </c>
      <c r="C2" t="s">
        <v>758</v>
      </c>
    </row>
    <row r="3" spans="1:9">
      <c r="A3" s="16">
        <v>80</v>
      </c>
      <c r="C3" s="292" t="s">
        <v>759</v>
      </c>
      <c r="D3" s="292" t="s">
        <v>760</v>
      </c>
    </row>
    <row r="4" spans="1:9">
      <c r="A4" s="16">
        <v>27</v>
      </c>
      <c r="C4" s="16">
        <v>6</v>
      </c>
      <c r="D4" s="16">
        <f t="array" ref="D4:D6">FREQUENCY(A3:A13,C4:C6)</f>
        <v>1</v>
      </c>
    </row>
    <row r="5" spans="1:9">
      <c r="A5" s="16">
        <v>10</v>
      </c>
      <c r="C5" s="16">
        <v>60</v>
      </c>
      <c r="D5" s="16">
        <v>8</v>
      </c>
    </row>
    <row r="6" spans="1:9">
      <c r="A6" s="16">
        <v>18</v>
      </c>
      <c r="C6" s="16">
        <v>100</v>
      </c>
      <c r="D6" s="16">
        <v>2</v>
      </c>
    </row>
    <row r="7" spans="1:9">
      <c r="A7" s="16">
        <v>8</v>
      </c>
    </row>
    <row r="8" spans="1:9">
      <c r="A8" s="16">
        <v>65</v>
      </c>
    </row>
    <row r="9" spans="1:9">
      <c r="A9" s="16">
        <v>10</v>
      </c>
    </row>
    <row r="10" spans="1:9">
      <c r="A10" s="16">
        <v>30</v>
      </c>
    </row>
    <row r="11" spans="1:9">
      <c r="A11" s="16">
        <v>10</v>
      </c>
    </row>
    <row r="12" spans="1:9">
      <c r="A12" s="16">
        <v>10</v>
      </c>
    </row>
    <row r="13" spans="1:9">
      <c r="A13" s="16">
        <v>5</v>
      </c>
    </row>
    <row r="15" spans="1:9">
      <c r="A15" s="326" t="s">
        <v>761</v>
      </c>
      <c r="B15" s="326"/>
      <c r="C15" s="326"/>
      <c r="D15" s="326"/>
      <c r="E15" s="326"/>
      <c r="F15" s="326"/>
      <c r="G15" s="326"/>
      <c r="H15" s="326"/>
      <c r="I15" s="326"/>
    </row>
    <row r="16" spans="1:9">
      <c r="A16" s="293" t="s">
        <v>762</v>
      </c>
      <c r="B16" s="293" t="s">
        <v>763</v>
      </c>
      <c r="C16" s="293" t="s">
        <v>764</v>
      </c>
      <c r="D16" s="293" t="s">
        <v>765</v>
      </c>
      <c r="E16" s="293" t="s">
        <v>766</v>
      </c>
      <c r="F16" s="293" t="s">
        <v>767</v>
      </c>
      <c r="G16" s="293" t="s">
        <v>768</v>
      </c>
      <c r="H16" s="293" t="s">
        <v>769</v>
      </c>
      <c r="I16" s="293" t="s">
        <v>770</v>
      </c>
    </row>
    <row r="17" spans="1:9">
      <c r="A17" s="294" t="s">
        <v>771</v>
      </c>
      <c r="B17" s="294" t="s">
        <v>772</v>
      </c>
      <c r="C17" s="295">
        <v>200</v>
      </c>
      <c r="D17" s="295">
        <v>120</v>
      </c>
      <c r="E17" s="295">
        <v>150000</v>
      </c>
      <c r="F17" s="295">
        <f t="shared" ref="F17:F28" si="0">C17-D17</f>
        <v>80</v>
      </c>
      <c r="G17" s="296">
        <f t="shared" ref="G17:G28" si="1">IF(D17&gt;=60,0.7,IF(D17&gt;=20,0.4,0.1))*E17*D17</f>
        <v>12600000</v>
      </c>
      <c r="H17" s="295">
        <v>300</v>
      </c>
      <c r="I17" s="295">
        <f t="shared" ref="I17:I28" si="2">H17-F17</f>
        <v>220</v>
      </c>
    </row>
    <row r="18" spans="1:9">
      <c r="A18" s="297" t="s">
        <v>773</v>
      </c>
      <c r="B18" s="297" t="s">
        <v>774</v>
      </c>
      <c r="C18" s="298">
        <v>95</v>
      </c>
      <c r="D18" s="298">
        <v>68</v>
      </c>
      <c r="E18" s="298">
        <v>450000</v>
      </c>
      <c r="F18" s="298">
        <f t="shared" si="0"/>
        <v>27</v>
      </c>
      <c r="G18" s="299">
        <f t="shared" si="1"/>
        <v>21420000</v>
      </c>
      <c r="H18" s="298">
        <v>200</v>
      </c>
      <c r="I18" s="298">
        <f t="shared" si="2"/>
        <v>173</v>
      </c>
    </row>
    <row r="19" spans="1:9">
      <c r="A19" s="300" t="s">
        <v>775</v>
      </c>
      <c r="B19" s="300" t="s">
        <v>776</v>
      </c>
      <c r="C19" s="301">
        <v>50</v>
      </c>
      <c r="D19" s="301">
        <v>45</v>
      </c>
      <c r="E19" s="301">
        <v>750000</v>
      </c>
      <c r="F19" s="301">
        <f t="shared" si="0"/>
        <v>5</v>
      </c>
      <c r="G19" s="302">
        <f t="shared" si="1"/>
        <v>13500000</v>
      </c>
      <c r="H19" s="301">
        <v>60</v>
      </c>
      <c r="I19" s="301">
        <f t="shared" si="2"/>
        <v>55</v>
      </c>
    </row>
    <row r="20" spans="1:9">
      <c r="A20" s="300" t="s">
        <v>771</v>
      </c>
      <c r="B20" s="300" t="s">
        <v>777</v>
      </c>
      <c r="C20" s="301">
        <v>40</v>
      </c>
      <c r="D20" s="301">
        <v>40</v>
      </c>
      <c r="E20" s="301">
        <v>1300000</v>
      </c>
      <c r="F20" s="301">
        <f t="shared" si="0"/>
        <v>0</v>
      </c>
      <c r="G20" s="302">
        <f t="shared" si="1"/>
        <v>20800000</v>
      </c>
      <c r="H20" s="301">
        <v>55</v>
      </c>
      <c r="I20" s="301">
        <f t="shared" si="2"/>
        <v>55</v>
      </c>
    </row>
    <row r="21" spans="1:9">
      <c r="A21" s="300" t="s">
        <v>771</v>
      </c>
      <c r="B21" s="300" t="s">
        <v>778</v>
      </c>
      <c r="C21" s="301">
        <v>70</v>
      </c>
      <c r="D21" s="301">
        <v>60</v>
      </c>
      <c r="E21" s="301">
        <v>30000</v>
      </c>
      <c r="F21" s="301">
        <f t="shared" si="0"/>
        <v>10</v>
      </c>
      <c r="G21" s="302">
        <f t="shared" si="1"/>
        <v>1260000</v>
      </c>
      <c r="H21" s="301">
        <v>60</v>
      </c>
      <c r="I21" s="301">
        <f t="shared" si="2"/>
        <v>50</v>
      </c>
    </row>
    <row r="22" spans="1:9">
      <c r="A22" s="300" t="s">
        <v>771</v>
      </c>
      <c r="B22" s="300" t="s">
        <v>779</v>
      </c>
      <c r="C22" s="301">
        <v>90</v>
      </c>
      <c r="D22" s="301">
        <v>70</v>
      </c>
      <c r="E22" s="301">
        <v>700000</v>
      </c>
      <c r="F22" s="301">
        <f t="shared" si="0"/>
        <v>20</v>
      </c>
      <c r="G22" s="302">
        <f t="shared" si="1"/>
        <v>34299999.999999993</v>
      </c>
      <c r="H22" s="301">
        <v>70</v>
      </c>
      <c r="I22" s="301">
        <f t="shared" si="2"/>
        <v>50</v>
      </c>
    </row>
    <row r="23" spans="1:9">
      <c r="A23" s="300" t="s">
        <v>771</v>
      </c>
      <c r="B23" s="300" t="s">
        <v>780</v>
      </c>
      <c r="C23" s="301">
        <v>35</v>
      </c>
      <c r="D23" s="301">
        <v>30</v>
      </c>
      <c r="E23" s="301">
        <v>30000</v>
      </c>
      <c r="F23" s="301">
        <f t="shared" si="0"/>
        <v>5</v>
      </c>
      <c r="G23" s="302">
        <f t="shared" si="1"/>
        <v>360000</v>
      </c>
      <c r="H23" s="301">
        <v>45</v>
      </c>
      <c r="I23" s="301">
        <f t="shared" si="2"/>
        <v>40</v>
      </c>
    </row>
    <row r="24" spans="1:9">
      <c r="A24" s="300" t="s">
        <v>781</v>
      </c>
      <c r="B24" s="300" t="s">
        <v>782</v>
      </c>
      <c r="C24" s="301">
        <v>30</v>
      </c>
      <c r="D24" s="301">
        <v>20</v>
      </c>
      <c r="E24" s="301">
        <v>450000</v>
      </c>
      <c r="F24" s="301">
        <f t="shared" si="0"/>
        <v>10</v>
      </c>
      <c r="G24" s="302">
        <f t="shared" si="1"/>
        <v>3600000</v>
      </c>
      <c r="H24" s="301">
        <v>50</v>
      </c>
      <c r="I24" s="301">
        <f t="shared" si="2"/>
        <v>40</v>
      </c>
    </row>
    <row r="25" spans="1:9">
      <c r="A25" s="300" t="s">
        <v>773</v>
      </c>
      <c r="B25" s="300" t="s">
        <v>783</v>
      </c>
      <c r="C25" s="301">
        <v>20</v>
      </c>
      <c r="D25" s="301">
        <v>19</v>
      </c>
      <c r="E25" s="301">
        <v>1100000</v>
      </c>
      <c r="F25" s="301">
        <f t="shared" si="0"/>
        <v>1</v>
      </c>
      <c r="G25" s="302">
        <f t="shared" si="1"/>
        <v>2090000</v>
      </c>
      <c r="H25" s="301">
        <v>40</v>
      </c>
      <c r="I25" s="301">
        <f t="shared" si="2"/>
        <v>39</v>
      </c>
    </row>
    <row r="26" spans="1:9">
      <c r="A26" s="300" t="s">
        <v>784</v>
      </c>
      <c r="B26" s="300" t="s">
        <v>785</v>
      </c>
      <c r="C26" s="301">
        <v>30</v>
      </c>
      <c r="D26" s="301">
        <v>27</v>
      </c>
      <c r="E26" s="301">
        <v>600000</v>
      </c>
      <c r="F26" s="301">
        <f t="shared" si="0"/>
        <v>3</v>
      </c>
      <c r="G26" s="302">
        <f t="shared" si="1"/>
        <v>6480000</v>
      </c>
      <c r="H26" s="301">
        <v>30</v>
      </c>
      <c r="I26" s="301">
        <f t="shared" si="2"/>
        <v>27</v>
      </c>
    </row>
    <row r="27" spans="1:9">
      <c r="A27" s="300" t="s">
        <v>781</v>
      </c>
      <c r="B27" s="300" t="s">
        <v>786</v>
      </c>
      <c r="C27" s="301">
        <v>90</v>
      </c>
      <c r="D27" s="301">
        <v>60</v>
      </c>
      <c r="E27" s="301">
        <v>30000</v>
      </c>
      <c r="F27" s="301">
        <f t="shared" si="0"/>
        <v>30</v>
      </c>
      <c r="G27" s="302">
        <f t="shared" si="1"/>
        <v>1260000</v>
      </c>
      <c r="H27" s="301">
        <v>50</v>
      </c>
      <c r="I27" s="301">
        <f t="shared" si="2"/>
        <v>20</v>
      </c>
    </row>
    <row r="28" spans="1:9">
      <c r="A28" s="303" t="s">
        <v>781</v>
      </c>
      <c r="B28" s="303" t="s">
        <v>787</v>
      </c>
      <c r="C28" s="304">
        <v>16</v>
      </c>
      <c r="D28" s="304">
        <v>3</v>
      </c>
      <c r="E28" s="304">
        <v>2000000</v>
      </c>
      <c r="F28" s="304">
        <f t="shared" si="0"/>
        <v>13</v>
      </c>
      <c r="G28" s="305">
        <f t="shared" si="1"/>
        <v>600000</v>
      </c>
      <c r="H28" s="304">
        <v>20</v>
      </c>
      <c r="I28" s="304">
        <f t="shared" si="2"/>
        <v>7</v>
      </c>
    </row>
    <row r="29" spans="1:9">
      <c r="A29" s="391" t="s">
        <v>788</v>
      </c>
      <c r="B29" s="391"/>
      <c r="C29" s="391" t="s">
        <v>789</v>
      </c>
      <c r="D29" s="293">
        <v>6</v>
      </c>
      <c r="E29" s="293"/>
      <c r="F29" s="306">
        <f t="array" ref="F29:F31">FREQUENCY(F17:F28,D29:D31)</f>
        <v>5</v>
      </c>
      <c r="G29" s="392" t="s">
        <v>790</v>
      </c>
      <c r="H29" s="392"/>
      <c r="I29" s="392"/>
    </row>
    <row r="30" spans="1:9">
      <c r="A30" s="391"/>
      <c r="B30" s="391"/>
      <c r="C30" s="391"/>
      <c r="D30" s="293">
        <v>60</v>
      </c>
      <c r="E30" s="293"/>
      <c r="F30" s="306">
        <v>6</v>
      </c>
      <c r="G30" s="392"/>
      <c r="H30" s="392"/>
      <c r="I30" s="392"/>
    </row>
    <row r="31" spans="1:9">
      <c r="A31" s="391"/>
      <c r="B31" s="391"/>
      <c r="C31" s="391"/>
      <c r="D31" s="293">
        <v>100</v>
      </c>
      <c r="E31" s="293"/>
      <c r="F31" s="306">
        <v>1</v>
      </c>
      <c r="G31" s="392"/>
      <c r="H31" s="392"/>
      <c r="I31" s="392"/>
    </row>
  </sheetData>
  <mergeCells count="4">
    <mergeCell ref="A15:I15"/>
    <mergeCell ref="A29:B31"/>
    <mergeCell ref="C29:C31"/>
    <mergeCell ref="G29:I31"/>
  </mergeCells>
  <phoneticPr fontId="5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K21" sqref="K21"/>
    </sheetView>
  </sheetViews>
  <sheetFormatPr defaultRowHeight="16.5"/>
  <cols>
    <col min="1" max="1" width="8.33203125" style="242" customWidth="1"/>
    <col min="2" max="2" width="7.109375" style="242" customWidth="1"/>
    <col min="3" max="3" width="5.77734375" style="242" customWidth="1"/>
    <col min="4" max="4" width="6.88671875" style="242" customWidth="1"/>
    <col min="5" max="5" width="6.44140625" style="242" customWidth="1"/>
    <col min="6" max="6" width="8.88671875" style="242" customWidth="1"/>
    <col min="7" max="7" width="6.6640625" style="242" customWidth="1"/>
    <col min="8" max="8" width="7.77734375" style="242" customWidth="1"/>
    <col min="9" max="9" width="8.88671875" style="242" customWidth="1"/>
    <col min="10" max="10" width="9.6640625" style="242" customWidth="1"/>
    <col min="11" max="11" width="10.21875" style="242" customWidth="1"/>
    <col min="12" max="13" width="7.33203125" style="242" customWidth="1"/>
    <col min="14" max="259" width="8.88671875" style="242"/>
    <col min="260" max="261" width="6.5546875" style="242" bestFit="1" customWidth="1"/>
    <col min="262" max="262" width="17" style="242" customWidth="1"/>
    <col min="263" max="263" width="6.33203125" style="242" bestFit="1" customWidth="1"/>
    <col min="264" max="264" width="5.88671875" style="242" customWidth="1"/>
    <col min="265" max="266" width="6.5546875" style="242" bestFit="1" customWidth="1"/>
    <col min="267" max="267" width="2" style="242" customWidth="1"/>
    <col min="268" max="268" width="17.88671875" style="242" customWidth="1"/>
    <col min="269" max="515" width="8.88671875" style="242"/>
    <col min="516" max="517" width="6.5546875" style="242" bestFit="1" customWidth="1"/>
    <col min="518" max="518" width="17" style="242" customWidth="1"/>
    <col min="519" max="519" width="6.33203125" style="242" bestFit="1" customWidth="1"/>
    <col min="520" max="520" width="5.88671875" style="242" customWidth="1"/>
    <col min="521" max="522" width="6.5546875" style="242" bestFit="1" customWidth="1"/>
    <col min="523" max="523" width="2" style="242" customWidth="1"/>
    <col min="524" max="524" width="17.88671875" style="242" customWidth="1"/>
    <col min="525" max="771" width="8.88671875" style="242"/>
    <col min="772" max="773" width="6.5546875" style="242" bestFit="1" customWidth="1"/>
    <col min="774" max="774" width="17" style="242" customWidth="1"/>
    <col min="775" max="775" width="6.33203125" style="242" bestFit="1" customWidth="1"/>
    <col min="776" max="776" width="5.88671875" style="242" customWidth="1"/>
    <col min="777" max="778" width="6.5546875" style="242" bestFit="1" customWidth="1"/>
    <col min="779" max="779" width="2" style="242" customWidth="1"/>
    <col min="780" max="780" width="17.88671875" style="242" customWidth="1"/>
    <col min="781" max="1027" width="8.88671875" style="242"/>
    <col min="1028" max="1029" width="6.5546875" style="242" bestFit="1" customWidth="1"/>
    <col min="1030" max="1030" width="17" style="242" customWidth="1"/>
    <col min="1031" max="1031" width="6.33203125" style="242" bestFit="1" customWidth="1"/>
    <col min="1032" max="1032" width="5.88671875" style="242" customWidth="1"/>
    <col min="1033" max="1034" width="6.5546875" style="242" bestFit="1" customWidth="1"/>
    <col min="1035" max="1035" width="2" style="242" customWidth="1"/>
    <col min="1036" max="1036" width="17.88671875" style="242" customWidth="1"/>
    <col min="1037" max="1283" width="8.88671875" style="242"/>
    <col min="1284" max="1285" width="6.5546875" style="242" bestFit="1" customWidth="1"/>
    <col min="1286" max="1286" width="17" style="242" customWidth="1"/>
    <col min="1287" max="1287" width="6.33203125" style="242" bestFit="1" customWidth="1"/>
    <col min="1288" max="1288" width="5.88671875" style="242" customWidth="1"/>
    <col min="1289" max="1290" width="6.5546875" style="242" bestFit="1" customWidth="1"/>
    <col min="1291" max="1291" width="2" style="242" customWidth="1"/>
    <col min="1292" max="1292" width="17.88671875" style="242" customWidth="1"/>
    <col min="1293" max="1539" width="8.88671875" style="242"/>
    <col min="1540" max="1541" width="6.5546875" style="242" bestFit="1" customWidth="1"/>
    <col min="1542" max="1542" width="17" style="242" customWidth="1"/>
    <col min="1543" max="1543" width="6.33203125" style="242" bestFit="1" customWidth="1"/>
    <col min="1544" max="1544" width="5.88671875" style="242" customWidth="1"/>
    <col min="1545" max="1546" width="6.5546875" style="242" bestFit="1" customWidth="1"/>
    <col min="1547" max="1547" width="2" style="242" customWidth="1"/>
    <col min="1548" max="1548" width="17.88671875" style="242" customWidth="1"/>
    <col min="1549" max="1795" width="8.88671875" style="242"/>
    <col min="1796" max="1797" width="6.5546875" style="242" bestFit="1" customWidth="1"/>
    <col min="1798" max="1798" width="17" style="242" customWidth="1"/>
    <col min="1799" max="1799" width="6.33203125" style="242" bestFit="1" customWidth="1"/>
    <col min="1800" max="1800" width="5.88671875" style="242" customWidth="1"/>
    <col min="1801" max="1802" width="6.5546875" style="242" bestFit="1" customWidth="1"/>
    <col min="1803" max="1803" width="2" style="242" customWidth="1"/>
    <col min="1804" max="1804" width="17.88671875" style="242" customWidth="1"/>
    <col min="1805" max="2051" width="8.88671875" style="242"/>
    <col min="2052" max="2053" width="6.5546875" style="242" bestFit="1" customWidth="1"/>
    <col min="2054" max="2054" width="17" style="242" customWidth="1"/>
    <col min="2055" max="2055" width="6.33203125" style="242" bestFit="1" customWidth="1"/>
    <col min="2056" max="2056" width="5.88671875" style="242" customWidth="1"/>
    <col min="2057" max="2058" width="6.5546875" style="242" bestFit="1" customWidth="1"/>
    <col min="2059" max="2059" width="2" style="242" customWidth="1"/>
    <col min="2060" max="2060" width="17.88671875" style="242" customWidth="1"/>
    <col min="2061" max="2307" width="8.88671875" style="242"/>
    <col min="2308" max="2309" width="6.5546875" style="242" bestFit="1" customWidth="1"/>
    <col min="2310" max="2310" width="17" style="242" customWidth="1"/>
    <col min="2311" max="2311" width="6.33203125" style="242" bestFit="1" customWidth="1"/>
    <col min="2312" max="2312" width="5.88671875" style="242" customWidth="1"/>
    <col min="2313" max="2314" width="6.5546875" style="242" bestFit="1" customWidth="1"/>
    <col min="2315" max="2315" width="2" style="242" customWidth="1"/>
    <col min="2316" max="2316" width="17.88671875" style="242" customWidth="1"/>
    <col min="2317" max="2563" width="8.88671875" style="242"/>
    <col min="2564" max="2565" width="6.5546875" style="242" bestFit="1" customWidth="1"/>
    <col min="2566" max="2566" width="17" style="242" customWidth="1"/>
    <col min="2567" max="2567" width="6.33203125" style="242" bestFit="1" customWidth="1"/>
    <col min="2568" max="2568" width="5.88671875" style="242" customWidth="1"/>
    <col min="2569" max="2570" width="6.5546875" style="242" bestFit="1" customWidth="1"/>
    <col min="2571" max="2571" width="2" style="242" customWidth="1"/>
    <col min="2572" max="2572" width="17.88671875" style="242" customWidth="1"/>
    <col min="2573" max="2819" width="8.88671875" style="242"/>
    <col min="2820" max="2821" width="6.5546875" style="242" bestFit="1" customWidth="1"/>
    <col min="2822" max="2822" width="17" style="242" customWidth="1"/>
    <col min="2823" max="2823" width="6.33203125" style="242" bestFit="1" customWidth="1"/>
    <col min="2824" max="2824" width="5.88671875" style="242" customWidth="1"/>
    <col min="2825" max="2826" width="6.5546875" style="242" bestFit="1" customWidth="1"/>
    <col min="2827" max="2827" width="2" style="242" customWidth="1"/>
    <col min="2828" max="2828" width="17.88671875" style="242" customWidth="1"/>
    <col min="2829" max="3075" width="8.88671875" style="242"/>
    <col min="3076" max="3077" width="6.5546875" style="242" bestFit="1" customWidth="1"/>
    <col min="3078" max="3078" width="17" style="242" customWidth="1"/>
    <col min="3079" max="3079" width="6.33203125" style="242" bestFit="1" customWidth="1"/>
    <col min="3080" max="3080" width="5.88671875" style="242" customWidth="1"/>
    <col min="3081" max="3082" width="6.5546875" style="242" bestFit="1" customWidth="1"/>
    <col min="3083" max="3083" width="2" style="242" customWidth="1"/>
    <col min="3084" max="3084" width="17.88671875" style="242" customWidth="1"/>
    <col min="3085" max="3331" width="8.88671875" style="242"/>
    <col min="3332" max="3333" width="6.5546875" style="242" bestFit="1" customWidth="1"/>
    <col min="3334" max="3334" width="17" style="242" customWidth="1"/>
    <col min="3335" max="3335" width="6.33203125" style="242" bestFit="1" customWidth="1"/>
    <col min="3336" max="3336" width="5.88671875" style="242" customWidth="1"/>
    <col min="3337" max="3338" width="6.5546875" style="242" bestFit="1" customWidth="1"/>
    <col min="3339" max="3339" width="2" style="242" customWidth="1"/>
    <col min="3340" max="3340" width="17.88671875" style="242" customWidth="1"/>
    <col min="3341" max="3587" width="8.88671875" style="242"/>
    <col min="3588" max="3589" width="6.5546875" style="242" bestFit="1" customWidth="1"/>
    <col min="3590" max="3590" width="17" style="242" customWidth="1"/>
    <col min="3591" max="3591" width="6.33203125" style="242" bestFit="1" customWidth="1"/>
    <col min="3592" max="3592" width="5.88671875" style="242" customWidth="1"/>
    <col min="3593" max="3594" width="6.5546875" style="242" bestFit="1" customWidth="1"/>
    <col min="3595" max="3595" width="2" style="242" customWidth="1"/>
    <col min="3596" max="3596" width="17.88671875" style="242" customWidth="1"/>
    <col min="3597" max="3843" width="8.88671875" style="242"/>
    <col min="3844" max="3845" width="6.5546875" style="242" bestFit="1" customWidth="1"/>
    <col min="3846" max="3846" width="17" style="242" customWidth="1"/>
    <col min="3847" max="3847" width="6.33203125" style="242" bestFit="1" customWidth="1"/>
    <col min="3848" max="3848" width="5.88671875" style="242" customWidth="1"/>
    <col min="3849" max="3850" width="6.5546875" style="242" bestFit="1" customWidth="1"/>
    <col min="3851" max="3851" width="2" style="242" customWidth="1"/>
    <col min="3852" max="3852" width="17.88671875" style="242" customWidth="1"/>
    <col min="3853" max="4099" width="8.88671875" style="242"/>
    <col min="4100" max="4101" width="6.5546875" style="242" bestFit="1" customWidth="1"/>
    <col min="4102" max="4102" width="17" style="242" customWidth="1"/>
    <col min="4103" max="4103" width="6.33203125" style="242" bestFit="1" customWidth="1"/>
    <col min="4104" max="4104" width="5.88671875" style="242" customWidth="1"/>
    <col min="4105" max="4106" width="6.5546875" style="242" bestFit="1" customWidth="1"/>
    <col min="4107" max="4107" width="2" style="242" customWidth="1"/>
    <col min="4108" max="4108" width="17.88671875" style="242" customWidth="1"/>
    <col min="4109" max="4355" width="8.88671875" style="242"/>
    <col min="4356" max="4357" width="6.5546875" style="242" bestFit="1" customWidth="1"/>
    <col min="4358" max="4358" width="17" style="242" customWidth="1"/>
    <col min="4359" max="4359" width="6.33203125" style="242" bestFit="1" customWidth="1"/>
    <col min="4360" max="4360" width="5.88671875" style="242" customWidth="1"/>
    <col min="4361" max="4362" width="6.5546875" style="242" bestFit="1" customWidth="1"/>
    <col min="4363" max="4363" width="2" style="242" customWidth="1"/>
    <col min="4364" max="4364" width="17.88671875" style="242" customWidth="1"/>
    <col min="4365" max="4611" width="8.88671875" style="242"/>
    <col min="4612" max="4613" width="6.5546875" style="242" bestFit="1" customWidth="1"/>
    <col min="4614" max="4614" width="17" style="242" customWidth="1"/>
    <col min="4615" max="4615" width="6.33203125" style="242" bestFit="1" customWidth="1"/>
    <col min="4616" max="4616" width="5.88671875" style="242" customWidth="1"/>
    <col min="4617" max="4618" width="6.5546875" style="242" bestFit="1" customWidth="1"/>
    <col min="4619" max="4619" width="2" style="242" customWidth="1"/>
    <col min="4620" max="4620" width="17.88671875" style="242" customWidth="1"/>
    <col min="4621" max="4867" width="8.88671875" style="242"/>
    <col min="4868" max="4869" width="6.5546875" style="242" bestFit="1" customWidth="1"/>
    <col min="4870" max="4870" width="17" style="242" customWidth="1"/>
    <col min="4871" max="4871" width="6.33203125" style="242" bestFit="1" customWidth="1"/>
    <col min="4872" max="4872" width="5.88671875" style="242" customWidth="1"/>
    <col min="4873" max="4874" width="6.5546875" style="242" bestFit="1" customWidth="1"/>
    <col min="4875" max="4875" width="2" style="242" customWidth="1"/>
    <col min="4876" max="4876" width="17.88671875" style="242" customWidth="1"/>
    <col min="4877" max="5123" width="8.88671875" style="242"/>
    <col min="5124" max="5125" width="6.5546875" style="242" bestFit="1" customWidth="1"/>
    <col min="5126" max="5126" width="17" style="242" customWidth="1"/>
    <col min="5127" max="5127" width="6.33203125" style="242" bestFit="1" customWidth="1"/>
    <col min="5128" max="5128" width="5.88671875" style="242" customWidth="1"/>
    <col min="5129" max="5130" width="6.5546875" style="242" bestFit="1" customWidth="1"/>
    <col min="5131" max="5131" width="2" style="242" customWidth="1"/>
    <col min="5132" max="5132" width="17.88671875" style="242" customWidth="1"/>
    <col min="5133" max="5379" width="8.88671875" style="242"/>
    <col min="5380" max="5381" width="6.5546875" style="242" bestFit="1" customWidth="1"/>
    <col min="5382" max="5382" width="17" style="242" customWidth="1"/>
    <col min="5383" max="5383" width="6.33203125" style="242" bestFit="1" customWidth="1"/>
    <col min="5384" max="5384" width="5.88671875" style="242" customWidth="1"/>
    <col min="5385" max="5386" width="6.5546875" style="242" bestFit="1" customWidth="1"/>
    <col min="5387" max="5387" width="2" style="242" customWidth="1"/>
    <col min="5388" max="5388" width="17.88671875" style="242" customWidth="1"/>
    <col min="5389" max="5635" width="8.88671875" style="242"/>
    <col min="5636" max="5637" width="6.5546875" style="242" bestFit="1" customWidth="1"/>
    <col min="5638" max="5638" width="17" style="242" customWidth="1"/>
    <col min="5639" max="5639" width="6.33203125" style="242" bestFit="1" customWidth="1"/>
    <col min="5640" max="5640" width="5.88671875" style="242" customWidth="1"/>
    <col min="5641" max="5642" width="6.5546875" style="242" bestFit="1" customWidth="1"/>
    <col min="5643" max="5643" width="2" style="242" customWidth="1"/>
    <col min="5644" max="5644" width="17.88671875" style="242" customWidth="1"/>
    <col min="5645" max="5891" width="8.88671875" style="242"/>
    <col min="5892" max="5893" width="6.5546875" style="242" bestFit="1" customWidth="1"/>
    <col min="5894" max="5894" width="17" style="242" customWidth="1"/>
    <col min="5895" max="5895" width="6.33203125" style="242" bestFit="1" customWidth="1"/>
    <col min="5896" max="5896" width="5.88671875" style="242" customWidth="1"/>
    <col min="5897" max="5898" width="6.5546875" style="242" bestFit="1" customWidth="1"/>
    <col min="5899" max="5899" width="2" style="242" customWidth="1"/>
    <col min="5900" max="5900" width="17.88671875" style="242" customWidth="1"/>
    <col min="5901" max="6147" width="8.88671875" style="242"/>
    <col min="6148" max="6149" width="6.5546875" style="242" bestFit="1" customWidth="1"/>
    <col min="6150" max="6150" width="17" style="242" customWidth="1"/>
    <col min="6151" max="6151" width="6.33203125" style="242" bestFit="1" customWidth="1"/>
    <col min="6152" max="6152" width="5.88671875" style="242" customWidth="1"/>
    <col min="6153" max="6154" width="6.5546875" style="242" bestFit="1" customWidth="1"/>
    <col min="6155" max="6155" width="2" style="242" customWidth="1"/>
    <col min="6156" max="6156" width="17.88671875" style="242" customWidth="1"/>
    <col min="6157" max="6403" width="8.88671875" style="242"/>
    <col min="6404" max="6405" width="6.5546875" style="242" bestFit="1" customWidth="1"/>
    <col min="6406" max="6406" width="17" style="242" customWidth="1"/>
    <col min="6407" max="6407" width="6.33203125" style="242" bestFit="1" customWidth="1"/>
    <col min="6408" max="6408" width="5.88671875" style="242" customWidth="1"/>
    <col min="6409" max="6410" width="6.5546875" style="242" bestFit="1" customWidth="1"/>
    <col min="6411" max="6411" width="2" style="242" customWidth="1"/>
    <col min="6412" max="6412" width="17.88671875" style="242" customWidth="1"/>
    <col min="6413" max="6659" width="8.88671875" style="242"/>
    <col min="6660" max="6661" width="6.5546875" style="242" bestFit="1" customWidth="1"/>
    <col min="6662" max="6662" width="17" style="242" customWidth="1"/>
    <col min="6663" max="6663" width="6.33203125" style="242" bestFit="1" customWidth="1"/>
    <col min="6664" max="6664" width="5.88671875" style="242" customWidth="1"/>
    <col min="6665" max="6666" width="6.5546875" style="242" bestFit="1" customWidth="1"/>
    <col min="6667" max="6667" width="2" style="242" customWidth="1"/>
    <col min="6668" max="6668" width="17.88671875" style="242" customWidth="1"/>
    <col min="6669" max="6915" width="8.88671875" style="242"/>
    <col min="6916" max="6917" width="6.5546875" style="242" bestFit="1" customWidth="1"/>
    <col min="6918" max="6918" width="17" style="242" customWidth="1"/>
    <col min="6919" max="6919" width="6.33203125" style="242" bestFit="1" customWidth="1"/>
    <col min="6920" max="6920" width="5.88671875" style="242" customWidth="1"/>
    <col min="6921" max="6922" width="6.5546875" style="242" bestFit="1" customWidth="1"/>
    <col min="6923" max="6923" width="2" style="242" customWidth="1"/>
    <col min="6924" max="6924" width="17.88671875" style="242" customWidth="1"/>
    <col min="6925" max="7171" width="8.88671875" style="242"/>
    <col min="7172" max="7173" width="6.5546875" style="242" bestFit="1" customWidth="1"/>
    <col min="7174" max="7174" width="17" style="242" customWidth="1"/>
    <col min="7175" max="7175" width="6.33203125" style="242" bestFit="1" customWidth="1"/>
    <col min="7176" max="7176" width="5.88671875" style="242" customWidth="1"/>
    <col min="7177" max="7178" width="6.5546875" style="242" bestFit="1" customWidth="1"/>
    <col min="7179" max="7179" width="2" style="242" customWidth="1"/>
    <col min="7180" max="7180" width="17.88671875" style="242" customWidth="1"/>
    <col min="7181" max="7427" width="8.88671875" style="242"/>
    <col min="7428" max="7429" width="6.5546875" style="242" bestFit="1" customWidth="1"/>
    <col min="7430" max="7430" width="17" style="242" customWidth="1"/>
    <col min="7431" max="7431" width="6.33203125" style="242" bestFit="1" customWidth="1"/>
    <col min="7432" max="7432" width="5.88671875" style="242" customWidth="1"/>
    <col min="7433" max="7434" width="6.5546875" style="242" bestFit="1" customWidth="1"/>
    <col min="7435" max="7435" width="2" style="242" customWidth="1"/>
    <col min="7436" max="7436" width="17.88671875" style="242" customWidth="1"/>
    <col min="7437" max="7683" width="8.88671875" style="242"/>
    <col min="7684" max="7685" width="6.5546875" style="242" bestFit="1" customWidth="1"/>
    <col min="7686" max="7686" width="17" style="242" customWidth="1"/>
    <col min="7687" max="7687" width="6.33203125" style="242" bestFit="1" customWidth="1"/>
    <col min="7688" max="7688" width="5.88671875" style="242" customWidth="1"/>
    <col min="7689" max="7690" width="6.5546875" style="242" bestFit="1" customWidth="1"/>
    <col min="7691" max="7691" width="2" style="242" customWidth="1"/>
    <col min="7692" max="7692" width="17.88671875" style="242" customWidth="1"/>
    <col min="7693" max="7939" width="8.88671875" style="242"/>
    <col min="7940" max="7941" width="6.5546875" style="242" bestFit="1" customWidth="1"/>
    <col min="7942" max="7942" width="17" style="242" customWidth="1"/>
    <col min="7943" max="7943" width="6.33203125" style="242" bestFit="1" customWidth="1"/>
    <col min="7944" max="7944" width="5.88671875" style="242" customWidth="1"/>
    <col min="7945" max="7946" width="6.5546875" style="242" bestFit="1" customWidth="1"/>
    <col min="7947" max="7947" width="2" style="242" customWidth="1"/>
    <col min="7948" max="7948" width="17.88671875" style="242" customWidth="1"/>
    <col min="7949" max="8195" width="8.88671875" style="242"/>
    <col min="8196" max="8197" width="6.5546875" style="242" bestFit="1" customWidth="1"/>
    <col min="8198" max="8198" width="17" style="242" customWidth="1"/>
    <col min="8199" max="8199" width="6.33203125" style="242" bestFit="1" customWidth="1"/>
    <col min="8200" max="8200" width="5.88671875" style="242" customWidth="1"/>
    <col min="8201" max="8202" width="6.5546875" style="242" bestFit="1" customWidth="1"/>
    <col min="8203" max="8203" width="2" style="242" customWidth="1"/>
    <col min="8204" max="8204" width="17.88671875" style="242" customWidth="1"/>
    <col min="8205" max="8451" width="8.88671875" style="242"/>
    <col min="8452" max="8453" width="6.5546875" style="242" bestFit="1" customWidth="1"/>
    <col min="8454" max="8454" width="17" style="242" customWidth="1"/>
    <col min="8455" max="8455" width="6.33203125" style="242" bestFit="1" customWidth="1"/>
    <col min="8456" max="8456" width="5.88671875" style="242" customWidth="1"/>
    <col min="8457" max="8458" width="6.5546875" style="242" bestFit="1" customWidth="1"/>
    <col min="8459" max="8459" width="2" style="242" customWidth="1"/>
    <col min="8460" max="8460" width="17.88671875" style="242" customWidth="1"/>
    <col min="8461" max="8707" width="8.88671875" style="242"/>
    <col min="8708" max="8709" width="6.5546875" style="242" bestFit="1" customWidth="1"/>
    <col min="8710" max="8710" width="17" style="242" customWidth="1"/>
    <col min="8711" max="8711" width="6.33203125" style="242" bestFit="1" customWidth="1"/>
    <col min="8712" max="8712" width="5.88671875" style="242" customWidth="1"/>
    <col min="8713" max="8714" width="6.5546875" style="242" bestFit="1" customWidth="1"/>
    <col min="8715" max="8715" width="2" style="242" customWidth="1"/>
    <col min="8716" max="8716" width="17.88671875" style="242" customWidth="1"/>
    <col min="8717" max="8963" width="8.88671875" style="242"/>
    <col min="8964" max="8965" width="6.5546875" style="242" bestFit="1" customWidth="1"/>
    <col min="8966" max="8966" width="17" style="242" customWidth="1"/>
    <col min="8967" max="8967" width="6.33203125" style="242" bestFit="1" customWidth="1"/>
    <col min="8968" max="8968" width="5.88671875" style="242" customWidth="1"/>
    <col min="8969" max="8970" width="6.5546875" style="242" bestFit="1" customWidth="1"/>
    <col min="8971" max="8971" width="2" style="242" customWidth="1"/>
    <col min="8972" max="8972" width="17.88671875" style="242" customWidth="1"/>
    <col min="8973" max="9219" width="8.88671875" style="242"/>
    <col min="9220" max="9221" width="6.5546875" style="242" bestFit="1" customWidth="1"/>
    <col min="9222" max="9222" width="17" style="242" customWidth="1"/>
    <col min="9223" max="9223" width="6.33203125" style="242" bestFit="1" customWidth="1"/>
    <col min="9224" max="9224" width="5.88671875" style="242" customWidth="1"/>
    <col min="9225" max="9226" width="6.5546875" style="242" bestFit="1" customWidth="1"/>
    <col min="9227" max="9227" width="2" style="242" customWidth="1"/>
    <col min="9228" max="9228" width="17.88671875" style="242" customWidth="1"/>
    <col min="9229" max="9475" width="8.88671875" style="242"/>
    <col min="9476" max="9477" width="6.5546875" style="242" bestFit="1" customWidth="1"/>
    <col min="9478" max="9478" width="17" style="242" customWidth="1"/>
    <col min="9479" max="9479" width="6.33203125" style="242" bestFit="1" customWidth="1"/>
    <col min="9480" max="9480" width="5.88671875" style="242" customWidth="1"/>
    <col min="9481" max="9482" width="6.5546875" style="242" bestFit="1" customWidth="1"/>
    <col min="9483" max="9483" width="2" style="242" customWidth="1"/>
    <col min="9484" max="9484" width="17.88671875" style="242" customWidth="1"/>
    <col min="9485" max="9731" width="8.88671875" style="242"/>
    <col min="9732" max="9733" width="6.5546875" style="242" bestFit="1" customWidth="1"/>
    <col min="9734" max="9734" width="17" style="242" customWidth="1"/>
    <col min="9735" max="9735" width="6.33203125" style="242" bestFit="1" customWidth="1"/>
    <col min="9736" max="9736" width="5.88671875" style="242" customWidth="1"/>
    <col min="9737" max="9738" width="6.5546875" style="242" bestFit="1" customWidth="1"/>
    <col min="9739" max="9739" width="2" style="242" customWidth="1"/>
    <col min="9740" max="9740" width="17.88671875" style="242" customWidth="1"/>
    <col min="9741" max="9987" width="8.88671875" style="242"/>
    <col min="9988" max="9989" width="6.5546875" style="242" bestFit="1" customWidth="1"/>
    <col min="9990" max="9990" width="17" style="242" customWidth="1"/>
    <col min="9991" max="9991" width="6.33203125" style="242" bestFit="1" customWidth="1"/>
    <col min="9992" max="9992" width="5.88671875" style="242" customWidth="1"/>
    <col min="9993" max="9994" width="6.5546875" style="242" bestFit="1" customWidth="1"/>
    <col min="9995" max="9995" width="2" style="242" customWidth="1"/>
    <col min="9996" max="9996" width="17.88671875" style="242" customWidth="1"/>
    <col min="9997" max="10243" width="8.88671875" style="242"/>
    <col min="10244" max="10245" width="6.5546875" style="242" bestFit="1" customWidth="1"/>
    <col min="10246" max="10246" width="17" style="242" customWidth="1"/>
    <col min="10247" max="10247" width="6.33203125" style="242" bestFit="1" customWidth="1"/>
    <col min="10248" max="10248" width="5.88671875" style="242" customWidth="1"/>
    <col min="10249" max="10250" width="6.5546875" style="242" bestFit="1" customWidth="1"/>
    <col min="10251" max="10251" width="2" style="242" customWidth="1"/>
    <col min="10252" max="10252" width="17.88671875" style="242" customWidth="1"/>
    <col min="10253" max="10499" width="8.88671875" style="242"/>
    <col min="10500" max="10501" width="6.5546875" style="242" bestFit="1" customWidth="1"/>
    <col min="10502" max="10502" width="17" style="242" customWidth="1"/>
    <col min="10503" max="10503" width="6.33203125" style="242" bestFit="1" customWidth="1"/>
    <col min="10504" max="10504" width="5.88671875" style="242" customWidth="1"/>
    <col min="10505" max="10506" width="6.5546875" style="242" bestFit="1" customWidth="1"/>
    <col min="10507" max="10507" width="2" style="242" customWidth="1"/>
    <col min="10508" max="10508" width="17.88671875" style="242" customWidth="1"/>
    <col min="10509" max="10755" width="8.88671875" style="242"/>
    <col min="10756" max="10757" width="6.5546875" style="242" bestFit="1" customWidth="1"/>
    <col min="10758" max="10758" width="17" style="242" customWidth="1"/>
    <col min="10759" max="10759" width="6.33203125" style="242" bestFit="1" customWidth="1"/>
    <col min="10760" max="10760" width="5.88671875" style="242" customWidth="1"/>
    <col min="10761" max="10762" width="6.5546875" style="242" bestFit="1" customWidth="1"/>
    <col min="10763" max="10763" width="2" style="242" customWidth="1"/>
    <col min="10764" max="10764" width="17.88671875" style="242" customWidth="1"/>
    <col min="10765" max="11011" width="8.88671875" style="242"/>
    <col min="11012" max="11013" width="6.5546875" style="242" bestFit="1" customWidth="1"/>
    <col min="11014" max="11014" width="17" style="242" customWidth="1"/>
    <col min="11015" max="11015" width="6.33203125" style="242" bestFit="1" customWidth="1"/>
    <col min="11016" max="11016" width="5.88671875" style="242" customWidth="1"/>
    <col min="11017" max="11018" width="6.5546875" style="242" bestFit="1" customWidth="1"/>
    <col min="11019" max="11019" width="2" style="242" customWidth="1"/>
    <col min="11020" max="11020" width="17.88671875" style="242" customWidth="1"/>
    <col min="11021" max="11267" width="8.88671875" style="242"/>
    <col min="11268" max="11269" width="6.5546875" style="242" bestFit="1" customWidth="1"/>
    <col min="11270" max="11270" width="17" style="242" customWidth="1"/>
    <col min="11271" max="11271" width="6.33203125" style="242" bestFit="1" customWidth="1"/>
    <col min="11272" max="11272" width="5.88671875" style="242" customWidth="1"/>
    <col min="11273" max="11274" width="6.5546875" style="242" bestFit="1" customWidth="1"/>
    <col min="11275" max="11275" width="2" style="242" customWidth="1"/>
    <col min="11276" max="11276" width="17.88671875" style="242" customWidth="1"/>
    <col min="11277" max="11523" width="8.88671875" style="242"/>
    <col min="11524" max="11525" width="6.5546875" style="242" bestFit="1" customWidth="1"/>
    <col min="11526" max="11526" width="17" style="242" customWidth="1"/>
    <col min="11527" max="11527" width="6.33203125" style="242" bestFit="1" customWidth="1"/>
    <col min="11528" max="11528" width="5.88671875" style="242" customWidth="1"/>
    <col min="11529" max="11530" width="6.5546875" style="242" bestFit="1" customWidth="1"/>
    <col min="11531" max="11531" width="2" style="242" customWidth="1"/>
    <col min="11532" max="11532" width="17.88671875" style="242" customWidth="1"/>
    <col min="11533" max="11779" width="8.88671875" style="242"/>
    <col min="11780" max="11781" width="6.5546875" style="242" bestFit="1" customWidth="1"/>
    <col min="11782" max="11782" width="17" style="242" customWidth="1"/>
    <col min="11783" max="11783" width="6.33203125" style="242" bestFit="1" customWidth="1"/>
    <col min="11784" max="11784" width="5.88671875" style="242" customWidth="1"/>
    <col min="11785" max="11786" width="6.5546875" style="242" bestFit="1" customWidth="1"/>
    <col min="11787" max="11787" width="2" style="242" customWidth="1"/>
    <col min="11788" max="11788" width="17.88671875" style="242" customWidth="1"/>
    <col min="11789" max="12035" width="8.88671875" style="242"/>
    <col min="12036" max="12037" width="6.5546875" style="242" bestFit="1" customWidth="1"/>
    <col min="12038" max="12038" width="17" style="242" customWidth="1"/>
    <col min="12039" max="12039" width="6.33203125" style="242" bestFit="1" customWidth="1"/>
    <col min="12040" max="12040" width="5.88671875" style="242" customWidth="1"/>
    <col min="12041" max="12042" width="6.5546875" style="242" bestFit="1" customWidth="1"/>
    <col min="12043" max="12043" width="2" style="242" customWidth="1"/>
    <col min="12044" max="12044" width="17.88671875" style="242" customWidth="1"/>
    <col min="12045" max="12291" width="8.88671875" style="242"/>
    <col min="12292" max="12293" width="6.5546875" style="242" bestFit="1" customWidth="1"/>
    <col min="12294" max="12294" width="17" style="242" customWidth="1"/>
    <col min="12295" max="12295" width="6.33203125" style="242" bestFit="1" customWidth="1"/>
    <col min="12296" max="12296" width="5.88671875" style="242" customWidth="1"/>
    <col min="12297" max="12298" width="6.5546875" style="242" bestFit="1" customWidth="1"/>
    <col min="12299" max="12299" width="2" style="242" customWidth="1"/>
    <col min="12300" max="12300" width="17.88671875" style="242" customWidth="1"/>
    <col min="12301" max="12547" width="8.88671875" style="242"/>
    <col min="12548" max="12549" width="6.5546875" style="242" bestFit="1" customWidth="1"/>
    <col min="12550" max="12550" width="17" style="242" customWidth="1"/>
    <col min="12551" max="12551" width="6.33203125" style="242" bestFit="1" customWidth="1"/>
    <col min="12552" max="12552" width="5.88671875" style="242" customWidth="1"/>
    <col min="12553" max="12554" width="6.5546875" style="242" bestFit="1" customWidth="1"/>
    <col min="12555" max="12555" width="2" style="242" customWidth="1"/>
    <col min="12556" max="12556" width="17.88671875" style="242" customWidth="1"/>
    <col min="12557" max="12803" width="8.88671875" style="242"/>
    <col min="12804" max="12805" width="6.5546875" style="242" bestFit="1" customWidth="1"/>
    <col min="12806" max="12806" width="17" style="242" customWidth="1"/>
    <col min="12807" max="12807" width="6.33203125" style="242" bestFit="1" customWidth="1"/>
    <col min="12808" max="12808" width="5.88671875" style="242" customWidth="1"/>
    <col min="12809" max="12810" width="6.5546875" style="242" bestFit="1" customWidth="1"/>
    <col min="12811" max="12811" width="2" style="242" customWidth="1"/>
    <col min="12812" max="12812" width="17.88671875" style="242" customWidth="1"/>
    <col min="12813" max="13059" width="8.88671875" style="242"/>
    <col min="13060" max="13061" width="6.5546875" style="242" bestFit="1" customWidth="1"/>
    <col min="13062" max="13062" width="17" style="242" customWidth="1"/>
    <col min="13063" max="13063" width="6.33203125" style="242" bestFit="1" customWidth="1"/>
    <col min="13064" max="13064" width="5.88671875" style="242" customWidth="1"/>
    <col min="13065" max="13066" width="6.5546875" style="242" bestFit="1" customWidth="1"/>
    <col min="13067" max="13067" width="2" style="242" customWidth="1"/>
    <col min="13068" max="13068" width="17.88671875" style="242" customWidth="1"/>
    <col min="13069" max="13315" width="8.88671875" style="242"/>
    <col min="13316" max="13317" width="6.5546875" style="242" bestFit="1" customWidth="1"/>
    <col min="13318" max="13318" width="17" style="242" customWidth="1"/>
    <col min="13319" max="13319" width="6.33203125" style="242" bestFit="1" customWidth="1"/>
    <col min="13320" max="13320" width="5.88671875" style="242" customWidth="1"/>
    <col min="13321" max="13322" width="6.5546875" style="242" bestFit="1" customWidth="1"/>
    <col min="13323" max="13323" width="2" style="242" customWidth="1"/>
    <col min="13324" max="13324" width="17.88671875" style="242" customWidth="1"/>
    <col min="13325" max="13571" width="8.88671875" style="242"/>
    <col min="13572" max="13573" width="6.5546875" style="242" bestFit="1" customWidth="1"/>
    <col min="13574" max="13574" width="17" style="242" customWidth="1"/>
    <col min="13575" max="13575" width="6.33203125" style="242" bestFit="1" customWidth="1"/>
    <col min="13576" max="13576" width="5.88671875" style="242" customWidth="1"/>
    <col min="13577" max="13578" width="6.5546875" style="242" bestFit="1" customWidth="1"/>
    <col min="13579" max="13579" width="2" style="242" customWidth="1"/>
    <col min="13580" max="13580" width="17.88671875" style="242" customWidth="1"/>
    <col min="13581" max="13827" width="8.88671875" style="242"/>
    <col min="13828" max="13829" width="6.5546875" style="242" bestFit="1" customWidth="1"/>
    <col min="13830" max="13830" width="17" style="242" customWidth="1"/>
    <col min="13831" max="13831" width="6.33203125" style="242" bestFit="1" customWidth="1"/>
    <col min="13832" max="13832" width="5.88671875" style="242" customWidth="1"/>
    <col min="13833" max="13834" width="6.5546875" style="242" bestFit="1" customWidth="1"/>
    <col min="13835" max="13835" width="2" style="242" customWidth="1"/>
    <col min="13836" max="13836" width="17.88671875" style="242" customWidth="1"/>
    <col min="13837" max="14083" width="8.88671875" style="242"/>
    <col min="14084" max="14085" width="6.5546875" style="242" bestFit="1" customWidth="1"/>
    <col min="14086" max="14086" width="17" style="242" customWidth="1"/>
    <col min="14087" max="14087" width="6.33203125" style="242" bestFit="1" customWidth="1"/>
    <col min="14088" max="14088" width="5.88671875" style="242" customWidth="1"/>
    <col min="14089" max="14090" width="6.5546875" style="242" bestFit="1" customWidth="1"/>
    <col min="14091" max="14091" width="2" style="242" customWidth="1"/>
    <col min="14092" max="14092" width="17.88671875" style="242" customWidth="1"/>
    <col min="14093" max="14339" width="8.88671875" style="242"/>
    <col min="14340" max="14341" width="6.5546875" style="242" bestFit="1" customWidth="1"/>
    <col min="14342" max="14342" width="17" style="242" customWidth="1"/>
    <col min="14343" max="14343" width="6.33203125" style="242" bestFit="1" customWidth="1"/>
    <col min="14344" max="14344" width="5.88671875" style="242" customWidth="1"/>
    <col min="14345" max="14346" width="6.5546875" style="242" bestFit="1" customWidth="1"/>
    <col min="14347" max="14347" width="2" style="242" customWidth="1"/>
    <col min="14348" max="14348" width="17.88671875" style="242" customWidth="1"/>
    <col min="14349" max="14595" width="8.88671875" style="242"/>
    <col min="14596" max="14597" width="6.5546875" style="242" bestFit="1" customWidth="1"/>
    <col min="14598" max="14598" width="17" style="242" customWidth="1"/>
    <col min="14599" max="14599" width="6.33203125" style="242" bestFit="1" customWidth="1"/>
    <col min="14600" max="14600" width="5.88671875" style="242" customWidth="1"/>
    <col min="14601" max="14602" width="6.5546875" style="242" bestFit="1" customWidth="1"/>
    <col min="14603" max="14603" width="2" style="242" customWidth="1"/>
    <col min="14604" max="14604" width="17.88671875" style="242" customWidth="1"/>
    <col min="14605" max="14851" width="8.88671875" style="242"/>
    <col min="14852" max="14853" width="6.5546875" style="242" bestFit="1" customWidth="1"/>
    <col min="14854" max="14854" width="17" style="242" customWidth="1"/>
    <col min="14855" max="14855" width="6.33203125" style="242" bestFit="1" customWidth="1"/>
    <col min="14856" max="14856" width="5.88671875" style="242" customWidth="1"/>
    <col min="14857" max="14858" width="6.5546875" style="242" bestFit="1" customWidth="1"/>
    <col min="14859" max="14859" width="2" style="242" customWidth="1"/>
    <col min="14860" max="14860" width="17.88671875" style="242" customWidth="1"/>
    <col min="14861" max="15107" width="8.88671875" style="242"/>
    <col min="15108" max="15109" width="6.5546875" style="242" bestFit="1" customWidth="1"/>
    <col min="15110" max="15110" width="17" style="242" customWidth="1"/>
    <col min="15111" max="15111" width="6.33203125" style="242" bestFit="1" customWidth="1"/>
    <col min="15112" max="15112" width="5.88671875" style="242" customWidth="1"/>
    <col min="15113" max="15114" width="6.5546875" style="242" bestFit="1" customWidth="1"/>
    <col min="15115" max="15115" width="2" style="242" customWidth="1"/>
    <col min="15116" max="15116" width="17.88671875" style="242" customWidth="1"/>
    <col min="15117" max="15363" width="8.88671875" style="242"/>
    <col min="15364" max="15365" width="6.5546875" style="242" bestFit="1" customWidth="1"/>
    <col min="15366" max="15366" width="17" style="242" customWidth="1"/>
    <col min="15367" max="15367" width="6.33203125" style="242" bestFit="1" customWidth="1"/>
    <col min="15368" max="15368" width="5.88671875" style="242" customWidth="1"/>
    <col min="15369" max="15370" width="6.5546875" style="242" bestFit="1" customWidth="1"/>
    <col min="15371" max="15371" width="2" style="242" customWidth="1"/>
    <col min="15372" max="15372" width="17.88671875" style="242" customWidth="1"/>
    <col min="15373" max="15619" width="8.88671875" style="242"/>
    <col min="15620" max="15621" width="6.5546875" style="242" bestFit="1" customWidth="1"/>
    <col min="15622" max="15622" width="17" style="242" customWidth="1"/>
    <col min="15623" max="15623" width="6.33203125" style="242" bestFit="1" customWidth="1"/>
    <col min="15624" max="15624" width="5.88671875" style="242" customWidth="1"/>
    <col min="15625" max="15626" width="6.5546875" style="242" bestFit="1" customWidth="1"/>
    <col min="15627" max="15627" width="2" style="242" customWidth="1"/>
    <col min="15628" max="15628" width="17.88671875" style="242" customWidth="1"/>
    <col min="15629" max="15875" width="8.88671875" style="242"/>
    <col min="15876" max="15877" width="6.5546875" style="242" bestFit="1" customWidth="1"/>
    <col min="15878" max="15878" width="17" style="242" customWidth="1"/>
    <col min="15879" max="15879" width="6.33203125" style="242" bestFit="1" customWidth="1"/>
    <col min="15880" max="15880" width="5.88671875" style="242" customWidth="1"/>
    <col min="15881" max="15882" width="6.5546875" style="242" bestFit="1" customWidth="1"/>
    <col min="15883" max="15883" width="2" style="242" customWidth="1"/>
    <col min="15884" max="15884" width="17.88671875" style="242" customWidth="1"/>
    <col min="15885" max="16131" width="8.88671875" style="242"/>
    <col min="16132" max="16133" width="6.5546875" style="242" bestFit="1" customWidth="1"/>
    <col min="16134" max="16134" width="17" style="242" customWidth="1"/>
    <col min="16135" max="16135" width="6.33203125" style="242" bestFit="1" customWidth="1"/>
    <col min="16136" max="16136" width="5.88671875" style="242" customWidth="1"/>
    <col min="16137" max="16138" width="6.5546875" style="242" bestFit="1" customWidth="1"/>
    <col min="16139" max="16139" width="2" style="242" customWidth="1"/>
    <col min="16140" max="16140" width="17.88671875" style="242" customWidth="1"/>
    <col min="16141" max="16384" width="8.88671875" style="242"/>
  </cols>
  <sheetData>
    <row r="1" spans="1:13">
      <c r="A1" s="239" t="s">
        <v>641</v>
      </c>
      <c r="B1" s="239"/>
      <c r="C1" s="239"/>
      <c r="D1" s="239"/>
      <c r="E1" s="201"/>
      <c r="F1" s="240" t="s">
        <v>642</v>
      </c>
      <c r="G1" s="239"/>
      <c r="H1" s="240"/>
      <c r="I1" s="240"/>
      <c r="J1" s="239"/>
      <c r="K1" s="239"/>
      <c r="L1" s="241"/>
      <c r="M1" s="241"/>
    </row>
    <row r="2" spans="1:13">
      <c r="A2" s="243" t="s">
        <v>643</v>
      </c>
      <c r="B2" s="243" t="s">
        <v>644</v>
      </c>
      <c r="C2" s="243" t="s">
        <v>645</v>
      </c>
      <c r="D2" s="243" t="s">
        <v>646</v>
      </c>
      <c r="E2" s="201"/>
      <c r="F2" s="244" t="s">
        <v>647</v>
      </c>
      <c r="G2" s="244" t="s">
        <v>648</v>
      </c>
      <c r="H2" s="244" t="s">
        <v>649</v>
      </c>
      <c r="I2" s="244" t="s">
        <v>650</v>
      </c>
      <c r="J2" s="244" t="s">
        <v>651</v>
      </c>
      <c r="K2" s="244" t="s">
        <v>652</v>
      </c>
    </row>
    <row r="3" spans="1:13">
      <c r="A3" s="243" t="b">
        <v>1</v>
      </c>
      <c r="B3" s="243" t="b">
        <v>1</v>
      </c>
      <c r="C3" s="243">
        <f>A3+B3</f>
        <v>2</v>
      </c>
      <c r="D3" s="243">
        <f>A3*B3</f>
        <v>1</v>
      </c>
      <c r="E3" s="201"/>
      <c r="F3" s="245" t="s">
        <v>653</v>
      </c>
      <c r="G3" s="245">
        <v>90</v>
      </c>
      <c r="H3" s="246" t="b">
        <f>LEFT(F3,1)="이"</f>
        <v>0</v>
      </c>
      <c r="I3" s="246" t="b">
        <f>G3&lt;=60</f>
        <v>0</v>
      </c>
      <c r="J3" s="246">
        <f>H3*I3</f>
        <v>0</v>
      </c>
      <c r="K3" s="246">
        <f t="shared" ref="K3:K8" si="0">G3*J3</f>
        <v>0</v>
      </c>
    </row>
    <row r="4" spans="1:13">
      <c r="A4" s="243" t="b">
        <v>1</v>
      </c>
      <c r="B4" s="243" t="b">
        <v>0</v>
      </c>
      <c r="C4" s="243">
        <f t="shared" ref="C4:C6" si="1">A4+B4</f>
        <v>1</v>
      </c>
      <c r="D4" s="243">
        <f t="shared" ref="D4:D6" si="2">A4*B4</f>
        <v>0</v>
      </c>
      <c r="E4" s="201"/>
      <c r="F4" s="247" t="s">
        <v>654</v>
      </c>
      <c r="G4" s="245">
        <v>80</v>
      </c>
      <c r="H4" s="246" t="b">
        <f t="shared" ref="H4:H8" si="3">LEFT(F4,1)="이"</f>
        <v>1</v>
      </c>
      <c r="I4" s="246" t="b">
        <f t="shared" ref="I4:I8" si="4">G4&lt;=60</f>
        <v>0</v>
      </c>
      <c r="J4" s="246">
        <f t="shared" ref="J4:J8" si="5">H4*I4</f>
        <v>0</v>
      </c>
      <c r="K4" s="246">
        <f t="shared" si="0"/>
        <v>0</v>
      </c>
    </row>
    <row r="5" spans="1:13">
      <c r="A5" s="243" t="b">
        <v>0</v>
      </c>
      <c r="B5" s="243" t="b">
        <v>1</v>
      </c>
      <c r="C5" s="243">
        <f t="shared" si="1"/>
        <v>1</v>
      </c>
      <c r="D5" s="243">
        <f t="shared" si="2"/>
        <v>0</v>
      </c>
      <c r="E5" s="201"/>
      <c r="F5" s="245" t="s">
        <v>655</v>
      </c>
      <c r="G5" s="245">
        <v>70</v>
      </c>
      <c r="H5" s="246" t="b">
        <f t="shared" si="3"/>
        <v>0</v>
      </c>
      <c r="I5" s="246" t="b">
        <f t="shared" si="4"/>
        <v>0</v>
      </c>
      <c r="J5" s="246">
        <f t="shared" si="5"/>
        <v>0</v>
      </c>
      <c r="K5" s="246">
        <f t="shared" si="0"/>
        <v>0</v>
      </c>
    </row>
    <row r="6" spans="1:13">
      <c r="A6" s="243" t="b">
        <v>0</v>
      </c>
      <c r="B6" s="243" t="b">
        <v>0</v>
      </c>
      <c r="C6" s="243">
        <f t="shared" si="1"/>
        <v>0</v>
      </c>
      <c r="D6" s="243">
        <f t="shared" si="2"/>
        <v>0</v>
      </c>
      <c r="E6" s="201"/>
      <c r="F6" s="247" t="s">
        <v>654</v>
      </c>
      <c r="G6" s="247">
        <v>60</v>
      </c>
      <c r="H6" s="246" t="b">
        <f t="shared" si="3"/>
        <v>1</v>
      </c>
      <c r="I6" s="246" t="b">
        <f t="shared" si="4"/>
        <v>1</v>
      </c>
      <c r="J6" s="246">
        <f t="shared" si="5"/>
        <v>1</v>
      </c>
      <c r="K6" s="246">
        <f t="shared" si="0"/>
        <v>60</v>
      </c>
    </row>
    <row r="7" spans="1:13">
      <c r="F7" s="245" t="s">
        <v>656</v>
      </c>
      <c r="G7" s="245">
        <v>50</v>
      </c>
      <c r="H7" s="246" t="b">
        <f t="shared" si="3"/>
        <v>0</v>
      </c>
      <c r="I7" s="246" t="b">
        <f t="shared" si="4"/>
        <v>1</v>
      </c>
      <c r="J7" s="246">
        <f t="shared" si="5"/>
        <v>0</v>
      </c>
      <c r="K7" s="246">
        <f t="shared" si="0"/>
        <v>0</v>
      </c>
    </row>
    <row r="8" spans="1:13">
      <c r="F8" s="245" t="s">
        <v>657</v>
      </c>
      <c r="G8" s="245">
        <v>40</v>
      </c>
      <c r="H8" s="246" t="b">
        <f t="shared" si="3"/>
        <v>0</v>
      </c>
      <c r="I8" s="246" t="b">
        <f t="shared" si="4"/>
        <v>1</v>
      </c>
      <c r="J8" s="246">
        <f t="shared" si="5"/>
        <v>0</v>
      </c>
      <c r="K8" s="246">
        <f t="shared" si="0"/>
        <v>0</v>
      </c>
    </row>
    <row r="9" spans="1:13">
      <c r="I9" s="393" t="s">
        <v>658</v>
      </c>
      <c r="J9" s="394"/>
      <c r="K9" s="248">
        <f>SUM(K3:K8)</f>
        <v>60</v>
      </c>
    </row>
    <row r="10" spans="1:13">
      <c r="I10" s="393" t="s">
        <v>659</v>
      </c>
      <c r="J10" s="394"/>
      <c r="K10" s="248">
        <f t="array" ref="K10">SUM(((LEFT(F3:F8,1)="이")*(G3:G8&lt;=60))*G3:G8)</f>
        <v>60</v>
      </c>
    </row>
    <row r="12" spans="1:13">
      <c r="F12" s="240" t="s">
        <v>660</v>
      </c>
      <c r="G12" s="239"/>
      <c r="H12" s="240"/>
      <c r="I12" s="240"/>
      <c r="J12" s="239"/>
      <c r="K12" s="239"/>
      <c r="L12" s="241"/>
      <c r="M12" s="241"/>
    </row>
    <row r="13" spans="1:13">
      <c r="F13" s="244" t="s">
        <v>647</v>
      </c>
      <c r="G13" s="244" t="s">
        <v>648</v>
      </c>
      <c r="H13" s="244" t="s">
        <v>649</v>
      </c>
      <c r="I13" s="244" t="s">
        <v>650</v>
      </c>
      <c r="J13" s="244" t="s">
        <v>651</v>
      </c>
      <c r="K13" s="244" t="s">
        <v>652</v>
      </c>
    </row>
    <row r="14" spans="1:13">
      <c r="F14" s="245" t="s">
        <v>653</v>
      </c>
      <c r="G14" s="245">
        <v>90</v>
      </c>
      <c r="H14" s="246" t="b">
        <f t="shared" ref="H14:H19" si="6">LEFT(F14,1)="이"</f>
        <v>0</v>
      </c>
      <c r="I14" s="246" t="b">
        <f>G14&lt;=60</f>
        <v>0</v>
      </c>
      <c r="J14" s="246">
        <f>H14+I14</f>
        <v>0</v>
      </c>
      <c r="K14" s="246">
        <f t="shared" ref="K14:K19" si="7">G14*J14</f>
        <v>0</v>
      </c>
    </row>
    <row r="15" spans="1:13">
      <c r="F15" s="247" t="s">
        <v>654</v>
      </c>
      <c r="G15" s="245">
        <v>80</v>
      </c>
      <c r="H15" s="246" t="b">
        <f t="shared" si="6"/>
        <v>1</v>
      </c>
      <c r="I15" s="246" t="b">
        <f t="shared" ref="I15:I19" si="8">G15&lt;=60</f>
        <v>0</v>
      </c>
      <c r="J15" s="246">
        <f t="shared" ref="J15:J19" si="9">H15+I15</f>
        <v>1</v>
      </c>
      <c r="K15" s="246">
        <f t="shared" si="7"/>
        <v>80</v>
      </c>
    </row>
    <row r="16" spans="1:13">
      <c r="F16" s="245" t="s">
        <v>655</v>
      </c>
      <c r="G16" s="245">
        <v>70</v>
      </c>
      <c r="H16" s="246" t="b">
        <f t="shared" si="6"/>
        <v>0</v>
      </c>
      <c r="I16" s="246" t="b">
        <f t="shared" si="8"/>
        <v>0</v>
      </c>
      <c r="J16" s="246">
        <f t="shared" si="9"/>
        <v>0</v>
      </c>
      <c r="K16" s="246">
        <f t="shared" si="7"/>
        <v>0</v>
      </c>
    </row>
    <row r="17" spans="6:11">
      <c r="F17" s="247" t="s">
        <v>654</v>
      </c>
      <c r="G17" s="245">
        <v>70</v>
      </c>
      <c r="H17" s="246" t="b">
        <f t="shared" si="6"/>
        <v>1</v>
      </c>
      <c r="I17" s="246" t="b">
        <f t="shared" si="8"/>
        <v>0</v>
      </c>
      <c r="J17" s="246">
        <f t="shared" si="9"/>
        <v>1</v>
      </c>
      <c r="K17" s="246">
        <f t="shared" si="7"/>
        <v>70</v>
      </c>
    </row>
    <row r="18" spans="6:11">
      <c r="F18" s="245" t="s">
        <v>656</v>
      </c>
      <c r="G18" s="247">
        <v>50</v>
      </c>
      <c r="H18" s="246" t="b">
        <f t="shared" si="6"/>
        <v>0</v>
      </c>
      <c r="I18" s="246" t="b">
        <f t="shared" si="8"/>
        <v>1</v>
      </c>
      <c r="J18" s="246">
        <f t="shared" si="9"/>
        <v>1</v>
      </c>
      <c r="K18" s="246">
        <f t="shared" si="7"/>
        <v>50</v>
      </c>
    </row>
    <row r="19" spans="6:11">
      <c r="F19" s="245" t="s">
        <v>657</v>
      </c>
      <c r="G19" s="247">
        <v>40</v>
      </c>
      <c r="H19" s="246" t="b">
        <f t="shared" si="6"/>
        <v>0</v>
      </c>
      <c r="I19" s="246" t="b">
        <f t="shared" si="8"/>
        <v>1</v>
      </c>
      <c r="J19" s="246">
        <f t="shared" si="9"/>
        <v>1</v>
      </c>
      <c r="K19" s="246">
        <f t="shared" si="7"/>
        <v>40</v>
      </c>
    </row>
    <row r="20" spans="6:11">
      <c r="I20" s="393" t="s">
        <v>658</v>
      </c>
      <c r="J20" s="394"/>
      <c r="K20" s="248">
        <f>SUM(K14:K19)</f>
        <v>240</v>
      </c>
    </row>
    <row r="21" spans="6:11">
      <c r="I21" s="393" t="s">
        <v>659</v>
      </c>
      <c r="J21" s="394"/>
      <c r="K21" s="248">
        <f t="array" ref="K21">SUM(((LEFT(F14:F19,1)="이")+(G14:G19&lt;=60))*G14:G19)</f>
        <v>240</v>
      </c>
    </row>
  </sheetData>
  <mergeCells count="4">
    <mergeCell ref="I9:J9"/>
    <mergeCell ref="I10:J10"/>
    <mergeCell ref="I20:J20"/>
    <mergeCell ref="I21:J21"/>
  </mergeCells>
  <phoneticPr fontId="5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0"/>
  <sheetViews>
    <sheetView workbookViewId="0">
      <selection activeCell="F16" sqref="F16"/>
    </sheetView>
  </sheetViews>
  <sheetFormatPr defaultRowHeight="16.5"/>
  <cols>
    <col min="1" max="1" width="3" style="250" customWidth="1"/>
    <col min="2" max="2" width="7.44140625" style="250" customWidth="1"/>
    <col min="3" max="3" width="6.77734375" style="250" customWidth="1"/>
    <col min="4" max="4" width="7.77734375" style="250" customWidth="1"/>
    <col min="5" max="5" width="7.33203125" style="250" customWidth="1"/>
    <col min="6" max="6" width="8.88671875" style="250"/>
    <col min="7" max="8" width="4" style="250" customWidth="1"/>
    <col min="9" max="10" width="8.88671875" style="250"/>
    <col min="11" max="12" width="8.77734375" style="250" bestFit="1" customWidth="1"/>
    <col min="13" max="16384" width="8.88671875" style="250"/>
  </cols>
  <sheetData>
    <row r="2" spans="2:14">
      <c r="B2" s="249" t="s">
        <v>661</v>
      </c>
      <c r="C2" s="249" t="s">
        <v>662</v>
      </c>
      <c r="D2" s="249" t="s">
        <v>592</v>
      </c>
      <c r="E2" s="249" t="s">
        <v>663</v>
      </c>
      <c r="F2" s="249" t="s">
        <v>648</v>
      </c>
      <c r="I2" s="249" t="s">
        <v>664</v>
      </c>
      <c r="J2" s="249" t="s">
        <v>665</v>
      </c>
      <c r="K2" s="249" t="s">
        <v>666</v>
      </c>
      <c r="L2" s="251" t="s">
        <v>667</v>
      </c>
    </row>
    <row r="3" spans="2:14">
      <c r="B3" s="252" t="s">
        <v>668</v>
      </c>
      <c r="C3" s="253">
        <v>1</v>
      </c>
      <c r="D3" s="252" t="s">
        <v>669</v>
      </c>
      <c r="E3" s="252" t="s">
        <v>670</v>
      </c>
      <c r="F3" s="254">
        <v>80</v>
      </c>
      <c r="I3" s="255" t="s">
        <v>671</v>
      </c>
      <c r="J3" s="256">
        <v>10</v>
      </c>
      <c r="K3" s="257">
        <v>1000</v>
      </c>
      <c r="L3" s="257">
        <f>J3*K3</f>
        <v>10000</v>
      </c>
    </row>
    <row r="4" spans="2:14">
      <c r="B4" s="252" t="s">
        <v>672</v>
      </c>
      <c r="C4" s="253">
        <v>2</v>
      </c>
      <c r="D4" s="252" t="s">
        <v>673</v>
      </c>
      <c r="E4" s="252" t="s">
        <v>674</v>
      </c>
      <c r="F4" s="254">
        <v>90</v>
      </c>
      <c r="I4" s="255" t="s">
        <v>675</v>
      </c>
      <c r="J4" s="256">
        <v>20</v>
      </c>
      <c r="K4" s="257">
        <v>2000</v>
      </c>
      <c r="L4" s="257">
        <f t="shared" ref="L4:L9" si="0">J4*K4</f>
        <v>40000</v>
      </c>
    </row>
    <row r="5" spans="2:14">
      <c r="B5" s="252" t="s">
        <v>676</v>
      </c>
      <c r="C5" s="253">
        <v>3</v>
      </c>
      <c r="D5" s="252" t="s">
        <v>669</v>
      </c>
      <c r="E5" s="252" t="s">
        <v>677</v>
      </c>
      <c r="F5" s="254">
        <v>95</v>
      </c>
      <c r="I5" s="255" t="s">
        <v>671</v>
      </c>
      <c r="J5" s="256">
        <v>30</v>
      </c>
      <c r="K5" s="257">
        <v>3000</v>
      </c>
      <c r="L5" s="257">
        <f t="shared" si="0"/>
        <v>90000</v>
      </c>
    </row>
    <row r="6" spans="2:14">
      <c r="B6" s="252" t="s">
        <v>678</v>
      </c>
      <c r="C6" s="253">
        <v>1</v>
      </c>
      <c r="D6" s="252" t="s">
        <v>673</v>
      </c>
      <c r="E6" s="252" t="s">
        <v>670</v>
      </c>
      <c r="F6" s="254">
        <v>65</v>
      </c>
      <c r="I6" s="255" t="s">
        <v>675</v>
      </c>
      <c r="J6" s="256">
        <v>30</v>
      </c>
      <c r="K6" s="257">
        <v>1000</v>
      </c>
      <c r="L6" s="257">
        <f t="shared" si="0"/>
        <v>30000</v>
      </c>
    </row>
    <row r="7" spans="2:14">
      <c r="B7" s="252" t="s">
        <v>679</v>
      </c>
      <c r="C7" s="253">
        <v>2</v>
      </c>
      <c r="D7" s="252" t="s">
        <v>680</v>
      </c>
      <c r="E7" s="252" t="s">
        <v>681</v>
      </c>
      <c r="F7" s="254">
        <v>89</v>
      </c>
      <c r="I7" s="255" t="s">
        <v>682</v>
      </c>
      <c r="J7" s="256">
        <v>20</v>
      </c>
      <c r="K7" s="257">
        <v>2000</v>
      </c>
      <c r="L7" s="257">
        <f t="shared" si="0"/>
        <v>40000</v>
      </c>
    </row>
    <row r="8" spans="2:14">
      <c r="B8" s="252" t="s">
        <v>683</v>
      </c>
      <c r="C8" s="253">
        <v>3</v>
      </c>
      <c r="D8" s="252" t="s">
        <v>680</v>
      </c>
      <c r="E8" s="252" t="s">
        <v>677</v>
      </c>
      <c r="F8" s="254">
        <v>87</v>
      </c>
      <c r="I8" s="255" t="s">
        <v>684</v>
      </c>
      <c r="J8" s="256">
        <v>30</v>
      </c>
      <c r="K8" s="257">
        <v>3000</v>
      </c>
      <c r="L8" s="257">
        <f t="shared" si="0"/>
        <v>90000</v>
      </c>
    </row>
    <row r="9" spans="2:14">
      <c r="B9" s="252" t="s">
        <v>685</v>
      </c>
      <c r="C9" s="253">
        <v>1</v>
      </c>
      <c r="D9" s="252" t="s">
        <v>669</v>
      </c>
      <c r="E9" s="252" t="s">
        <v>686</v>
      </c>
      <c r="F9" s="254">
        <v>69</v>
      </c>
      <c r="I9" s="255" t="s">
        <v>687</v>
      </c>
      <c r="J9" s="256">
        <v>40</v>
      </c>
      <c r="K9" s="257">
        <v>1000</v>
      </c>
      <c r="L9" s="257">
        <f t="shared" si="0"/>
        <v>40000</v>
      </c>
    </row>
    <row r="10" spans="2:14">
      <c r="B10" s="201"/>
      <c r="C10" s="201"/>
      <c r="D10" s="201"/>
      <c r="E10" s="201"/>
      <c r="F10" s="201"/>
      <c r="I10" s="201"/>
      <c r="J10" s="201"/>
      <c r="K10" s="206" t="s">
        <v>688</v>
      </c>
      <c r="L10" s="257">
        <f>SUM(L3:L9)</f>
        <v>340000</v>
      </c>
    </row>
    <row r="11" spans="2:14">
      <c r="B11" s="258" t="s">
        <v>689</v>
      </c>
      <c r="C11" s="259"/>
      <c r="D11" s="260"/>
      <c r="E11" s="260"/>
      <c r="F11" s="261"/>
    </row>
    <row r="12" spans="2:14">
      <c r="B12" s="258" t="s">
        <v>690</v>
      </c>
      <c r="C12" s="259"/>
      <c r="D12" s="260"/>
      <c r="E12" s="260"/>
      <c r="F12" s="261"/>
      <c r="I12" s="262" t="s">
        <v>691</v>
      </c>
      <c r="J12" s="211"/>
      <c r="K12" s="211"/>
      <c r="L12" s="211"/>
      <c r="M12" s="211"/>
      <c r="N12" s="211"/>
    </row>
    <row r="13" spans="2:14">
      <c r="B13" s="201"/>
      <c r="C13" s="201"/>
      <c r="D13" s="201"/>
      <c r="E13" s="201"/>
      <c r="F13" s="201"/>
      <c r="L13" s="201"/>
      <c r="M13" s="201"/>
      <c r="N13" s="201"/>
    </row>
    <row r="14" spans="2:14">
      <c r="B14" s="395" t="s">
        <v>692</v>
      </c>
      <c r="C14" s="395"/>
      <c r="D14" s="263"/>
      <c r="E14" s="395" t="s">
        <v>693</v>
      </c>
      <c r="F14" s="395"/>
      <c r="G14" s="263"/>
      <c r="H14" s="263"/>
      <c r="I14" s="395" t="s">
        <v>694</v>
      </c>
      <c r="J14" s="395"/>
      <c r="K14" s="264">
        <f t="array" ref="K14">SUMPRODUCT(J3:J9,K3:K9)</f>
        <v>340000</v>
      </c>
    </row>
    <row r="15" spans="2:14">
      <c r="B15" s="265" t="s">
        <v>592</v>
      </c>
      <c r="C15" s="265" t="s">
        <v>695</v>
      </c>
      <c r="E15" s="265" t="s">
        <v>662</v>
      </c>
      <c r="F15" s="265" t="s">
        <v>696</v>
      </c>
    </row>
    <row r="16" spans="2:14">
      <c r="B16" s="252" t="s">
        <v>669</v>
      </c>
      <c r="C16" s="252">
        <f t="array" ref="C16">SUM(($D$3:$D$9=B16)*1)</f>
        <v>3</v>
      </c>
      <c r="E16" s="252">
        <v>1</v>
      </c>
      <c r="F16" s="252">
        <f t="array" ref="F16">SUM((E16=$C$3:$C$9)*$F$3:$F$9)</f>
        <v>214</v>
      </c>
    </row>
    <row r="17" spans="2:6">
      <c r="B17" s="252" t="s">
        <v>673</v>
      </c>
      <c r="C17" s="252">
        <f t="array" ref="C17">SUM(($D$3:$D$9=B17)*1)</f>
        <v>2</v>
      </c>
      <c r="E17" s="252">
        <v>2</v>
      </c>
      <c r="F17" s="252">
        <f t="array" ref="F17">SUM((E17=$C$3:$C$9)*$F$3:$F$9)</f>
        <v>179</v>
      </c>
    </row>
    <row r="18" spans="2:6">
      <c r="B18" s="252" t="s">
        <v>680</v>
      </c>
      <c r="C18" s="252">
        <f t="array" ref="C18">SUM(($D$3:$D$9=B18)*1)</f>
        <v>2</v>
      </c>
      <c r="E18" s="252">
        <v>3</v>
      </c>
      <c r="F18" s="252">
        <f t="array" ref="F18">SUM((E18=$C$3:$C$9)*$F$3:$F$9)</f>
        <v>182</v>
      </c>
    </row>
    <row r="19" spans="2:6">
      <c r="B19" s="266"/>
      <c r="C19" s="266"/>
      <c r="E19" s="266"/>
      <c r="F19" s="266"/>
    </row>
    <row r="20" spans="2:6">
      <c r="B20" s="266"/>
      <c r="C20" s="266"/>
      <c r="E20" s="266"/>
      <c r="F20" s="266"/>
    </row>
  </sheetData>
  <mergeCells count="3">
    <mergeCell ref="B14:C14"/>
    <mergeCell ref="E14:F14"/>
    <mergeCell ref="I14:J14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workbookViewId="0">
      <selection activeCell="E15" sqref="E15"/>
    </sheetView>
  </sheetViews>
  <sheetFormatPr defaultRowHeight="16.5"/>
  <cols>
    <col min="1" max="1" width="3.21875" style="250" customWidth="1"/>
    <col min="2" max="2" width="14.6640625" style="250" customWidth="1"/>
    <col min="3" max="3" width="15" style="250" customWidth="1"/>
    <col min="4" max="4" width="15.88671875" style="250" customWidth="1"/>
    <col min="5" max="5" width="12.5546875" style="250" customWidth="1"/>
    <col min="6" max="6" width="9.21875" style="250" customWidth="1"/>
    <col min="7" max="7" width="8.88671875" style="250"/>
    <col min="8" max="9" width="9" style="250" customWidth="1"/>
    <col min="10" max="10" width="9.6640625" style="250" bestFit="1" customWidth="1"/>
    <col min="11" max="11" width="8.33203125" style="250" bestFit="1" customWidth="1"/>
    <col min="12" max="16384" width="8.88671875" style="250"/>
  </cols>
  <sheetData>
    <row r="2" spans="2:11">
      <c r="B2" s="249" t="s">
        <v>697</v>
      </c>
      <c r="C2" s="249" t="s">
        <v>698</v>
      </c>
      <c r="D2" s="249" t="s">
        <v>699</v>
      </c>
      <c r="E2" s="249" t="s">
        <v>700</v>
      </c>
      <c r="F2" s="267"/>
      <c r="H2" s="254" t="s">
        <v>698</v>
      </c>
      <c r="I2" s="254" t="s">
        <v>699</v>
      </c>
      <c r="K2" s="268"/>
    </row>
    <row r="3" spans="2:11">
      <c r="B3" s="255" t="s">
        <v>701</v>
      </c>
      <c r="C3" s="255" t="s">
        <v>702</v>
      </c>
      <c r="D3" s="255" t="s">
        <v>703</v>
      </c>
      <c r="E3" s="269">
        <v>245000</v>
      </c>
      <c r="H3" s="254" t="s">
        <v>702</v>
      </c>
      <c r="I3" s="254" t="s">
        <v>703</v>
      </c>
      <c r="K3" s="270"/>
    </row>
    <row r="4" spans="2:11">
      <c r="B4" s="255" t="s">
        <v>704</v>
      </c>
      <c r="C4" s="255" t="s">
        <v>702</v>
      </c>
      <c r="D4" s="255" t="s">
        <v>703</v>
      </c>
      <c r="E4" s="269">
        <v>125000</v>
      </c>
      <c r="H4" s="254" t="s">
        <v>705</v>
      </c>
      <c r="I4" s="254" t="s">
        <v>703</v>
      </c>
      <c r="K4" s="268"/>
    </row>
    <row r="5" spans="2:11">
      <c r="B5" s="255" t="s">
        <v>706</v>
      </c>
      <c r="C5" s="255" t="s">
        <v>707</v>
      </c>
      <c r="D5" s="255" t="s">
        <v>708</v>
      </c>
      <c r="E5" s="269">
        <v>109000</v>
      </c>
      <c r="K5" s="268"/>
    </row>
    <row r="6" spans="2:11">
      <c r="B6" s="255" t="s">
        <v>709</v>
      </c>
      <c r="C6" s="255" t="s">
        <v>710</v>
      </c>
      <c r="D6" s="255" t="s">
        <v>711</v>
      </c>
      <c r="E6" s="269">
        <v>354000</v>
      </c>
      <c r="H6" s="271" t="s">
        <v>697</v>
      </c>
      <c r="I6" s="271" t="s">
        <v>698</v>
      </c>
      <c r="K6" s="268"/>
    </row>
    <row r="7" spans="2:11">
      <c r="B7" s="255" t="s">
        <v>712</v>
      </c>
      <c r="C7" s="255" t="s">
        <v>705</v>
      </c>
      <c r="D7" s="255" t="s">
        <v>708</v>
      </c>
      <c r="E7" s="269">
        <v>290000</v>
      </c>
      <c r="F7" s="268"/>
      <c r="H7" s="271" t="s">
        <v>713</v>
      </c>
      <c r="I7" s="271" t="s">
        <v>710</v>
      </c>
      <c r="K7" s="268"/>
    </row>
    <row r="8" spans="2:11">
      <c r="B8" s="255" t="s">
        <v>714</v>
      </c>
      <c r="C8" s="255" t="s">
        <v>707</v>
      </c>
      <c r="D8" s="255" t="s">
        <v>711</v>
      </c>
      <c r="E8" s="269">
        <v>150000</v>
      </c>
      <c r="H8" s="271" t="s">
        <v>715</v>
      </c>
      <c r="I8" s="271" t="s">
        <v>710</v>
      </c>
      <c r="K8" s="268"/>
    </row>
    <row r="9" spans="2:11">
      <c r="B9" s="255" t="s">
        <v>716</v>
      </c>
      <c r="C9" s="255" t="s">
        <v>705</v>
      </c>
      <c r="D9" s="255" t="s">
        <v>703</v>
      </c>
      <c r="E9" s="269">
        <v>331000</v>
      </c>
      <c r="K9" s="268"/>
    </row>
    <row r="10" spans="2:11">
      <c r="B10" s="255" t="s">
        <v>717</v>
      </c>
      <c r="C10" s="255" t="s">
        <v>710</v>
      </c>
      <c r="D10" s="255" t="s">
        <v>711</v>
      </c>
      <c r="E10" s="269">
        <v>420000</v>
      </c>
      <c r="H10" s="271" t="s">
        <v>699</v>
      </c>
      <c r="I10" s="271" t="s">
        <v>700</v>
      </c>
      <c r="K10" s="268"/>
    </row>
    <row r="11" spans="2:11">
      <c r="B11" s="255" t="s">
        <v>718</v>
      </c>
      <c r="C11" s="255" t="s">
        <v>702</v>
      </c>
      <c r="D11" s="255" t="s">
        <v>708</v>
      </c>
      <c r="E11" s="269">
        <v>235000</v>
      </c>
      <c r="H11" s="271" t="s">
        <v>703</v>
      </c>
      <c r="I11" s="271" t="s">
        <v>719</v>
      </c>
      <c r="K11" s="268"/>
    </row>
    <row r="12" spans="2:11">
      <c r="B12" s="396" t="s">
        <v>720</v>
      </c>
      <c r="C12" s="396"/>
      <c r="D12" s="396"/>
      <c r="E12" s="272">
        <f t="array" ref="E12">SUMPRODUCT(((C3:C11="경기")+(C3:C11="산악"))*(D3:D11="삼천리"),E3:E11)</f>
        <v>701000</v>
      </c>
      <c r="H12" s="271" t="s">
        <v>721</v>
      </c>
      <c r="I12" s="271" t="s">
        <v>719</v>
      </c>
    </row>
    <row r="13" spans="2:11">
      <c r="B13" s="396" t="s">
        <v>722</v>
      </c>
      <c r="C13" s="396"/>
      <c r="D13" s="396"/>
      <c r="E13" s="272">
        <f t="array" ref="E13">SUMPRODUCT(((LEFT(B3:B11,1)="K")+(LEFT(B3:B11,1)="C"))*(C3:C11="아동"),E3:E11)</f>
        <v>774000</v>
      </c>
    </row>
    <row r="14" spans="2:11">
      <c r="B14" s="396" t="s">
        <v>723</v>
      </c>
      <c r="C14" s="396"/>
      <c r="D14" s="396"/>
      <c r="E14" s="272">
        <f t="array" ref="E14">SUMPRODUCT(((D3:D11="삼천리")+(D3:D11="알톤"))*(E3:E11&gt;=300000),E3:E11)</f>
        <v>1105000</v>
      </c>
      <c r="F14" s="273"/>
      <c r="H14" s="271" t="s">
        <v>698</v>
      </c>
      <c r="I14" s="271" t="s">
        <v>699</v>
      </c>
    </row>
    <row r="15" spans="2:11">
      <c r="B15" s="207" t="s">
        <v>724</v>
      </c>
      <c r="C15" s="207"/>
      <c r="D15" s="207"/>
      <c r="E15" s="272">
        <f t="array" ref="E15">SUMPRODUCT((C3:C11="경기")+((D3:D11="삼천리")+(D3:D11="알톤")),E3:E11)-SUMPRODUCT((C3:C11="경기")*(D3:D11="삼천리"),E3:E11)</f>
        <v>1860000</v>
      </c>
      <c r="F15" s="273"/>
      <c r="H15" s="271" t="s">
        <v>702</v>
      </c>
      <c r="I15" s="254"/>
    </row>
    <row r="16" spans="2:11">
      <c r="H16" s="254"/>
      <c r="I16" s="271" t="s">
        <v>703</v>
      </c>
    </row>
    <row r="17" spans="8:9">
      <c r="H17" s="254"/>
      <c r="I17" s="271" t="s">
        <v>721</v>
      </c>
    </row>
  </sheetData>
  <mergeCells count="3">
    <mergeCell ref="B12:D12"/>
    <mergeCell ref="B13:D13"/>
    <mergeCell ref="B14:D14"/>
  </mergeCells>
  <phoneticPr fontId="5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abSelected="1" workbookViewId="0">
      <selection activeCell="J20" sqref="J20"/>
    </sheetView>
  </sheetViews>
  <sheetFormatPr defaultRowHeight="16.5"/>
  <cols>
    <col min="1" max="1" width="3.6640625" style="242" customWidth="1"/>
    <col min="2" max="2" width="10.21875" style="242" customWidth="1"/>
    <col min="3" max="3" width="10.6640625" style="242" customWidth="1"/>
    <col min="4" max="4" width="8.21875" style="242" customWidth="1"/>
    <col min="5" max="5" width="8.44140625" style="242" customWidth="1"/>
    <col min="6" max="6" width="9" style="242" customWidth="1"/>
    <col min="7" max="7" width="5.6640625" style="242" customWidth="1"/>
    <col min="8" max="8" width="9.21875" style="242" bestFit="1" customWidth="1"/>
    <col min="9" max="9" width="10.21875" style="242" customWidth="1"/>
    <col min="10" max="10" width="10.77734375" style="242" customWidth="1"/>
    <col min="11" max="11" width="11.44140625" style="242" bestFit="1" customWidth="1"/>
    <col min="12" max="12" width="7.77734375" style="242" customWidth="1"/>
    <col min="13" max="16384" width="8.88671875" style="242"/>
  </cols>
  <sheetData>
    <row r="2" spans="2:12">
      <c r="B2" s="274" t="s">
        <v>725</v>
      </c>
      <c r="C2" s="274"/>
      <c r="D2" s="275"/>
      <c r="E2" s="274" t="s">
        <v>726</v>
      </c>
      <c r="F2" s="274"/>
      <c r="H2" s="274" t="s">
        <v>727</v>
      </c>
      <c r="I2" s="274"/>
      <c r="J2" s="276"/>
      <c r="K2" s="276"/>
      <c r="L2" s="241"/>
    </row>
    <row r="3" spans="2:12">
      <c r="B3" s="244" t="s">
        <v>549</v>
      </c>
      <c r="C3" s="244" t="s">
        <v>4</v>
      </c>
      <c r="E3" s="244" t="s">
        <v>223</v>
      </c>
      <c r="F3" s="244" t="s">
        <v>728</v>
      </c>
      <c r="H3" s="244" t="s">
        <v>17</v>
      </c>
      <c r="I3" s="244" t="s">
        <v>729</v>
      </c>
      <c r="J3" s="244" t="s">
        <v>730</v>
      </c>
      <c r="K3" s="244" t="s">
        <v>18</v>
      </c>
    </row>
    <row r="4" spans="2:12">
      <c r="B4" s="277">
        <v>20000</v>
      </c>
      <c r="C4" s="278">
        <v>2</v>
      </c>
      <c r="E4" s="278">
        <v>10</v>
      </c>
      <c r="F4" s="246" t="b">
        <f>ISNUMBER(E4)</f>
        <v>1</v>
      </c>
      <c r="H4" s="243" t="s">
        <v>550</v>
      </c>
      <c r="I4" s="246">
        <f>FIND("H",H4)</f>
        <v>3</v>
      </c>
      <c r="J4" s="246" t="b">
        <f>ISNUMBER(I4)</f>
        <v>1</v>
      </c>
      <c r="K4" s="278">
        <v>50</v>
      </c>
    </row>
    <row r="5" spans="2:12">
      <c r="B5" s="277">
        <v>30000</v>
      </c>
      <c r="C5" s="278">
        <v>0</v>
      </c>
      <c r="E5" s="278">
        <v>20</v>
      </c>
      <c r="F5" s="246" t="b">
        <f t="shared" ref="F5:F8" si="0">ISNUMBER(E5)</f>
        <v>1</v>
      </c>
      <c r="H5" s="243" t="s">
        <v>551</v>
      </c>
      <c r="I5" s="246" t="e">
        <f t="shared" ref="I5:I8" si="1">FIND("H",H5)</f>
        <v>#VALUE!</v>
      </c>
      <c r="J5" s="246" t="b">
        <f t="shared" ref="J5:J8" si="2">ISNUMBER(I5)</f>
        <v>0</v>
      </c>
      <c r="K5" s="278">
        <v>60</v>
      </c>
    </row>
    <row r="6" spans="2:12">
      <c r="B6" s="277">
        <v>40000</v>
      </c>
      <c r="C6" s="278">
        <v>0</v>
      </c>
      <c r="E6" s="278" t="s">
        <v>621</v>
      </c>
      <c r="F6" s="246" t="b">
        <f t="shared" si="0"/>
        <v>0</v>
      </c>
      <c r="H6" s="243" t="s">
        <v>731</v>
      </c>
      <c r="I6" s="246" t="e">
        <f t="shared" si="1"/>
        <v>#VALUE!</v>
      </c>
      <c r="J6" s="246" t="b">
        <f t="shared" si="2"/>
        <v>0</v>
      </c>
      <c r="K6" s="278">
        <v>61</v>
      </c>
    </row>
    <row r="7" spans="2:12">
      <c r="B7" s="277">
        <v>50000</v>
      </c>
      <c r="C7" s="278">
        <v>10</v>
      </c>
      <c r="E7" s="278" t="s">
        <v>224</v>
      </c>
      <c r="F7" s="246" t="b">
        <f t="shared" si="0"/>
        <v>0</v>
      </c>
      <c r="H7" s="243" t="s">
        <v>552</v>
      </c>
      <c r="I7" s="246">
        <f t="shared" si="1"/>
        <v>3</v>
      </c>
      <c r="J7" s="246" t="b">
        <f t="shared" si="2"/>
        <v>1</v>
      </c>
      <c r="K7" s="278">
        <v>80</v>
      </c>
    </row>
    <row r="8" spans="2:12">
      <c r="B8" s="277">
        <v>60000</v>
      </c>
      <c r="C8" s="278">
        <v>2</v>
      </c>
      <c r="E8" s="278" t="b">
        <v>1</v>
      </c>
      <c r="F8" s="246" t="b">
        <f t="shared" si="0"/>
        <v>0</v>
      </c>
      <c r="H8" s="279" t="s">
        <v>553</v>
      </c>
      <c r="I8" s="246" t="e">
        <f t="shared" si="1"/>
        <v>#VALUE!</v>
      </c>
      <c r="J8" s="246" t="b">
        <f t="shared" si="2"/>
        <v>0</v>
      </c>
      <c r="K8" s="280">
        <v>90</v>
      </c>
    </row>
    <row r="9" spans="2:12">
      <c r="B9" s="281" t="s">
        <v>732</v>
      </c>
      <c r="C9" s="282">
        <f>SUMPRODUCT(B4:B8,C4:C8)</f>
        <v>660000</v>
      </c>
      <c r="H9" s="283" t="s">
        <v>733</v>
      </c>
      <c r="I9" s="284"/>
      <c r="J9" s="284"/>
      <c r="K9" s="285">
        <f t="array" ref="K9">SUMPRODUCT(ISNUMBER(FIND("H",H4:H8))*1,K4:K8)</f>
        <v>130</v>
      </c>
    </row>
    <row r="10" spans="2:12">
      <c r="D10" s="275"/>
      <c r="E10" s="275"/>
      <c r="F10" s="275"/>
      <c r="I10" s="201"/>
      <c r="J10" s="201"/>
      <c r="K10" s="201"/>
      <c r="L10" s="201"/>
    </row>
    <row r="12" spans="2:12">
      <c r="B12" s="284" t="s">
        <v>734</v>
      </c>
      <c r="C12" s="284"/>
      <c r="D12" s="284"/>
      <c r="E12" s="286"/>
      <c r="H12" s="284" t="s">
        <v>735</v>
      </c>
      <c r="I12" s="284"/>
      <c r="J12" s="284"/>
      <c r="K12" s="284"/>
    </row>
    <row r="13" spans="2:12">
      <c r="B13" s="287" t="s">
        <v>17</v>
      </c>
      <c r="C13" s="244" t="s">
        <v>736</v>
      </c>
      <c r="D13" s="244" t="s">
        <v>138</v>
      </c>
      <c r="E13" s="201"/>
      <c r="H13" s="244" t="s">
        <v>17</v>
      </c>
      <c r="I13" s="244" t="s">
        <v>736</v>
      </c>
      <c r="J13" s="244" t="s">
        <v>138</v>
      </c>
      <c r="K13" s="244" t="s">
        <v>737</v>
      </c>
    </row>
    <row r="14" spans="2:12" s="241" customFormat="1">
      <c r="B14" s="288" t="s">
        <v>202</v>
      </c>
      <c r="C14" s="245" t="s">
        <v>738</v>
      </c>
      <c r="D14" s="289">
        <v>7100</v>
      </c>
      <c r="E14" s="201"/>
      <c r="H14" s="245" t="s">
        <v>202</v>
      </c>
      <c r="I14" s="245" t="s">
        <v>738</v>
      </c>
      <c r="J14" s="289">
        <v>7100</v>
      </c>
      <c r="K14" s="245" t="s">
        <v>739</v>
      </c>
    </row>
    <row r="15" spans="2:12" s="241" customFormat="1">
      <c r="B15" s="288" t="s">
        <v>204</v>
      </c>
      <c r="C15" s="245" t="s">
        <v>740</v>
      </c>
      <c r="D15" s="289">
        <v>9838</v>
      </c>
      <c r="E15" s="201"/>
      <c r="H15" s="245" t="s">
        <v>204</v>
      </c>
      <c r="I15" s="245" t="s">
        <v>740</v>
      </c>
      <c r="J15" s="289">
        <v>9838</v>
      </c>
      <c r="K15" s="245" t="s">
        <v>741</v>
      </c>
    </row>
    <row r="16" spans="2:12" s="241" customFormat="1">
      <c r="B16" s="288" t="s">
        <v>742</v>
      </c>
      <c r="C16" s="245" t="s">
        <v>743</v>
      </c>
      <c r="D16" s="289">
        <v>6200</v>
      </c>
      <c r="E16" s="201"/>
      <c r="H16" s="245" t="s">
        <v>742</v>
      </c>
      <c r="I16" s="245" t="s">
        <v>743</v>
      </c>
      <c r="J16" s="289">
        <v>6200</v>
      </c>
      <c r="K16" s="245" t="s">
        <v>744</v>
      </c>
    </row>
    <row r="17" spans="2:12" s="241" customFormat="1">
      <c r="B17" s="288" t="s">
        <v>202</v>
      </c>
      <c r="C17" s="245" t="s">
        <v>745</v>
      </c>
      <c r="D17" s="289">
        <v>8200</v>
      </c>
      <c r="E17" s="201"/>
      <c r="H17" s="245" t="s">
        <v>202</v>
      </c>
      <c r="I17" s="245" t="s">
        <v>745</v>
      </c>
      <c r="J17" s="289">
        <v>8200</v>
      </c>
      <c r="K17" s="245" t="s">
        <v>739</v>
      </c>
    </row>
    <row r="18" spans="2:12" s="241" customFormat="1">
      <c r="B18" s="288" t="s">
        <v>746</v>
      </c>
      <c r="C18" s="245" t="s">
        <v>747</v>
      </c>
      <c r="D18" s="289">
        <v>5720</v>
      </c>
      <c r="E18" s="201"/>
      <c r="H18" s="245" t="s">
        <v>746</v>
      </c>
      <c r="I18" s="245" t="s">
        <v>747</v>
      </c>
      <c r="J18" s="289">
        <v>5720</v>
      </c>
      <c r="K18" s="245" t="s">
        <v>741</v>
      </c>
    </row>
    <row r="19" spans="2:12" s="241" customFormat="1">
      <c r="B19" s="288" t="s">
        <v>206</v>
      </c>
      <c r="C19" s="245" t="s">
        <v>748</v>
      </c>
      <c r="D19" s="289">
        <v>8950</v>
      </c>
      <c r="E19" s="201"/>
      <c r="H19" s="245" t="s">
        <v>206</v>
      </c>
      <c r="I19" s="245" t="s">
        <v>748</v>
      </c>
      <c r="J19" s="289">
        <v>8950</v>
      </c>
      <c r="K19" s="245" t="s">
        <v>739</v>
      </c>
    </row>
    <row r="20" spans="2:12">
      <c r="B20" s="397" t="s">
        <v>749</v>
      </c>
      <c r="C20" s="398"/>
      <c r="D20" s="290">
        <f t="array" ref="D20">SUMPRODUCT(ISNUMBER(FIND("F",B14:B19))+ISNUMBER(FIND("P",B14:B19)),D14:D19)</f>
        <v>16038</v>
      </c>
      <c r="H20" s="399" t="s">
        <v>749</v>
      </c>
      <c r="I20" s="399"/>
      <c r="J20" s="290">
        <f t="array" ref="J20">SUMPRODUCT(ISNUMBER(FIND("우수",K14:K19))*1,J14:J19)</f>
        <v>39808</v>
      </c>
      <c r="K20" s="291"/>
    </row>
    <row r="21" spans="2:12" ht="34.5" customHeight="1">
      <c r="B21" s="400" t="s">
        <v>750</v>
      </c>
      <c r="C21" s="401"/>
      <c r="D21" s="401"/>
      <c r="E21" s="401"/>
      <c r="F21" s="402"/>
      <c r="H21" s="403" t="s">
        <v>751</v>
      </c>
      <c r="I21" s="404"/>
      <c r="J21" s="404"/>
      <c r="K21" s="404"/>
      <c r="L21" s="405"/>
    </row>
  </sheetData>
  <mergeCells count="4">
    <mergeCell ref="B20:C20"/>
    <mergeCell ref="H20:I20"/>
    <mergeCell ref="B21:F21"/>
    <mergeCell ref="H21:L2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SUM</vt:lpstr>
      <vt:lpstr>AVERAGE</vt:lpstr>
      <vt:lpstr>MAX,MIN</vt:lpstr>
      <vt:lpstr>ROUND</vt:lpstr>
      <vt:lpstr>INT</vt:lpstr>
      <vt:lpstr>RANK</vt:lpstr>
      <vt:lpstr>IF</vt:lpstr>
      <vt:lpstr>중첩IF</vt:lpstr>
      <vt:lpstr>AND,OR</vt:lpstr>
      <vt:lpstr>문자열함수</vt:lpstr>
      <vt:lpstr>&amp;연산자</vt:lpstr>
      <vt:lpstr>날짜시간</vt:lpstr>
      <vt:lpstr>SUMIF</vt:lpstr>
      <vt:lpstr>COUNTIF</vt:lpstr>
      <vt:lpstr>다중조건</vt:lpstr>
      <vt:lpstr>찾기참조</vt:lpstr>
      <vt:lpstr>DB1</vt:lpstr>
      <vt:lpstr>DB2</vt:lpstr>
      <vt:lpstr>DB3</vt:lpstr>
      <vt:lpstr>frequency</vt:lpstr>
      <vt:lpstr>배열수식</vt:lpstr>
      <vt:lpstr>배열기초</vt:lpstr>
      <vt:lpstr>SUMPRODUCT</vt:lpstr>
      <vt:lpstr>SIF</vt:lpstr>
    </vt:vector>
  </TitlesOfParts>
  <Company>씨티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kimsunny</cp:lastModifiedBy>
  <cp:lastPrinted>2011-10-03T09:46:36Z</cp:lastPrinted>
  <dcterms:created xsi:type="dcterms:W3CDTF">2003-09-08T06:33:50Z</dcterms:created>
  <dcterms:modified xsi:type="dcterms:W3CDTF">2019-10-07T09:14:18Z</dcterms:modified>
</cp:coreProperties>
</file>