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면철\Desktop\20191010\공단공개문제 입력자료 및 정답\01 엑셀(입력자료 포함)\"/>
    </mc:Choice>
  </mc:AlternateContent>
  <xr:revisionPtr revIDLastSave="0" documentId="13_ncr:1_{23311DF1-422A-4A33-B593-AB9094ACFAFE}" xr6:coauthVersionLast="45" xr6:coauthVersionMax="45" xr10:uidLastSave="{00000000-0000-0000-0000-000000000000}"/>
  <bookViews>
    <workbookView xWindow="4680" yWindow="2700" windowWidth="25845" windowHeight="17700" activeTab="5" xr2:uid="{00000000-000D-0000-FFFF-FFFF00000000}"/>
  </bookViews>
  <sheets>
    <sheet name="SP1" sheetId="1" r:id="rId1"/>
    <sheet name="SP1작업표" sheetId="2" r:id="rId2"/>
    <sheet name="SP1완" sheetId="4" r:id="rId3"/>
    <sheet name="SP2" sheetId="3" r:id="rId4"/>
    <sheet name="SP2작업표" sheetId="5" r:id="rId5"/>
    <sheet name="SP2완" sheetId="6" r:id="rId6"/>
    <sheet name="SP3" sheetId="7" r:id="rId7"/>
    <sheet name="SP3작업표" sheetId="8" r:id="rId8"/>
    <sheet name="SP3완" sheetId="9" r:id="rId9"/>
    <sheet name="SP4" sheetId="10" r:id="rId10"/>
    <sheet name="SP4작업표" sheetId="11" r:id="rId11"/>
    <sheet name="SP4완" sheetId="12" r:id="rId12"/>
    <sheet name="SP5" sheetId="13" r:id="rId13"/>
    <sheet name="SP5작업표" sheetId="14" r:id="rId14"/>
    <sheet name="SP5완료" sheetId="15" r:id="rId15"/>
    <sheet name="SP6" sheetId="16" r:id="rId16"/>
    <sheet name="SP6작업표" sheetId="17" r:id="rId17"/>
    <sheet name="SP6완" sheetId="19" r:id="rId18"/>
  </sheets>
  <definedNames>
    <definedName name="_xlnm.Print_Area" localSheetId="2">SP1완!$A$1:$J$46</definedName>
    <definedName name="_xlnm.Print_Area" localSheetId="5">SP2완!$A$1:$J$46</definedName>
    <definedName name="_xlnm.Print_Area" localSheetId="17">SP6완!$A$1:$J$46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6" l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3" i="6"/>
  <c r="G28" i="6" l="1" a="1"/>
  <c r="G28" i="6" s="1"/>
  <c r="L28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3" i="6"/>
  <c r="H4" i="4"/>
  <c r="H21" i="9"/>
  <c r="H22" i="9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4" i="4"/>
  <c r="F16" i="19" l="1"/>
  <c r="J16" i="19" s="1"/>
  <c r="F23" i="19"/>
  <c r="J23" i="19" s="1"/>
  <c r="F18" i="19"/>
  <c r="J18" i="19" s="1"/>
  <c r="F11" i="19"/>
  <c r="J11" i="19" s="1"/>
  <c r="F19" i="19"/>
  <c r="J19" i="19" s="1"/>
  <c r="F17" i="19"/>
  <c r="F20" i="19"/>
  <c r="F21" i="19"/>
  <c r="J21" i="19" s="1"/>
  <c r="F10" i="19"/>
  <c r="J10" i="19" s="1"/>
  <c r="F5" i="19"/>
  <c r="J5" i="19" s="1"/>
  <c r="F15" i="19"/>
  <c r="J15" i="19" s="1"/>
  <c r="F13" i="19"/>
  <c r="J13" i="19" s="1"/>
  <c r="F4" i="19"/>
  <c r="J4" i="19" s="1"/>
  <c r="F7" i="19"/>
  <c r="J7" i="19" s="1"/>
  <c r="F14" i="19"/>
  <c r="J14" i="19" s="1"/>
  <c r="F6" i="19"/>
  <c r="F8" i="19"/>
  <c r="J8" i="19" s="1"/>
  <c r="F9" i="19"/>
  <c r="J9" i="19" s="1"/>
  <c r="F12" i="19"/>
  <c r="J12" i="19" s="1"/>
  <c r="F22" i="19"/>
  <c r="J22" i="19" s="1"/>
  <c r="C16" i="19"/>
  <c r="G16" i="19" s="1"/>
  <c r="C23" i="19"/>
  <c r="G23" i="19" s="1"/>
  <c r="C18" i="19"/>
  <c r="G18" i="19" s="1"/>
  <c r="C11" i="19"/>
  <c r="C19" i="19"/>
  <c r="C17" i="19"/>
  <c r="G17" i="19" s="1"/>
  <c r="C20" i="19"/>
  <c r="G20" i="19" s="1"/>
  <c r="C21" i="19"/>
  <c r="C10" i="19"/>
  <c r="G10" i="19" s="1"/>
  <c r="C5" i="19"/>
  <c r="G5" i="19" s="1"/>
  <c r="C15" i="19"/>
  <c r="G15" i="19" s="1"/>
  <c r="C13" i="19"/>
  <c r="G13" i="19" s="1"/>
  <c r="C4" i="19"/>
  <c r="C7" i="19"/>
  <c r="G7" i="19" s="1"/>
  <c r="C14" i="19"/>
  <c r="G14" i="19" s="1"/>
  <c r="C6" i="19"/>
  <c r="G6" i="19" s="1"/>
  <c r="C8" i="19"/>
  <c r="G8" i="19" s="1"/>
  <c r="C9" i="19"/>
  <c r="G9" i="19" s="1"/>
  <c r="C12" i="19"/>
  <c r="G12" i="19" s="1"/>
  <c r="C22" i="19"/>
  <c r="D24" i="15"/>
  <c r="C24" i="15"/>
  <c r="B24" i="15"/>
  <c r="F6" i="15"/>
  <c r="E6" i="15"/>
  <c r="G6" i="15" s="1"/>
  <c r="H6" i="15" s="1"/>
  <c r="F22" i="15"/>
  <c r="E22" i="15"/>
  <c r="G22" i="15" s="1"/>
  <c r="H22" i="15" s="1"/>
  <c r="F17" i="15"/>
  <c r="E17" i="15"/>
  <c r="G17" i="15" s="1"/>
  <c r="H17" i="15" s="1"/>
  <c r="F13" i="15"/>
  <c r="E13" i="15"/>
  <c r="G13" i="15" s="1"/>
  <c r="H13" i="15" s="1"/>
  <c r="F14" i="15"/>
  <c r="E14" i="15"/>
  <c r="G14" i="15" s="1"/>
  <c r="H14" i="15" s="1"/>
  <c r="F23" i="15"/>
  <c r="E23" i="15"/>
  <c r="G23" i="15" s="1"/>
  <c r="H23" i="15" s="1"/>
  <c r="F19" i="15"/>
  <c r="E19" i="15"/>
  <c r="G19" i="15" s="1"/>
  <c r="H19" i="15" s="1"/>
  <c r="F21" i="15"/>
  <c r="E21" i="15"/>
  <c r="G21" i="15" s="1"/>
  <c r="H21" i="15" s="1"/>
  <c r="F18" i="15"/>
  <c r="E18" i="15"/>
  <c r="G18" i="15" s="1"/>
  <c r="H18" i="15" s="1"/>
  <c r="F20" i="15"/>
  <c r="E20" i="15"/>
  <c r="G20" i="15" s="1"/>
  <c r="H20" i="15" s="1"/>
  <c r="F15" i="15"/>
  <c r="E15" i="15"/>
  <c r="G15" i="15" s="1"/>
  <c r="H15" i="15" s="1"/>
  <c r="F8" i="15"/>
  <c r="E8" i="15"/>
  <c r="G8" i="15" s="1"/>
  <c r="H8" i="15" s="1"/>
  <c r="F11" i="15"/>
  <c r="E11" i="15"/>
  <c r="G11" i="15" s="1"/>
  <c r="H11" i="15" s="1"/>
  <c r="F9" i="15"/>
  <c r="E9" i="15"/>
  <c r="G9" i="15" s="1"/>
  <c r="H9" i="15" s="1"/>
  <c r="F10" i="15"/>
  <c r="E10" i="15"/>
  <c r="G10" i="15" s="1"/>
  <c r="H10" i="15" s="1"/>
  <c r="F4" i="15"/>
  <c r="E4" i="15"/>
  <c r="G4" i="15" s="1"/>
  <c r="H4" i="15" s="1"/>
  <c r="F7" i="15"/>
  <c r="E7" i="15"/>
  <c r="G7" i="15" s="1"/>
  <c r="H7" i="15" s="1"/>
  <c r="F5" i="15"/>
  <c r="E5" i="15"/>
  <c r="G5" i="15" s="1"/>
  <c r="H5" i="15" s="1"/>
  <c r="F12" i="15"/>
  <c r="E12" i="15"/>
  <c r="G12" i="15" s="1"/>
  <c r="H12" i="15" s="1"/>
  <c r="F16" i="15"/>
  <c r="E16" i="15"/>
  <c r="F6" i="12"/>
  <c r="G6" i="12" s="1"/>
  <c r="F8" i="12"/>
  <c r="G8" i="12" s="1"/>
  <c r="F9" i="12"/>
  <c r="G9" i="12" s="1"/>
  <c r="F10" i="12"/>
  <c r="H10" i="12" s="1"/>
  <c r="F13" i="12"/>
  <c r="H13" i="12" s="1"/>
  <c r="F14" i="12"/>
  <c r="G14" i="12" s="1"/>
  <c r="F16" i="12"/>
  <c r="H16" i="12" s="1"/>
  <c r="F17" i="12"/>
  <c r="G17" i="12" s="1"/>
  <c r="F20" i="12"/>
  <c r="G20" i="12" s="1"/>
  <c r="F12" i="12"/>
  <c r="G12" i="12" s="1"/>
  <c r="F19" i="12"/>
  <c r="H19" i="12" s="1"/>
  <c r="F15" i="12"/>
  <c r="G15" i="12" s="1"/>
  <c r="F11" i="12"/>
  <c r="G11" i="12" s="1"/>
  <c r="F21" i="12"/>
  <c r="G21" i="12" s="1"/>
  <c r="F5" i="12"/>
  <c r="H5" i="12" s="1"/>
  <c r="F7" i="12"/>
  <c r="G7" i="12" s="1"/>
  <c r="F22" i="12"/>
  <c r="G22" i="12" s="1"/>
  <c r="F18" i="12"/>
  <c r="G18" i="12" s="1"/>
  <c r="F23" i="12"/>
  <c r="H23" i="12" s="1"/>
  <c r="F4" i="12"/>
  <c r="H4" i="12" s="1"/>
  <c r="C6" i="12"/>
  <c r="C8" i="12"/>
  <c r="C9" i="12"/>
  <c r="C10" i="12"/>
  <c r="C13" i="12"/>
  <c r="C14" i="12"/>
  <c r="C16" i="12"/>
  <c r="C17" i="12"/>
  <c r="C20" i="12"/>
  <c r="C12" i="12"/>
  <c r="C19" i="12"/>
  <c r="C15" i="12"/>
  <c r="C11" i="12"/>
  <c r="C21" i="12"/>
  <c r="C5" i="12"/>
  <c r="C7" i="12"/>
  <c r="C22" i="12"/>
  <c r="C18" i="12"/>
  <c r="C23" i="12"/>
  <c r="C4" i="12"/>
  <c r="H23" i="9"/>
  <c r="I23" i="9"/>
  <c r="K23" i="9" s="1"/>
  <c r="L23" i="9" s="1"/>
  <c r="J23" i="9"/>
  <c r="H8" i="9"/>
  <c r="I8" i="9"/>
  <c r="K8" i="9" s="1"/>
  <c r="L8" i="9" s="1"/>
  <c r="J8" i="9"/>
  <c r="H11" i="9"/>
  <c r="I11" i="9"/>
  <c r="K11" i="9" s="1"/>
  <c r="L11" i="9" s="1"/>
  <c r="J11" i="9"/>
  <c r="H9" i="9"/>
  <c r="I9" i="9"/>
  <c r="K9" i="9" s="1"/>
  <c r="L9" i="9" s="1"/>
  <c r="J9" i="9"/>
  <c r="I21" i="9"/>
  <c r="K21" i="9" s="1"/>
  <c r="L21" i="9" s="1"/>
  <c r="J21" i="9"/>
  <c r="H17" i="9"/>
  <c r="I17" i="9"/>
  <c r="K17" i="9" s="1"/>
  <c r="L17" i="9" s="1"/>
  <c r="J17" i="9"/>
  <c r="H16" i="9"/>
  <c r="I16" i="9"/>
  <c r="K16" i="9" s="1"/>
  <c r="L16" i="9" s="1"/>
  <c r="J16" i="9"/>
  <c r="I22" i="9"/>
  <c r="K22" i="9" s="1"/>
  <c r="L22" i="9" s="1"/>
  <c r="J22" i="9"/>
  <c r="H7" i="9"/>
  <c r="I7" i="9"/>
  <c r="K7" i="9" s="1"/>
  <c r="L7" i="9" s="1"/>
  <c r="J7" i="9"/>
  <c r="H20" i="9"/>
  <c r="I20" i="9"/>
  <c r="K20" i="9" s="1"/>
  <c r="L20" i="9" s="1"/>
  <c r="J20" i="9"/>
  <c r="H15" i="9"/>
  <c r="I15" i="9"/>
  <c r="K15" i="9" s="1"/>
  <c r="L15" i="9" s="1"/>
  <c r="J15" i="9"/>
  <c r="H5" i="9"/>
  <c r="I5" i="9"/>
  <c r="J5" i="9"/>
  <c r="H13" i="9"/>
  <c r="I13" i="9"/>
  <c r="J13" i="9"/>
  <c r="K13" i="9"/>
  <c r="L13" i="9" s="1"/>
  <c r="H19" i="9"/>
  <c r="I19" i="9"/>
  <c r="K19" i="9" s="1"/>
  <c r="J19" i="9"/>
  <c r="H14" i="9"/>
  <c r="I14" i="9"/>
  <c r="K14" i="9" s="1"/>
  <c r="L14" i="9" s="1"/>
  <c r="J14" i="9"/>
  <c r="H6" i="9"/>
  <c r="I6" i="9"/>
  <c r="K6" i="9" s="1"/>
  <c r="L6" i="9" s="1"/>
  <c r="J6" i="9"/>
  <c r="H18" i="9"/>
  <c r="I18" i="9"/>
  <c r="K18" i="9" s="1"/>
  <c r="L18" i="9" s="1"/>
  <c r="J18" i="9"/>
  <c r="H24" i="9"/>
  <c r="I24" i="9"/>
  <c r="K24" i="9" s="1"/>
  <c r="L24" i="9" s="1"/>
  <c r="J24" i="9"/>
  <c r="H10" i="9"/>
  <c r="I10" i="9"/>
  <c r="K10" i="9" s="1"/>
  <c r="L10" i="9" s="1"/>
  <c r="J10" i="9"/>
  <c r="J12" i="9"/>
  <c r="I12" i="9"/>
  <c r="K12" i="9" s="1"/>
  <c r="L12" i="9" s="1"/>
  <c r="H12" i="9"/>
  <c r="H4" i="19" l="1"/>
  <c r="G19" i="12"/>
  <c r="G5" i="12"/>
  <c r="H11" i="12"/>
  <c r="H18" i="12"/>
  <c r="I18" i="12" s="1"/>
  <c r="H21" i="19"/>
  <c r="K5" i="9"/>
  <c r="L5" i="9" s="1"/>
  <c r="J30" i="9"/>
  <c r="G23" i="12"/>
  <c r="I23" i="12" s="1"/>
  <c r="H12" i="12"/>
  <c r="I12" i="12" s="1"/>
  <c r="G13" i="12"/>
  <c r="I13" i="12" s="1"/>
  <c r="H9" i="12"/>
  <c r="I9" i="12" s="1"/>
  <c r="G16" i="12"/>
  <c r="G4" i="12"/>
  <c r="I4" i="12" s="1"/>
  <c r="F25" i="19"/>
  <c r="K28" i="9"/>
  <c r="J28" i="9"/>
  <c r="H11" i="19"/>
  <c r="J25" i="9"/>
  <c r="I11" i="12"/>
  <c r="I19" i="12"/>
  <c r="K26" i="9" a="1"/>
  <c r="K26" i="9" s="1"/>
  <c r="H7" i="12"/>
  <c r="I7" i="12" s="1"/>
  <c r="H15" i="12"/>
  <c r="I15" i="12" s="1"/>
  <c r="H17" i="12"/>
  <c r="I17" i="12" s="1"/>
  <c r="H8" i="12"/>
  <c r="I8" i="12" s="1"/>
  <c r="H19" i="19"/>
  <c r="H22" i="19"/>
  <c r="H12" i="19"/>
  <c r="I12" i="19" s="1"/>
  <c r="H9" i="19"/>
  <c r="I9" i="19" s="1"/>
  <c r="H8" i="19"/>
  <c r="I8" i="19" s="1"/>
  <c r="H6" i="19"/>
  <c r="I6" i="19" s="1"/>
  <c r="H7" i="19"/>
  <c r="G4" i="19"/>
  <c r="I4" i="19" s="1"/>
  <c r="H13" i="19"/>
  <c r="I13" i="19" s="1"/>
  <c r="H15" i="19"/>
  <c r="I15" i="19" s="1"/>
  <c r="H5" i="19"/>
  <c r="I5" i="19" s="1"/>
  <c r="H10" i="19"/>
  <c r="I10" i="19" s="1"/>
  <c r="G21" i="19"/>
  <c r="H20" i="19"/>
  <c r="I20" i="19" s="1"/>
  <c r="H17" i="19"/>
  <c r="I17" i="19" s="1"/>
  <c r="G19" i="19"/>
  <c r="G11" i="19"/>
  <c r="I11" i="19" s="1"/>
  <c r="H18" i="19"/>
  <c r="I18" i="19" s="1"/>
  <c r="H23" i="19"/>
  <c r="H16" i="19"/>
  <c r="F26" i="19"/>
  <c r="F24" i="19"/>
  <c r="G22" i="19"/>
  <c r="G24" i="19"/>
  <c r="I23" i="19"/>
  <c r="H14" i="19"/>
  <c r="I14" i="19" s="1"/>
  <c r="J6" i="19"/>
  <c r="J17" i="19"/>
  <c r="J20" i="19"/>
  <c r="E24" i="15"/>
  <c r="F24" i="15"/>
  <c r="G16" i="15"/>
  <c r="H22" i="12"/>
  <c r="I22" i="12" s="1"/>
  <c r="H20" i="12"/>
  <c r="G10" i="12"/>
  <c r="I10" i="12" s="1"/>
  <c r="H6" i="12"/>
  <c r="I6" i="12" s="1"/>
  <c r="G26" i="12"/>
  <c r="H21" i="12"/>
  <c r="I21" i="12" s="1"/>
  <c r="H14" i="12"/>
  <c r="I14" i="12" s="1"/>
  <c r="G24" i="12"/>
  <c r="H24" i="12"/>
  <c r="I5" i="12"/>
  <c r="I16" i="12"/>
  <c r="L19" i="9"/>
  <c r="I25" i="9"/>
  <c r="D23" i="6"/>
  <c r="C23" i="6"/>
  <c r="E22" i="6"/>
  <c r="F22" i="6" s="1"/>
  <c r="H22" i="6" s="1"/>
  <c r="E17" i="6"/>
  <c r="F17" i="6" s="1"/>
  <c r="H17" i="6" s="1"/>
  <c r="E9" i="6"/>
  <c r="F9" i="6" s="1"/>
  <c r="H9" i="6" s="1"/>
  <c r="E19" i="6"/>
  <c r="F19" i="6" s="1"/>
  <c r="H19" i="6" s="1"/>
  <c r="J19" i="6" s="1"/>
  <c r="E7" i="6"/>
  <c r="F7" i="6" s="1"/>
  <c r="E5" i="6"/>
  <c r="F5" i="6" s="1"/>
  <c r="E10" i="6"/>
  <c r="F10" i="6" s="1"/>
  <c r="H10" i="6" s="1"/>
  <c r="E11" i="6"/>
  <c r="F11" i="6" s="1"/>
  <c r="H11" i="6" s="1"/>
  <c r="J11" i="6" s="1"/>
  <c r="E20" i="6"/>
  <c r="F20" i="6" s="1"/>
  <c r="E14" i="6"/>
  <c r="F14" i="6" s="1"/>
  <c r="E8" i="6"/>
  <c r="F8" i="6" s="1"/>
  <c r="H8" i="6" s="1"/>
  <c r="E6" i="6"/>
  <c r="F6" i="6" s="1"/>
  <c r="H6" i="6" s="1"/>
  <c r="J6" i="6" s="1"/>
  <c r="E4" i="6"/>
  <c r="F4" i="6" s="1"/>
  <c r="H4" i="6" s="1"/>
  <c r="E3" i="6"/>
  <c r="F3" i="6" s="1"/>
  <c r="H3" i="6" s="1"/>
  <c r="E16" i="6"/>
  <c r="F16" i="6" s="1"/>
  <c r="H16" i="6" s="1"/>
  <c r="E12" i="6"/>
  <c r="F12" i="6" s="1"/>
  <c r="H12" i="6" s="1"/>
  <c r="J12" i="6" s="1"/>
  <c r="E18" i="6"/>
  <c r="F18" i="6" s="1"/>
  <c r="H18" i="6" s="1"/>
  <c r="E15" i="6"/>
  <c r="F15" i="6" s="1"/>
  <c r="H15" i="6" s="1"/>
  <c r="E21" i="6"/>
  <c r="F21" i="6" s="1"/>
  <c r="H21" i="6" s="1"/>
  <c r="E13" i="6"/>
  <c r="F13" i="6" s="1"/>
  <c r="H20" i="4"/>
  <c r="H14" i="4"/>
  <c r="H21" i="4"/>
  <c r="H22" i="4"/>
  <c r="H18" i="4"/>
  <c r="H6" i="4"/>
  <c r="H5" i="4"/>
  <c r="H10" i="4"/>
  <c r="H15" i="4"/>
  <c r="H16" i="4"/>
  <c r="H19" i="4"/>
  <c r="H7" i="4"/>
  <c r="H17" i="4"/>
  <c r="H8" i="4"/>
  <c r="H13" i="4"/>
  <c r="H11" i="4"/>
  <c r="H9" i="4"/>
  <c r="H23" i="4"/>
  <c r="H12" i="4"/>
  <c r="F20" i="4"/>
  <c r="G20" i="4" s="1"/>
  <c r="I20" i="4" s="1"/>
  <c r="F14" i="4"/>
  <c r="G14" i="4" s="1"/>
  <c r="I14" i="4" s="1"/>
  <c r="F21" i="4"/>
  <c r="G21" i="4" s="1"/>
  <c r="I21" i="4" s="1"/>
  <c r="F22" i="4"/>
  <c r="G22" i="4" s="1"/>
  <c r="I22" i="4" s="1"/>
  <c r="F18" i="4"/>
  <c r="G18" i="4" s="1"/>
  <c r="I18" i="4" s="1"/>
  <c r="F6" i="4"/>
  <c r="G6" i="4" s="1"/>
  <c r="I6" i="4" s="1"/>
  <c r="F5" i="4"/>
  <c r="G5" i="4" s="1"/>
  <c r="I5" i="4" s="1"/>
  <c r="F10" i="4"/>
  <c r="G10" i="4" s="1"/>
  <c r="I10" i="4" s="1"/>
  <c r="F15" i="4"/>
  <c r="G15" i="4" s="1"/>
  <c r="I15" i="4" s="1"/>
  <c r="F16" i="4"/>
  <c r="G16" i="4" s="1"/>
  <c r="I16" i="4" s="1"/>
  <c r="F19" i="4"/>
  <c r="G19" i="4" s="1"/>
  <c r="I19" i="4" s="1"/>
  <c r="F7" i="4"/>
  <c r="G7" i="4" s="1"/>
  <c r="I7" i="4" s="1"/>
  <c r="F17" i="4"/>
  <c r="G17" i="4" s="1"/>
  <c r="I17" i="4" s="1"/>
  <c r="F8" i="4"/>
  <c r="G8" i="4" s="1"/>
  <c r="I8" i="4" s="1"/>
  <c r="F13" i="4"/>
  <c r="G13" i="4" s="1"/>
  <c r="I13" i="4" s="1"/>
  <c r="F11" i="4"/>
  <c r="G11" i="4" s="1"/>
  <c r="I11" i="4" s="1"/>
  <c r="F9" i="4"/>
  <c r="G9" i="4" s="1"/>
  <c r="I9" i="4" s="1"/>
  <c r="F23" i="4"/>
  <c r="G23" i="4" s="1"/>
  <c r="I23" i="4" s="1"/>
  <c r="F12" i="4"/>
  <c r="G12" i="4" s="1"/>
  <c r="I12" i="4" s="1"/>
  <c r="F4" i="4"/>
  <c r="E25" i="15" l="1"/>
  <c r="H16" i="15"/>
  <c r="K30" i="9"/>
  <c r="K25" i="9"/>
  <c r="F28" i="4"/>
  <c r="I22" i="19"/>
  <c r="I21" i="19"/>
  <c r="H25" i="19"/>
  <c r="I19" i="19"/>
  <c r="I24" i="12"/>
  <c r="D25" i="15"/>
  <c r="C25" i="15"/>
  <c r="F26" i="4"/>
  <c r="G26" i="4"/>
  <c r="F27" i="4"/>
  <c r="F25" i="4"/>
  <c r="G27" i="4"/>
  <c r="G25" i="4"/>
  <c r="K27" i="19"/>
  <c r="M28" i="6"/>
  <c r="G25" i="12"/>
  <c r="B25" i="15"/>
  <c r="F25" i="15"/>
  <c r="J29" i="9" a="1"/>
  <c r="J29" i="9" s="1"/>
  <c r="K29" i="9" a="1"/>
  <c r="K29" i="9" s="1"/>
  <c r="E23" i="6"/>
  <c r="H5" i="6"/>
  <c r="I25" i="12"/>
  <c r="I7" i="19"/>
  <c r="H28" i="19" a="1"/>
  <c r="H28" i="19" s="1"/>
  <c r="H27" i="19" a="1"/>
  <c r="H27" i="19" s="1"/>
  <c r="G27" i="12" a="1"/>
  <c r="G27" i="12" s="1"/>
  <c r="H13" i="6"/>
  <c r="J13" i="6" s="1"/>
  <c r="G4" i="4"/>
  <c r="G28" i="4" s="1"/>
  <c r="H20" i="6"/>
  <c r="H7" i="6"/>
  <c r="H26" i="19"/>
  <c r="G23" i="6"/>
  <c r="H26" i="12"/>
  <c r="H27" i="12" a="1"/>
  <c r="H27" i="12" s="1"/>
  <c r="G25" i="19"/>
  <c r="G26" i="19"/>
  <c r="I25" i="19"/>
  <c r="H24" i="19"/>
  <c r="I16" i="19"/>
  <c r="F29" i="15"/>
  <c r="D27" i="15"/>
  <c r="E29" i="15"/>
  <c r="C27" i="15"/>
  <c r="B27" i="15"/>
  <c r="F28" i="15" a="1"/>
  <c r="F28" i="15" s="1"/>
  <c r="F26" i="15"/>
  <c r="E26" i="15"/>
  <c r="E28" i="15" a="1"/>
  <c r="E28" i="15" s="1"/>
  <c r="D26" i="15"/>
  <c r="F27" i="15"/>
  <c r="C26" i="15"/>
  <c r="E27" i="15"/>
  <c r="B26" i="15"/>
  <c r="H25" i="12"/>
  <c r="I20" i="12"/>
  <c r="I26" i="12" s="1"/>
  <c r="H14" i="6"/>
  <c r="J14" i="6" s="1"/>
  <c r="F23" i="6"/>
  <c r="J3" i="6"/>
  <c r="J8" i="6"/>
  <c r="J10" i="6"/>
  <c r="J21" i="6"/>
  <c r="J5" i="6"/>
  <c r="J9" i="6"/>
  <c r="J15" i="6"/>
  <c r="J16" i="6"/>
  <c r="J17" i="6"/>
  <c r="J4" i="6"/>
  <c r="J18" i="6"/>
  <c r="J20" i="6"/>
  <c r="J22" i="6"/>
  <c r="C27" i="4"/>
  <c r="F24" i="4"/>
  <c r="G24" i="4"/>
  <c r="C25" i="4"/>
  <c r="C26" i="4"/>
  <c r="I26" i="19" l="1"/>
  <c r="H28" i="6" a="1"/>
  <c r="H28" i="6" s="1"/>
  <c r="O25" i="6"/>
  <c r="H25" i="6" a="1"/>
  <c r="H25" i="6" s="1"/>
  <c r="H24" i="6"/>
  <c r="J7" i="6"/>
  <c r="H23" i="6"/>
  <c r="I28" i="12"/>
  <c r="I4" i="4"/>
  <c r="G29" i="4" s="1"/>
  <c r="I28" i="19" a="1"/>
  <c r="I28" i="19" s="1"/>
  <c r="I27" i="19" a="1"/>
  <c r="I27" i="19" s="1"/>
  <c r="I27" i="12" a="1"/>
  <c r="I27" i="12" s="1"/>
  <c r="I24" i="19"/>
  <c r="G27" i="6" l="1"/>
  <c r="H2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K27" authorId="0" shapeId="0" xr:uid="{00000000-0006-0000-1100-000001000000}">
      <text>
        <r>
          <rPr>
            <b/>
            <sz val="9"/>
            <color indexed="81"/>
            <rFont val="돋움"/>
            <family val="3"/>
            <charset val="129"/>
          </rPr>
          <t>만약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조건에</t>
        </r>
        <r>
          <rPr>
            <b/>
            <sz val="9"/>
            <color indexed="81"/>
            <rFont val="Tahoma"/>
            <family val="2"/>
          </rPr>
          <t xml:space="preserve"> sumproduct 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않는경우</t>
        </r>
        <r>
          <rPr>
            <b/>
            <sz val="9"/>
            <color indexed="81"/>
            <rFont val="Tahoma"/>
            <family val="2"/>
          </rPr>
          <t xml:space="preserve"> sumifs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<sst xmlns="http://schemas.openxmlformats.org/spreadsheetml/2006/main" count="976" uniqueCount="385">
  <si>
    <t>A</t>
  </si>
  <si>
    <t>B</t>
  </si>
  <si>
    <t>C</t>
  </si>
  <si>
    <t>국가</t>
  </si>
  <si>
    <t>관광객</t>
  </si>
  <si>
    <t>수익</t>
  </si>
  <si>
    <t>운영비</t>
  </si>
  <si>
    <t>사고여객기</t>
  </si>
  <si>
    <t>미국</t>
  </si>
  <si>
    <t>한국</t>
  </si>
  <si>
    <t>베트남</t>
  </si>
  <si>
    <t>러시아</t>
  </si>
  <si>
    <t>영국</t>
  </si>
  <si>
    <t>일본</t>
  </si>
  <si>
    <t>덴마크</t>
  </si>
  <si>
    <t>프랑스</t>
  </si>
  <si>
    <t>중국</t>
  </si>
  <si>
    <t>홍콩</t>
  </si>
  <si>
    <t>필리핀</t>
  </si>
  <si>
    <t>호주</t>
  </si>
  <si>
    <t>뉴질랜드</t>
  </si>
  <si>
    <t>독일</t>
  </si>
  <si>
    <t>스위스</t>
  </si>
  <si>
    <t>벨기에</t>
  </si>
  <si>
    <t>네덜란드</t>
  </si>
  <si>
    <t>체코</t>
  </si>
  <si>
    <t>폴란드</t>
  </si>
  <si>
    <t>대만</t>
  </si>
  <si>
    <t>세금</t>
    <phoneticPr fontId="1" type="noConversion"/>
  </si>
  <si>
    <t>순이익금</t>
    <phoneticPr fontId="1" type="noConversion"/>
  </si>
  <si>
    <t>신뢰도</t>
    <phoneticPr fontId="1" type="noConversion"/>
  </si>
  <si>
    <t>항로폐쇄여부</t>
    <phoneticPr fontId="1" type="noConversion"/>
  </si>
  <si>
    <t>순위</t>
    <phoneticPr fontId="1" type="noConversion"/>
  </si>
  <si>
    <t>평균</t>
    <phoneticPr fontId="1" type="noConversion"/>
  </si>
  <si>
    <t>관광객이 10 이상 15 미만인 합</t>
    <phoneticPr fontId="1" type="noConversion"/>
  </si>
  <si>
    <t>항로폐쇄여부에서 “폐쇄”인 개수</t>
    <phoneticPr fontId="1" type="noConversion"/>
  </si>
  <si>
    <t>신뢰도별
합계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</si>
  <si>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</si>
  <si>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</si>
  <si>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</si>
  <si>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</si>
  <si>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</si>
  <si>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</si>
  <si>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</si>
  <si>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</si>
  <si>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</si>
  <si>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⑦</t>
    <phoneticPr fontId="1" type="noConversion"/>
  </si>
  <si>
    <t>⑧</t>
    <phoneticPr fontId="1" type="noConversion"/>
  </si>
  <si>
    <t>⑨</t>
    <phoneticPr fontId="1" type="noConversion"/>
  </si>
  <si>
    <t>⑪개</t>
    <phoneticPr fontId="1" type="noConversion"/>
  </si>
  <si>
    <t>⑫</t>
    <phoneticPr fontId="1" type="noConversion"/>
  </si>
  <si>
    <t>⑬</t>
    <phoneticPr fontId="1" type="noConversion"/>
  </si>
  <si>
    <t>⑩</t>
    <phoneticPr fontId="1" type="noConversion"/>
  </si>
  <si>
    <t>항공 운영 수입 현황</t>
    <phoneticPr fontId="1" type="noConversion"/>
  </si>
  <si>
    <t>=SUMIFS(G4:G23,$B$4:$B$23,"&gt;=10",$B$4:$B$23,"&lt;15")</t>
    <phoneticPr fontId="1" type="noConversion"/>
  </si>
  <si>
    <t>학생이름</t>
  </si>
  <si>
    <t>과제등급</t>
  </si>
  <si>
    <t>중간</t>
  </si>
  <si>
    <t>기말</t>
  </si>
  <si>
    <t>김기찬</t>
  </si>
  <si>
    <t>김수진</t>
  </si>
  <si>
    <t>김정현</t>
  </si>
  <si>
    <t>김찬진</t>
  </si>
  <si>
    <t>박찬호</t>
  </si>
  <si>
    <t>박현정</t>
  </si>
  <si>
    <t>신명훈</t>
  </si>
  <si>
    <t>이소라</t>
  </si>
  <si>
    <t>이재민</t>
  </si>
  <si>
    <t>최종혁</t>
  </si>
  <si>
    <t>최진현</t>
  </si>
  <si>
    <t>홍길동</t>
  </si>
  <si>
    <t>송대관</t>
  </si>
  <si>
    <t>송수정</t>
  </si>
  <si>
    <t>송경관</t>
  </si>
  <si>
    <t>김춘봉</t>
  </si>
  <si>
    <t>임현식</t>
  </si>
  <si>
    <t>임경철</t>
  </si>
  <si>
    <t>신기한</t>
  </si>
  <si>
    <t>김경태</t>
  </si>
  <si>
    <t>학생 성적 현황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</si>
  <si>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</si>
  <si>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</si>
  <si>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</si>
  <si>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</si>
  <si>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</si>
  <si>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</si>
  <si>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</si>
  <si>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</si>
  <si>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</si>
  <si>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</si>
  <si>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</si>
  <si>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⑪</t>
    <phoneticPr fontId="1" type="noConversion"/>
  </si>
  <si>
    <t>=SUMPRODUCT((($B$3:$B$22="B")+($B$3:$B$22="C"))*(LEFT($A$3:$A$22,1)="이"),G3:G22)</t>
    <phoneticPr fontId="1" type="noConversion"/>
  </si>
  <si>
    <t xml:space="preserve">은행명 </t>
  </si>
  <si>
    <t xml:space="preserve">고객명 </t>
  </si>
  <si>
    <t xml:space="preserve">성별 </t>
  </si>
  <si>
    <t xml:space="preserve">예금 </t>
  </si>
  <si>
    <t xml:space="preserve">지출 </t>
  </si>
  <si>
    <t>대출금액</t>
  </si>
  <si>
    <t xml:space="preserve">김종남 </t>
  </si>
  <si>
    <t xml:space="preserve">박철수 </t>
  </si>
  <si>
    <t xml:space="preserve">남민종 </t>
  </si>
  <si>
    <t xml:space="preserve">곽수지 </t>
  </si>
  <si>
    <t xml:space="preserve">편영표 </t>
  </si>
  <si>
    <t xml:space="preserve">황귀영 </t>
  </si>
  <si>
    <t xml:space="preserve">하석태 </t>
  </si>
  <si>
    <t xml:space="preserve">박종식 </t>
  </si>
  <si>
    <t xml:space="preserve">심수미 </t>
  </si>
  <si>
    <t xml:space="preserve">김지수 </t>
  </si>
  <si>
    <t xml:space="preserve">이남석 </t>
  </si>
  <si>
    <t xml:space="preserve">임지영 </t>
  </si>
  <si>
    <t xml:space="preserve">강승헌 </t>
  </si>
  <si>
    <t xml:space="preserve">정연수 </t>
  </si>
  <si>
    <t xml:space="preserve">이인용 </t>
  </si>
  <si>
    <t xml:space="preserve">송춘석 </t>
  </si>
  <si>
    <t xml:space="preserve">심남숙 </t>
  </si>
  <si>
    <t xml:space="preserve">전은미 </t>
  </si>
  <si>
    <t xml:space="preserve">함미경 </t>
  </si>
  <si>
    <t xml:space="preserve">이철희 </t>
  </si>
  <si>
    <t>은행별 고객 대출 계산</t>
    <phoneticPr fontId="1" type="noConversion"/>
  </si>
  <si>
    <t>성별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</si>
  <si>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</si>
  <si>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</si>
  <si>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</si>
  <si>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</si>
  <si>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</si>
  <si>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 xml:space="preserve">전자은행 또는 비자은행의 합 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</si>
  <si>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</si>
  <si>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</si>
  <si>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</si>
  <si>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⑤</t>
  </si>
  <si>
    <t>⑥</t>
  </si>
  <si>
    <t>⑦</t>
  </si>
  <si>
    <t>⑧</t>
  </si>
  <si>
    <t>⑨</t>
  </si>
  <si>
    <t>⑩</t>
  </si>
  <si>
    <t>⑪</t>
  </si>
  <si>
    <t>=SUMPRODUCT(ISNUMBER(FIND("전자은행",$B$5:$B$24))+ISNUMBER(FIND("비자은행",$B$5:$B$24)),K5:K24)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</si>
  <si>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</si>
  <si>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</si>
  <si>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</si>
  <si>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</si>
  <si>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</si>
  <si>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</si>
  <si>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비자은행</t>
    <phoneticPr fontId="1" type="noConversion"/>
  </si>
  <si>
    <t>전자은행</t>
    <phoneticPr fontId="1" type="noConversion"/>
  </si>
  <si>
    <t>잔액이 1500000 이상 2000000 미만인 합</t>
    <phoneticPr fontId="1" type="noConversion"/>
  </si>
  <si>
    <t>=SUMPRODUCT((LEFT($C$5:$C$24,1)="이")*($L$5:$L$24="우수고객"),K5:K24)</t>
    <phoneticPr fontId="1" type="noConversion"/>
  </si>
  <si>
    <t xml:space="preserve">성명 </t>
  </si>
  <si>
    <t xml:space="preserve">부서코드 </t>
  </si>
  <si>
    <t xml:space="preserve">출근시간 </t>
  </si>
  <si>
    <t>퇴근시간</t>
  </si>
  <si>
    <t xml:space="preserve">공병호 </t>
  </si>
  <si>
    <t xml:space="preserve">김병선 </t>
  </si>
  <si>
    <t xml:space="preserve">김지명 </t>
  </si>
  <si>
    <t xml:space="preserve">김진혁 </t>
  </si>
  <si>
    <t xml:space="preserve">김차일 </t>
  </si>
  <si>
    <t xml:space="preserve">박두일 </t>
  </si>
  <si>
    <t xml:space="preserve">박일호 </t>
  </si>
  <si>
    <t xml:space="preserve">손병준 </t>
  </si>
  <si>
    <t xml:space="preserve">신혁진 </t>
  </si>
  <si>
    <t xml:space="preserve">이우선 </t>
  </si>
  <si>
    <t xml:space="preserve">문희권 </t>
  </si>
  <si>
    <t xml:space="preserve">이강복 </t>
  </si>
  <si>
    <t xml:space="preserve">반준규 </t>
  </si>
  <si>
    <t xml:space="preserve">남영문 </t>
  </si>
  <si>
    <t xml:space="preserve">정상희 </t>
  </si>
  <si>
    <t xml:space="preserve">김미선 </t>
  </si>
  <si>
    <t xml:space="preserve">김윤식 </t>
  </si>
  <si>
    <t xml:space="preserve">조형래 </t>
  </si>
  <si>
    <t xml:space="preserve">안성기 </t>
  </si>
  <si>
    <t xml:space="preserve">주진모 </t>
  </si>
  <si>
    <t>근무부서</t>
    <phoneticPr fontId="1" type="noConversion"/>
  </si>
  <si>
    <t>근무시간</t>
    <phoneticPr fontId="1" type="noConversion"/>
  </si>
  <si>
    <t>당일금액</t>
    <phoneticPr fontId="1" type="noConversion"/>
  </si>
  <si>
    <t>식대</t>
    <phoneticPr fontId="1" type="noConversion"/>
  </si>
  <si>
    <t>지급액</t>
    <phoneticPr fontId="1" type="noConversion"/>
  </si>
  <si>
    <t>부서별 합계</t>
    <phoneticPr fontId="1" type="noConversion"/>
  </si>
  <si>
    <t>시설과</t>
    <phoneticPr fontId="1" type="noConversion"/>
  </si>
  <si>
    <t>관리과</t>
    <phoneticPr fontId="1" type="noConversion"/>
  </si>
  <si>
    <t>재무과</t>
    <phoneticPr fontId="1" type="noConversion"/>
  </si>
  <si>
    <t>부서코드에 "1" 또는 "3"을 포함한 합계</t>
    <phoneticPr fontId="1" type="noConversion"/>
  </si>
  <si>
    <t>지급액이 20000 이상 40000 미만인 사람들의 합</t>
    <phoneticPr fontId="1" type="noConversion"/>
  </si>
  <si>
    <t>아르바이트 급여 현황</t>
    <phoneticPr fontId="1" type="noConversion"/>
  </si>
  <si>
    <t>근무부서</t>
    <phoneticPr fontId="1" type="noConversion"/>
  </si>
  <si>
    <t xml:space="preserve">지역 </t>
  </si>
  <si>
    <t xml:space="preserve">수입 </t>
  </si>
  <si>
    <t>저축</t>
  </si>
  <si>
    <t>저축우수지역 분석표</t>
    <phoneticPr fontId="1" type="noConversion"/>
  </si>
  <si>
    <t>여유자금</t>
    <phoneticPr fontId="1" type="noConversion"/>
  </si>
  <si>
    <t>잡비</t>
    <phoneticPr fontId="1" type="noConversion"/>
  </si>
  <si>
    <t>지수</t>
    <phoneticPr fontId="1" type="noConversion"/>
  </si>
  <si>
    <t>판정</t>
    <phoneticPr fontId="1" type="noConversion"/>
  </si>
  <si>
    <t>지역평균</t>
    <phoneticPr fontId="1" type="noConversion"/>
  </si>
  <si>
    <t>우수평균</t>
    <phoneticPr fontId="1" type="noConversion"/>
  </si>
  <si>
    <t>보통평균</t>
    <phoneticPr fontId="1" type="noConversion"/>
  </si>
  <si>
    <t>나쁨평균</t>
    <phoneticPr fontId="1" type="noConversion"/>
  </si>
  <si>
    <t>지역이 부산이면서 판정이 보통인 합계</t>
    <phoneticPr fontId="1" type="noConversion"/>
  </si>
  <si>
    <t>판정이 나쁨인 합</t>
    <phoneticPr fontId="1" type="noConversion"/>
  </si>
  <si>
    <t>부산</t>
    <phoneticPr fontId="1" type="noConversion"/>
  </si>
  <si>
    <t>대구</t>
    <phoneticPr fontId="1" type="noConversion"/>
  </si>
  <si>
    <t>울산</t>
    <phoneticPr fontId="1" type="noConversion"/>
  </si>
  <si>
    <t>광주</t>
    <phoneticPr fontId="1" type="noConversion"/>
  </si>
  <si>
    <t>대전</t>
    <phoneticPr fontId="1" type="noConversion"/>
  </si>
  <si>
    <t>서울</t>
    <phoneticPr fontId="1" type="noConversion"/>
  </si>
  <si>
    <t xml:space="preserve">대여자 </t>
  </si>
  <si>
    <t xml:space="preserve">코드 </t>
  </si>
  <si>
    <t xml:space="preserve">대여일자 </t>
  </si>
  <si>
    <t>반납일자</t>
  </si>
  <si>
    <t xml:space="preserve">권은경 </t>
  </si>
  <si>
    <t xml:space="preserve">김명호 </t>
  </si>
  <si>
    <t xml:space="preserve">이명진 </t>
  </si>
  <si>
    <t xml:space="preserve">서영준 </t>
  </si>
  <si>
    <t xml:space="preserve">원미경 </t>
  </si>
  <si>
    <t xml:space="preserve">윤나영 </t>
  </si>
  <si>
    <t xml:space="preserve">이경호 </t>
  </si>
  <si>
    <t xml:space="preserve">이수현 </t>
  </si>
  <si>
    <t xml:space="preserve">조성진 </t>
  </si>
  <si>
    <t xml:space="preserve">이수경 </t>
  </si>
  <si>
    <t xml:space="preserve">김재해 </t>
  </si>
  <si>
    <t xml:space="preserve">박한상 </t>
  </si>
  <si>
    <t xml:space="preserve">김동렬 </t>
  </si>
  <si>
    <t xml:space="preserve">이승엽 </t>
  </si>
  <si>
    <t xml:space="preserve">이종범 </t>
  </si>
  <si>
    <t xml:space="preserve">박세리 </t>
  </si>
  <si>
    <t xml:space="preserve">최경주 </t>
  </si>
  <si>
    <t xml:space="preserve">이봉주 </t>
  </si>
  <si>
    <t xml:space="preserve">유남규 </t>
  </si>
  <si>
    <t xml:space="preserve">한기주 </t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</si>
  <si>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</si>
  <si>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</si>
  <si>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</si>
  <si>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</si>
  <si>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합계금액</t>
    <phoneticPr fontId="1" type="noConversion"/>
  </si>
  <si>
    <t>종합</t>
    <phoneticPr fontId="1" type="noConversion"/>
  </si>
  <si>
    <t>요금합계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</si>
  <si>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</si>
  <si>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</si>
  <si>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</si>
  <si>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"이"씨 성이면서 코드에 "1"을 포함한 합</t>
    <phoneticPr fontId="1" type="noConversion"/>
  </si>
  <si>
    <t>"김"씨 성이면서 코드에 "5"를 포함한 합</t>
    <phoneticPr fontId="1" type="noConversion"/>
  </si>
  <si>
    <t>종합 열에 사용된 함수식(이명진 기준)</t>
    <phoneticPr fontId="1" type="noConversion"/>
  </si>
  <si>
    <t xml:space="preserve">① </t>
  </si>
  <si>
    <t xml:space="preserve">② </t>
  </si>
  <si>
    <t xml:space="preserve">③ </t>
  </si>
  <si>
    <t xml:space="preserve">④ </t>
  </si>
  <si>
    <t xml:space="preserve">⑤ </t>
  </si>
  <si>
    <t xml:space="preserve">⑦ </t>
  </si>
  <si>
    <t xml:space="preserve">⑩ </t>
  </si>
  <si>
    <t xml:space="preserve">⑪ </t>
  </si>
  <si>
    <t>자동차 렌트 관리</t>
    <phoneticPr fontId="1" type="noConversion"/>
  </si>
  <si>
    <t>A-4</t>
    <phoneticPr fontId="1" type="noConversion"/>
  </si>
  <si>
    <t>C-3</t>
    <phoneticPr fontId="1" type="noConversion"/>
  </si>
  <si>
    <t>C-1</t>
    <phoneticPr fontId="1" type="noConversion"/>
  </si>
  <si>
    <t>C-2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</si>
  <si>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</si>
  <si>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</si>
  <si>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</si>
  <si>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</si>
  <si>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</si>
  <si>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A-1</t>
    <phoneticPr fontId="1" type="noConversion"/>
  </si>
  <si>
    <t>A-5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</si>
  <si>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</si>
  <si>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</si>
  <si>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</si>
  <si>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</si>
  <si>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</si>
  <si>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</si>
  <si>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</si>
  <si>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</si>
  <si>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=SUMIF($C$4:$C$23,$C26,I$4:I$23)</t>
    <phoneticPr fontId="1" type="noConversion"/>
  </si>
  <si>
    <t>=CONCATENATE(A23,":",LEFT(B23,1),":",F23,"일")</t>
    <phoneticPr fontId="1" type="noConversion"/>
  </si>
  <si>
    <t>=IF(G18&lt;=100000,"폐쇄","")</t>
    <phoneticPr fontId="1" type="noConversion"/>
  </si>
  <si>
    <t>이*</t>
    <phoneticPr fontId="1" type="noConversion"/>
  </si>
  <si>
    <t>B</t>
    <phoneticPr fontId="1" type="noConversion"/>
  </si>
  <si>
    <t>C</t>
    <phoneticPr fontId="1" type="noConversion"/>
  </si>
  <si>
    <t>=IF(G5&gt;50%,"우수",IF(G5&gt;30%,"보통","나쁨"))</t>
    <phoneticPr fontId="1" type="noConversion"/>
  </si>
  <si>
    <t>요렇게 해도됨</t>
    <phoneticPr fontId="1" type="noConversion"/>
  </si>
  <si>
    <t>=SUMIF($C$4:$C$23,$D24,I$4:I$23)</t>
    <phoneticPr fontId="1" type="noConversion"/>
  </si>
  <si>
    <t>A</t>
    <phoneticPr fontId="1" type="noConversion"/>
  </si>
  <si>
    <t>B</t>
    <phoneticPr fontId="1" type="noConversion"/>
  </si>
  <si>
    <t>ROUND(SUMPRODUCT(ISNUMBER(FIND("A",$B$3:$B$22))+ISNUMBER(FIND("B",$B$3:$B$22)),H3:H22),0)</t>
    <phoneticPr fontId="1" type="noConversion"/>
  </si>
  <si>
    <t>전자은행</t>
  </si>
  <si>
    <t>김종남</t>
  </si>
  <si>
    <t>학교은행</t>
  </si>
  <si>
    <t>박철수</t>
  </si>
  <si>
    <t>비자은행</t>
  </si>
  <si>
    <t>남민종</t>
  </si>
  <si>
    <t>곽수지</t>
  </si>
  <si>
    <t>편영표</t>
  </si>
  <si>
    <t>황귀영</t>
  </si>
  <si>
    <t>하석태</t>
  </si>
  <si>
    <t>박종식</t>
  </si>
  <si>
    <t>심수미</t>
  </si>
  <si>
    <t>김지수</t>
  </si>
  <si>
    <t>이남석</t>
  </si>
  <si>
    <t>임지영</t>
  </si>
  <si>
    <t>강승헌</t>
  </si>
  <si>
    <t>정연수</t>
  </si>
  <si>
    <t>이인용</t>
  </si>
  <si>
    <t>송춘석</t>
  </si>
  <si>
    <t>심남숙</t>
  </si>
  <si>
    <t>전은미</t>
  </si>
  <si>
    <t>함미경</t>
  </si>
  <si>
    <t>이철희</t>
  </si>
  <si>
    <t>공병호</t>
  </si>
  <si>
    <t>B-2</t>
  </si>
  <si>
    <t>김병선</t>
  </si>
  <si>
    <t>B-3</t>
  </si>
  <si>
    <t>김지명</t>
  </si>
  <si>
    <t>김진혁</t>
  </si>
  <si>
    <t>C-2</t>
  </si>
  <si>
    <t>김차일</t>
  </si>
  <si>
    <t>박두일</t>
  </si>
  <si>
    <t>C-1</t>
  </si>
  <si>
    <t>박일호</t>
  </si>
  <si>
    <t>A-2</t>
  </si>
  <si>
    <t>손병준</t>
  </si>
  <si>
    <t>A-1</t>
  </si>
  <si>
    <t>신혁진</t>
  </si>
  <si>
    <t>A-3</t>
  </si>
  <si>
    <t>이우선</t>
  </si>
  <si>
    <t>문희권</t>
  </si>
  <si>
    <t>이강복</t>
  </si>
  <si>
    <t>반준규</t>
  </si>
  <si>
    <t>남영문</t>
  </si>
  <si>
    <t>정상희</t>
  </si>
  <si>
    <t>김미선</t>
  </si>
  <si>
    <t>B-1</t>
  </si>
  <si>
    <t>김윤식</t>
  </si>
  <si>
    <t>조형래</t>
  </si>
  <si>
    <t>안성기</t>
  </si>
  <si>
    <t>주진모</t>
  </si>
  <si>
    <t>부산</t>
  </si>
  <si>
    <t>대구</t>
  </si>
  <si>
    <t>울산</t>
  </si>
  <si>
    <t>광주</t>
  </si>
  <si>
    <t>대전</t>
  </si>
  <si>
    <t>서울</t>
  </si>
  <si>
    <t>권은경</t>
  </si>
  <si>
    <t>A-4</t>
  </si>
  <si>
    <t>김명호</t>
  </si>
  <si>
    <t>C-3</t>
  </si>
  <si>
    <t>이명진</t>
  </si>
  <si>
    <t>서영준</t>
  </si>
  <si>
    <t>원미경</t>
  </si>
  <si>
    <t>윤나영</t>
  </si>
  <si>
    <t>B-4</t>
  </si>
  <si>
    <t>이경호</t>
  </si>
  <si>
    <t>이수현</t>
  </si>
  <si>
    <t>조성진</t>
  </si>
  <si>
    <t>이수경</t>
  </si>
  <si>
    <t>김재해</t>
  </si>
  <si>
    <t>A-5</t>
  </si>
  <si>
    <t>박한상</t>
  </si>
  <si>
    <t>C-4</t>
  </si>
  <si>
    <t>김동렬</t>
  </si>
  <si>
    <t>C-5</t>
  </si>
  <si>
    <t>이승엽</t>
  </si>
  <si>
    <t>이종범</t>
  </si>
  <si>
    <t>A-6</t>
  </si>
  <si>
    <t>박세리</t>
  </si>
  <si>
    <t>C-6</t>
  </si>
  <si>
    <t>최경주</t>
  </si>
  <si>
    <t>C-7</t>
  </si>
  <si>
    <t>이봉주</t>
  </si>
  <si>
    <t>B-6</t>
  </si>
  <si>
    <t>유남규</t>
  </si>
  <si>
    <t>A-7</t>
  </si>
  <si>
    <t>한기주</t>
  </si>
  <si>
    <t>B-7</t>
  </si>
  <si>
    <t>=SUMPRODUCT(($H$5:$H$24="여성")*(LEFT($C$5:$C$24,1)="이")*($B$5:$B$24="학교은행"),J5:J24)</t>
    <phoneticPr fontId="1" type="noConversion"/>
  </si>
  <si>
    <t>B-2</t>
    <phoneticPr fontId="1" type="noConversion"/>
  </si>
  <si>
    <t>B-1</t>
    <phoneticPr fontId="1" type="noConversion"/>
  </si>
  <si>
    <t>B-3</t>
    <phoneticPr fontId="1" type="noConversion"/>
  </si>
  <si>
    <t>A-2</t>
    <phoneticPr fontId="1" type="noConversion"/>
  </si>
  <si>
    <t>C-2</t>
    <phoneticPr fontId="1" type="noConversion"/>
  </si>
  <si>
    <t>C-1</t>
    <phoneticPr fontId="1" type="noConversion"/>
  </si>
  <si>
    <t>A-1</t>
    <phoneticPr fontId="1" type="noConversion"/>
  </si>
  <si>
    <t>A-3</t>
    <phoneticPr fontId="1" type="noConversion"/>
  </si>
  <si>
    <t>=IF(G4&lt;=30%,"나쁨",IF(G4&lt;=50%,"보통","우수"))</t>
    <phoneticPr fontId="1" type="noConversion"/>
  </si>
  <si>
    <t>=SUMPRODUCT(($A$4:$A$23="부산")*($H$4:$H$23="보통"),E4:E23)</t>
    <phoneticPr fontId="1" type="noConversion"/>
  </si>
  <si>
    <t>=SUMPRODUCT(ISNUMBER(FIND("1",$B$4:$B$23))+ISNUMBER(FIND("3",$B$4:$B$23)),I4:I23)</t>
    <phoneticPr fontId="1" type="noConversion"/>
  </si>
  <si>
    <t>=IF(G5&lt;=30%,"나쁨",IF(G5&lt;=50%,"보통","우수"))</t>
    <phoneticPr fontId="1" type="noConversion"/>
  </si>
  <si>
    <t>지역별 수입지출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</si>
</sst>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₩&quot;#,##0_);[Red]\(&quot;₩&quot;#,##0\)"/>
    <numFmt numFmtId="177" formatCode="0_ "/>
    <numFmt numFmtId="178" formatCode="&quot;₩&quot;#,##0"/>
    <numFmt numFmtId="179" formatCode="mm&quot;월&quot;\ dd&quot;일&quot;"/>
    <numFmt numFmtId="180" formatCode="#\ &quot;개&quot;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8"/>
      <color theme="1"/>
      <name val="맑은 고딕"/>
      <family val="2"/>
      <charset val="129"/>
      <scheme val="minor"/>
    </font>
    <font>
      <u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176" fontId="5" fillId="2" borderId="1" xfId="0" applyNumberFormat="1" applyFont="1" applyFill="1" applyBorder="1" applyAlignment="1">
      <alignment vertical="center"/>
    </xf>
    <xf numFmtId="177" fontId="6" fillId="0" borderId="1" xfId="0" applyNumberFormat="1" applyFont="1" applyBorder="1" applyAlignment="1">
      <alignment vertical="center"/>
    </xf>
    <xf numFmtId="177" fontId="5" fillId="0" borderId="1" xfId="0" applyNumberFormat="1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177" fontId="6" fillId="0" borderId="16" xfId="0" applyNumberFormat="1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177" fontId="6" fillId="0" borderId="17" xfId="0" applyNumberFormat="1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177" fontId="6" fillId="0" borderId="18" xfId="0" applyNumberFormat="1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176" fontId="6" fillId="0" borderId="16" xfId="0" applyNumberFormat="1" applyFont="1" applyBorder="1" applyAlignment="1">
      <alignment vertical="center"/>
    </xf>
    <xf numFmtId="176" fontId="6" fillId="2" borderId="16" xfId="0" applyNumberFormat="1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176" fontId="5" fillId="0" borderId="16" xfId="0" applyNumberFormat="1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176" fontId="6" fillId="0" borderId="17" xfId="0" applyNumberFormat="1" applyFont="1" applyBorder="1" applyAlignment="1">
      <alignment vertical="center"/>
    </xf>
    <xf numFmtId="176" fontId="6" fillId="2" borderId="17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176" fontId="5" fillId="0" borderId="17" xfId="0" applyNumberFormat="1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176" fontId="6" fillId="0" borderId="18" xfId="0" applyNumberFormat="1" applyFont="1" applyBorder="1" applyAlignment="1">
      <alignment vertical="center"/>
    </xf>
    <xf numFmtId="176" fontId="6" fillId="2" borderId="18" xfId="0" applyNumberFormat="1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176" fontId="5" fillId="0" borderId="18" xfId="0" applyNumberFormat="1" applyFont="1" applyBorder="1" applyAlignment="1">
      <alignment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3" fontId="13" fillId="0" borderId="0" xfId="0" applyNumberFormat="1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178" fontId="6" fillId="0" borderId="16" xfId="0" applyNumberFormat="1" applyFont="1" applyBorder="1">
      <alignment vertical="center"/>
    </xf>
    <xf numFmtId="178" fontId="6" fillId="0" borderId="17" xfId="0" applyNumberFormat="1" applyFont="1" applyBorder="1">
      <alignment vertical="center"/>
    </xf>
    <xf numFmtId="178" fontId="6" fillId="0" borderId="18" xfId="0" applyNumberFormat="1" applyFont="1" applyBorder="1">
      <alignment vertical="center"/>
    </xf>
    <xf numFmtId="178" fontId="6" fillId="0" borderId="1" xfId="0" applyNumberFormat="1" applyFont="1" applyBorder="1">
      <alignment vertical="center"/>
    </xf>
    <xf numFmtId="3" fontId="14" fillId="0" borderId="16" xfId="0" applyNumberFormat="1" applyFont="1" applyBorder="1" applyAlignment="1">
      <alignment horizontal="center" vertical="center" wrapText="1"/>
    </xf>
    <xf numFmtId="3" fontId="14" fillId="0" borderId="17" xfId="0" applyNumberFormat="1" applyFont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3" fontId="14" fillId="3" borderId="17" xfId="0" applyNumberFormat="1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178" fontId="6" fillId="3" borderId="17" xfId="0" applyNumberFormat="1" applyFont="1" applyFill="1" applyBorder="1">
      <alignment vertical="center"/>
    </xf>
    <xf numFmtId="0" fontId="0" fillId="0" borderId="0" xfId="0" applyFont="1">
      <alignment vertical="center"/>
    </xf>
    <xf numFmtId="20" fontId="13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/>
    </xf>
    <xf numFmtId="20" fontId="14" fillId="0" borderId="16" xfId="0" applyNumberFormat="1" applyFont="1" applyBorder="1" applyAlignment="1">
      <alignment horizontal="center" vertical="center" wrapText="1"/>
    </xf>
    <xf numFmtId="20" fontId="14" fillId="0" borderId="16" xfId="0" applyNumberFormat="1" applyFont="1" applyFill="1" applyBorder="1" applyAlignment="1">
      <alignment horizontal="center" vertical="center" wrapText="1"/>
    </xf>
    <xf numFmtId="20" fontId="14" fillId="0" borderId="17" xfId="0" applyNumberFormat="1" applyFont="1" applyBorder="1" applyAlignment="1">
      <alignment horizontal="center" vertical="center" wrapText="1"/>
    </xf>
    <xf numFmtId="20" fontId="14" fillId="0" borderId="17" xfId="0" applyNumberFormat="1" applyFont="1" applyFill="1" applyBorder="1" applyAlignment="1">
      <alignment horizontal="center" vertical="center" wrapText="1"/>
    </xf>
    <xf numFmtId="20" fontId="14" fillId="0" borderId="18" xfId="0" applyNumberFormat="1" applyFont="1" applyBorder="1" applyAlignment="1">
      <alignment horizontal="center" vertical="center" wrapText="1"/>
    </xf>
    <xf numFmtId="20" fontId="14" fillId="0" borderId="18" xfId="0" applyNumberFormat="1" applyFont="1" applyFill="1" applyBorder="1" applyAlignment="1">
      <alignment horizontal="center" vertical="center" wrapText="1"/>
    </xf>
    <xf numFmtId="178" fontId="14" fillId="0" borderId="16" xfId="0" applyNumberFormat="1" applyFont="1" applyFill="1" applyBorder="1" applyAlignment="1">
      <alignment vertical="center" wrapText="1"/>
    </xf>
    <xf numFmtId="178" fontId="14" fillId="0" borderId="17" xfId="0" applyNumberFormat="1" applyFont="1" applyFill="1" applyBorder="1" applyAlignment="1">
      <alignment vertical="center" wrapText="1"/>
    </xf>
    <xf numFmtId="178" fontId="14" fillId="0" borderId="18" xfId="0" applyNumberFormat="1" applyFont="1" applyFill="1" applyBorder="1" applyAlignment="1">
      <alignment vertical="center" wrapText="1"/>
    </xf>
    <xf numFmtId="178" fontId="6" fillId="0" borderId="1" xfId="0" applyNumberFormat="1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78" fontId="13" fillId="0" borderId="1" xfId="0" applyNumberFormat="1" applyFont="1" applyBorder="1" applyAlignment="1">
      <alignment vertical="center" wrapText="1"/>
    </xf>
    <xf numFmtId="178" fontId="14" fillId="0" borderId="1" xfId="0" applyNumberFormat="1" applyFont="1" applyBorder="1" applyAlignment="1">
      <alignment vertical="center" wrapText="1"/>
    </xf>
    <xf numFmtId="178" fontId="14" fillId="0" borderId="16" xfId="0" applyNumberFormat="1" applyFont="1" applyBorder="1" applyAlignment="1">
      <alignment vertical="center" wrapText="1"/>
    </xf>
    <xf numFmtId="178" fontId="14" fillId="0" borderId="17" xfId="0" applyNumberFormat="1" applyFont="1" applyBorder="1" applyAlignment="1">
      <alignment vertical="center" wrapText="1"/>
    </xf>
    <xf numFmtId="178" fontId="14" fillId="0" borderId="18" xfId="0" applyNumberFormat="1" applyFont="1" applyBorder="1" applyAlignment="1">
      <alignment vertical="center" wrapText="1"/>
    </xf>
    <xf numFmtId="178" fontId="12" fillId="0" borderId="1" xfId="0" applyNumberFormat="1" applyFont="1" applyBorder="1" applyAlignment="1">
      <alignment vertical="center"/>
    </xf>
    <xf numFmtId="9" fontId="12" fillId="0" borderId="1" xfId="1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178" fontId="12" fillId="0" borderId="1" xfId="0" applyNumberFormat="1" applyFont="1" applyBorder="1" applyAlignment="1">
      <alignment horizontal="center" vertical="center"/>
    </xf>
    <xf numFmtId="179" fontId="13" fillId="0" borderId="1" xfId="0" applyNumberFormat="1" applyFont="1" applyBorder="1" applyAlignment="1">
      <alignment vertical="center" wrapText="1"/>
    </xf>
    <xf numFmtId="179" fontId="13" fillId="0" borderId="1" xfId="0" applyNumberFormat="1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178" fontId="6" fillId="2" borderId="1" xfId="0" applyNumberFormat="1" applyFont="1" applyFill="1" applyBorder="1">
      <alignment vertical="center"/>
    </xf>
    <xf numFmtId="178" fontId="6" fillId="2" borderId="1" xfId="0" applyNumberFormat="1" applyFont="1" applyFill="1" applyBorder="1" applyAlignment="1">
      <alignment vertical="center"/>
    </xf>
    <xf numFmtId="179" fontId="14" fillId="0" borderId="16" xfId="0" applyNumberFormat="1" applyFont="1" applyBorder="1" applyAlignment="1">
      <alignment horizontal="center" vertical="center" wrapText="1"/>
    </xf>
    <xf numFmtId="179" fontId="14" fillId="0" borderId="17" xfId="0" applyNumberFormat="1" applyFont="1" applyBorder="1" applyAlignment="1">
      <alignment horizontal="center" vertical="center" wrapText="1"/>
    </xf>
    <xf numFmtId="179" fontId="14" fillId="0" borderId="18" xfId="0" applyNumberFormat="1" applyFont="1" applyBorder="1" applyAlignment="1">
      <alignment horizontal="center" vertical="center" wrapText="1"/>
    </xf>
    <xf numFmtId="178" fontId="14" fillId="2" borderId="1" xfId="0" applyNumberFormat="1" applyFont="1" applyFill="1" applyBorder="1" applyAlignment="1">
      <alignment vertical="center" wrapText="1"/>
    </xf>
    <xf numFmtId="177" fontId="6" fillId="2" borderId="1" xfId="0" applyNumberFormat="1" applyFont="1" applyFill="1" applyBorder="1" applyAlignment="1">
      <alignment vertical="center"/>
    </xf>
    <xf numFmtId="177" fontId="5" fillId="2" borderId="1" xfId="0" applyNumberFormat="1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vertical="center"/>
    </xf>
    <xf numFmtId="180" fontId="6" fillId="0" borderId="0" xfId="0" applyNumberFormat="1" applyFont="1">
      <alignment vertical="center"/>
    </xf>
    <xf numFmtId="177" fontId="6" fillId="0" borderId="16" xfId="0" applyNumberFormat="1" applyFont="1" applyFill="1" applyBorder="1" applyAlignment="1">
      <alignment vertical="center"/>
    </xf>
    <xf numFmtId="177" fontId="6" fillId="0" borderId="17" xfId="0" applyNumberFormat="1" applyFont="1" applyFill="1" applyBorder="1" applyAlignment="1">
      <alignment vertical="center"/>
    </xf>
    <xf numFmtId="177" fontId="6" fillId="0" borderId="18" xfId="0" applyNumberFormat="1" applyFont="1" applyFill="1" applyBorder="1" applyAlignment="1">
      <alignment vertical="center"/>
    </xf>
    <xf numFmtId="176" fontId="14" fillId="2" borderId="16" xfId="0" applyNumberFormat="1" applyFont="1" applyFill="1" applyBorder="1" applyAlignment="1">
      <alignment vertical="center" wrapText="1"/>
    </xf>
    <xf numFmtId="176" fontId="6" fillId="0" borderId="0" xfId="0" applyNumberFormat="1" applyFont="1">
      <alignment vertical="center"/>
    </xf>
    <xf numFmtId="0" fontId="6" fillId="0" borderId="0" xfId="0" quotePrefix="1" applyFont="1">
      <alignment vertical="center"/>
    </xf>
    <xf numFmtId="0" fontId="14" fillId="0" borderId="1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 wrapText="1"/>
    </xf>
    <xf numFmtId="178" fontId="6" fillId="0" borderId="16" xfId="0" applyNumberFormat="1" applyFont="1" applyFill="1" applyBorder="1" applyAlignment="1">
      <alignment vertical="center"/>
    </xf>
    <xf numFmtId="9" fontId="6" fillId="0" borderId="16" xfId="1" applyNumberFormat="1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178" fontId="6" fillId="0" borderId="17" xfId="0" applyNumberFormat="1" applyFont="1" applyFill="1" applyBorder="1" applyAlignment="1">
      <alignment vertical="center"/>
    </xf>
    <xf numFmtId="9" fontId="6" fillId="0" borderId="17" xfId="1" applyNumberFormat="1" applyFont="1" applyFill="1" applyBorder="1" applyAlignment="1">
      <alignment vertical="center"/>
    </xf>
    <xf numFmtId="0" fontId="14" fillId="0" borderId="18" xfId="0" applyFont="1" applyFill="1" applyBorder="1" applyAlignment="1">
      <alignment horizontal="center" vertical="center" wrapText="1"/>
    </xf>
    <xf numFmtId="178" fontId="6" fillId="0" borderId="18" xfId="0" applyNumberFormat="1" applyFont="1" applyFill="1" applyBorder="1" applyAlignment="1">
      <alignment vertical="center"/>
    </xf>
    <xf numFmtId="9" fontId="6" fillId="0" borderId="18" xfId="1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ko-KR" altLang="en-US" u="sng"/>
              <a:t>폐쇄항로 국가의 이익금 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strRef>
              <c:f>SP1완!$G$3</c:f>
              <c:strCache>
                <c:ptCount val="1"/>
                <c:pt idx="0">
                  <c:v>순이익금</c:v>
                </c:pt>
              </c:strCache>
            </c:strRef>
          </c:tx>
          <c:invertIfNegative val="0"/>
          <c:cat>
            <c:strRef>
              <c:f>SP1완!$A$18:$A$23</c:f>
              <c:strCache>
                <c:ptCount val="6"/>
                <c:pt idx="0">
                  <c:v>일본</c:v>
                </c:pt>
                <c:pt idx="1">
                  <c:v>호주</c:v>
                </c:pt>
                <c:pt idx="2">
                  <c:v>한국</c:v>
                </c:pt>
                <c:pt idx="3">
                  <c:v>러시아</c:v>
                </c:pt>
                <c:pt idx="4">
                  <c:v>영국</c:v>
                </c:pt>
                <c:pt idx="5">
                  <c:v>폴란드</c:v>
                </c:pt>
              </c:strCache>
            </c:strRef>
          </c:cat>
          <c:val>
            <c:numRef>
              <c:f>SP1완!$G$18:$G$23</c:f>
              <c:numCache>
                <c:formatCode>"₩"#,##0_);[Red]\("₩"#,##0\)</c:formatCode>
                <c:ptCount val="6"/>
                <c:pt idx="0">
                  <c:v>7900</c:v>
                </c:pt>
                <c:pt idx="1">
                  <c:v>51300</c:v>
                </c:pt>
                <c:pt idx="2">
                  <c:v>61300</c:v>
                </c:pt>
                <c:pt idx="3">
                  <c:v>63300</c:v>
                </c:pt>
                <c:pt idx="4">
                  <c:v>65300</c:v>
                </c:pt>
                <c:pt idx="5">
                  <c:v>84100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E-4C10-AD3E-3BC2A448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96640"/>
        <c:axId val="52002816"/>
      </c:barChart>
      <c:lineChart>
        <c:grouping val="standard"/>
        <c:varyColors val="0"/>
        <c:ser>
          <c:idx val="1"/>
          <c:order val="0"/>
          <c:tx>
            <c:strRef>
              <c:f>SP1완!$C$3</c:f>
              <c:strCache>
                <c:ptCount val="1"/>
                <c:pt idx="0">
                  <c:v>수익</c:v>
                </c:pt>
              </c:strCache>
            </c:strRef>
          </c:tx>
          <c:cat>
            <c:strRef>
              <c:f>SP1완!$A$18:$A$23</c:f>
              <c:strCache>
                <c:ptCount val="6"/>
                <c:pt idx="0">
                  <c:v>일본</c:v>
                </c:pt>
                <c:pt idx="1">
                  <c:v>호주</c:v>
                </c:pt>
                <c:pt idx="2">
                  <c:v>한국</c:v>
                </c:pt>
                <c:pt idx="3">
                  <c:v>러시아</c:v>
                </c:pt>
                <c:pt idx="4">
                  <c:v>영국</c:v>
                </c:pt>
                <c:pt idx="5">
                  <c:v>폴란드</c:v>
                </c:pt>
              </c:strCache>
            </c:strRef>
          </c:cat>
          <c:val>
            <c:numRef>
              <c:f>SP1완!$C$18:$C$23</c:f>
              <c:numCache>
                <c:formatCode>"₩"#,##0_);[Red]\("₩"#,##0\)</c:formatCode>
                <c:ptCount val="6"/>
                <c:pt idx="0">
                  <c:v>10000</c:v>
                </c:pt>
                <c:pt idx="1">
                  <c:v>70000</c:v>
                </c:pt>
                <c:pt idx="2">
                  <c:v>70000</c:v>
                </c:pt>
                <c:pt idx="3">
                  <c:v>70000</c:v>
                </c:pt>
                <c:pt idx="4">
                  <c:v>70000</c:v>
                </c:pt>
                <c:pt idx="5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E-4C10-AD3E-3BC2A448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96640"/>
        <c:axId val="52002816"/>
      </c:lineChart>
      <c:catAx>
        <c:axId val="5329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국가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2002816"/>
        <c:crosses val="autoZero"/>
        <c:auto val="1"/>
        <c:lblAlgn val="ctr"/>
        <c:lblOffset val="100"/>
        <c:noMultiLvlLbl val="0"/>
      </c:catAx>
      <c:valAx>
        <c:axId val="52002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overlay val="0"/>
        </c:title>
        <c:numFmt formatCode="&quot;₩&quot;#,##0_);[Red]\(&quot;₩&quot;#,##0\)" sourceLinked="1"/>
        <c:majorTickMark val="out"/>
        <c:minorTickMark val="none"/>
        <c:tickLblPos val="nextTo"/>
        <c:crossAx val="53296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학생별 성적현황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SP2완!$F$2</c:f>
              <c:strCache>
                <c:ptCount val="1"/>
                <c:pt idx="0">
                  <c:v>총점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SP2완!$A$3:$A$9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신명훈</c:v>
                </c:pt>
                <c:pt idx="3">
                  <c:v>송대관</c:v>
                </c:pt>
                <c:pt idx="4">
                  <c:v>박현정</c:v>
                </c:pt>
                <c:pt idx="5">
                  <c:v>홍길동</c:v>
                </c:pt>
                <c:pt idx="6">
                  <c:v>김찬진</c:v>
                </c:pt>
              </c:strCache>
            </c:strRef>
          </c:cat>
          <c:val>
            <c:numRef>
              <c:f>SP2완!$F$3:$F$9</c:f>
              <c:numCache>
                <c:formatCode>0_ </c:formatCode>
                <c:ptCount val="7"/>
                <c:pt idx="0">
                  <c:v>85.600000000000009</c:v>
                </c:pt>
                <c:pt idx="1">
                  <c:v>76.2</c:v>
                </c:pt>
                <c:pt idx="2">
                  <c:v>84.4</c:v>
                </c:pt>
                <c:pt idx="3">
                  <c:v>76.800000000000011</c:v>
                </c:pt>
                <c:pt idx="4">
                  <c:v>72</c:v>
                </c:pt>
                <c:pt idx="5">
                  <c:v>72.400000000000006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7-4EA1-9B08-EE1846CAC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08160"/>
        <c:axId val="52005696"/>
      </c:barChart>
      <c:lineChart>
        <c:grouping val="standard"/>
        <c:varyColors val="0"/>
        <c:ser>
          <c:idx val="1"/>
          <c:order val="1"/>
          <c:tx>
            <c:strRef>
              <c:f>SP2완!$G$2</c:f>
              <c:strCache>
                <c:ptCount val="1"/>
                <c:pt idx="0">
                  <c:v>조정점수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SP2완!$A$3:$A$9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신명훈</c:v>
                </c:pt>
                <c:pt idx="3">
                  <c:v>송대관</c:v>
                </c:pt>
                <c:pt idx="4">
                  <c:v>박현정</c:v>
                </c:pt>
                <c:pt idx="5">
                  <c:v>홍길동</c:v>
                </c:pt>
                <c:pt idx="6">
                  <c:v>김찬진</c:v>
                </c:pt>
              </c:strCache>
            </c:strRef>
          </c:cat>
          <c:val>
            <c:numRef>
              <c:f>SP2완!$G$3:$G$9</c:f>
              <c:numCache>
                <c:formatCode>0_ 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8.7000000000000011</c:v>
                </c:pt>
                <c:pt idx="3">
                  <c:v>16</c:v>
                </c:pt>
                <c:pt idx="4">
                  <c:v>15.600000000000001</c:v>
                </c:pt>
                <c:pt idx="5">
                  <c:v>14.4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E7-4EA1-9B08-EE1846CAC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08160"/>
        <c:axId val="52005696"/>
      </c:lineChart>
      <c:catAx>
        <c:axId val="5730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학생이름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2005696"/>
        <c:crosses val="autoZero"/>
        <c:auto val="1"/>
        <c:lblAlgn val="ctr"/>
        <c:lblOffset val="100"/>
        <c:noMultiLvlLbl val="0"/>
      </c:catAx>
      <c:valAx>
        <c:axId val="52005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점수</a:t>
                </a:r>
              </a:p>
            </c:rich>
          </c:tx>
          <c:overlay val="0"/>
        </c:title>
        <c:numFmt formatCode="0_ " sourceLinked="1"/>
        <c:majorTickMark val="out"/>
        <c:minorTickMark val="none"/>
        <c:tickLblPos val="nextTo"/>
        <c:crossAx val="5730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전자은행 고객 대출 금액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SP3완!$I$4</c:f>
              <c:strCache>
                <c:ptCount val="1"/>
                <c:pt idx="0">
                  <c:v>잔액</c:v>
                </c:pt>
              </c:strCache>
            </c:strRef>
          </c:tx>
          <c:invertIfNegative val="0"/>
          <c:cat>
            <c:strRef>
              <c:f>SP3완!$C$11:$C$18</c:f>
              <c:strCache>
                <c:ptCount val="8"/>
                <c:pt idx="0">
                  <c:v>곽수지 </c:v>
                </c:pt>
                <c:pt idx="1">
                  <c:v>김종남 </c:v>
                </c:pt>
                <c:pt idx="2">
                  <c:v>정연수 </c:v>
                </c:pt>
                <c:pt idx="3">
                  <c:v>송춘석 </c:v>
                </c:pt>
                <c:pt idx="4">
                  <c:v>임지영 </c:v>
                </c:pt>
                <c:pt idx="5">
                  <c:v>박종식 </c:v>
                </c:pt>
                <c:pt idx="6">
                  <c:v>하석태 </c:v>
                </c:pt>
                <c:pt idx="7">
                  <c:v>전은미 </c:v>
                </c:pt>
              </c:strCache>
            </c:strRef>
          </c:cat>
          <c:val>
            <c:numRef>
              <c:f>SP3완!$I$11:$I$18</c:f>
              <c:numCache>
                <c:formatCode>"₩"#,##0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8-4BCC-95FE-FBD85EEB9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307648"/>
        <c:axId val="52009152"/>
      </c:barChart>
      <c:lineChart>
        <c:grouping val="standard"/>
        <c:varyColors val="0"/>
        <c:ser>
          <c:idx val="1"/>
          <c:order val="1"/>
          <c:tx>
            <c:strRef>
              <c:f>SP3완!$K$4</c:f>
              <c:strCache>
                <c:ptCount val="1"/>
                <c:pt idx="0">
                  <c:v>대출가능액</c:v>
                </c:pt>
              </c:strCache>
            </c:strRef>
          </c:tx>
          <c:cat>
            <c:strRef>
              <c:f>SP3완!$C$11:$C$18</c:f>
              <c:strCache>
                <c:ptCount val="8"/>
                <c:pt idx="0">
                  <c:v>곽수지 </c:v>
                </c:pt>
                <c:pt idx="1">
                  <c:v>김종남 </c:v>
                </c:pt>
                <c:pt idx="2">
                  <c:v>정연수 </c:v>
                </c:pt>
                <c:pt idx="3">
                  <c:v>송춘석 </c:v>
                </c:pt>
                <c:pt idx="4">
                  <c:v>임지영 </c:v>
                </c:pt>
                <c:pt idx="5">
                  <c:v>박종식 </c:v>
                </c:pt>
                <c:pt idx="6">
                  <c:v>하석태 </c:v>
                </c:pt>
                <c:pt idx="7">
                  <c:v>전은미 </c:v>
                </c:pt>
              </c:strCache>
            </c:strRef>
          </c:cat>
          <c:val>
            <c:numRef>
              <c:f>SP3완!$K$11:$K$18</c:f>
              <c:numCache>
                <c:formatCode>"₩"#,##0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8-4BCC-95FE-FBD85EEB9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07648"/>
        <c:axId val="52009152"/>
      </c:lineChart>
      <c:catAx>
        <c:axId val="5730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고객명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2009152"/>
        <c:crosses val="autoZero"/>
        <c:auto val="1"/>
        <c:lblAlgn val="ctr"/>
        <c:lblOffset val="100"/>
        <c:noMultiLvlLbl val="0"/>
      </c:catAx>
      <c:valAx>
        <c:axId val="52009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overlay val="0"/>
        </c:title>
        <c:numFmt formatCode="&quot;₩&quot;#,##0" sourceLinked="1"/>
        <c:majorTickMark val="out"/>
        <c:minorTickMark val="none"/>
        <c:tickLblPos val="nextTo"/>
        <c:crossAx val="57307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부서별 지급 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SP4완!$F$33</c:f>
              <c:strCache>
                <c:ptCount val="1"/>
                <c:pt idx="0">
                  <c:v>지급액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SP4완!$D$34:$D$36</c:f>
              <c:strCache>
                <c:ptCount val="3"/>
                <c:pt idx="0">
                  <c:v>시설과</c:v>
                </c:pt>
                <c:pt idx="1">
                  <c:v>관리과</c:v>
                </c:pt>
                <c:pt idx="2">
                  <c:v>재무과</c:v>
                </c:pt>
              </c:strCache>
            </c:strRef>
          </c:cat>
          <c:val>
            <c:numRef>
              <c:f>SP4완!$F$34:$F$36</c:f>
              <c:numCache>
                <c:formatCode>"₩"#,##0_);[Red]\("₩"#,##0\)</c:formatCode>
                <c:ptCount val="3"/>
                <c:pt idx="0">
                  <c:v>144640</c:v>
                </c:pt>
                <c:pt idx="1">
                  <c:v>348480</c:v>
                </c:pt>
                <c:pt idx="2">
                  <c:v>304800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8-43DD-B81B-FDCFDF667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38560"/>
        <c:axId val="52019776"/>
      </c:barChart>
      <c:lineChart>
        <c:grouping val="standard"/>
        <c:varyColors val="0"/>
        <c:ser>
          <c:idx val="0"/>
          <c:order val="0"/>
          <c:tx>
            <c:strRef>
              <c:f>SP4완!$E$33</c:f>
              <c:strCache>
                <c:ptCount val="1"/>
                <c:pt idx="0">
                  <c:v>당일금액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SP4완!$D$34:$D$36</c:f>
              <c:strCache>
                <c:ptCount val="3"/>
                <c:pt idx="0">
                  <c:v>시설과</c:v>
                </c:pt>
                <c:pt idx="1">
                  <c:v>관리과</c:v>
                </c:pt>
                <c:pt idx="2">
                  <c:v>재무과</c:v>
                </c:pt>
              </c:strCache>
            </c:strRef>
          </c:cat>
          <c:val>
            <c:numRef>
              <c:f>SP4완!$E$34:$E$36</c:f>
              <c:numCache>
                <c:formatCode>"₩"#,##0_);[Red]\("₩"#,##0\)</c:formatCode>
                <c:ptCount val="3"/>
                <c:pt idx="0">
                  <c:v>120640</c:v>
                </c:pt>
                <c:pt idx="1">
                  <c:v>276480</c:v>
                </c:pt>
                <c:pt idx="2">
                  <c:v>240800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8-43DD-B81B-FDCFDF667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8560"/>
        <c:axId val="52019776"/>
      </c:lineChart>
      <c:catAx>
        <c:axId val="4953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근무부서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2019776"/>
        <c:crosses val="autoZero"/>
        <c:auto val="1"/>
        <c:lblAlgn val="ctr"/>
        <c:lblOffset val="100"/>
        <c:noMultiLvlLbl val="0"/>
      </c:catAx>
      <c:valAx>
        <c:axId val="52019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overlay val="0"/>
        </c:title>
        <c:numFmt formatCode="&quot;₩&quot;#,##0_);[Red]\(&quot;₩&quot;#,##0\)" sourceLinked="1"/>
        <c:majorTickMark val="out"/>
        <c:minorTickMark val="none"/>
        <c:tickLblPos val="nextTo"/>
        <c:crossAx val="49538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지역별 비용 지출 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SP5완료!$D$3</c:f>
              <c:strCache>
                <c:ptCount val="1"/>
                <c:pt idx="0">
                  <c:v>저축</c:v>
                </c:pt>
              </c:strCache>
            </c:strRef>
          </c:tx>
          <c:invertIfNegative val="0"/>
          <c:cat>
            <c:strRef>
              <c:f>SP5완료!$A$4:$A$8</c:f>
              <c:strCache>
                <c:ptCount val="5"/>
                <c:pt idx="0">
                  <c:v>부산</c:v>
                </c:pt>
                <c:pt idx="1">
                  <c:v>울산</c:v>
                </c:pt>
                <c:pt idx="2">
                  <c:v>서울</c:v>
                </c:pt>
                <c:pt idx="3">
                  <c:v>광주</c:v>
                </c:pt>
                <c:pt idx="4">
                  <c:v>부산</c:v>
                </c:pt>
              </c:strCache>
            </c:strRef>
          </c:cat>
          <c:val>
            <c:numRef>
              <c:f>SP5완료!$D$4:$D$8</c:f>
              <c:numCache>
                <c:formatCode>"₩"#,##0</c:formatCode>
                <c:ptCount val="5"/>
                <c:pt idx="0">
                  <c:v>1140000</c:v>
                </c:pt>
                <c:pt idx="1">
                  <c:v>900000</c:v>
                </c:pt>
                <c:pt idx="2">
                  <c:v>600000</c:v>
                </c:pt>
                <c:pt idx="3">
                  <c:v>850000</c:v>
                </c:pt>
                <c:pt idx="4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6-475A-8587-92811C4DDA88}"/>
            </c:ext>
          </c:extLst>
        </c:ser>
        <c:ser>
          <c:idx val="1"/>
          <c:order val="1"/>
          <c:tx>
            <c:strRef>
              <c:f>SP5완료!$E$3</c:f>
              <c:strCache>
                <c:ptCount val="1"/>
                <c:pt idx="0">
                  <c:v>여유자금</c:v>
                </c:pt>
              </c:strCache>
            </c:strRef>
          </c:tx>
          <c:invertIfNegative val="0"/>
          <c:cat>
            <c:strRef>
              <c:f>SP5완료!$A$4:$A$8</c:f>
              <c:strCache>
                <c:ptCount val="5"/>
                <c:pt idx="0">
                  <c:v>부산</c:v>
                </c:pt>
                <c:pt idx="1">
                  <c:v>울산</c:v>
                </c:pt>
                <c:pt idx="2">
                  <c:v>서울</c:v>
                </c:pt>
                <c:pt idx="3">
                  <c:v>광주</c:v>
                </c:pt>
                <c:pt idx="4">
                  <c:v>부산</c:v>
                </c:pt>
              </c:strCache>
            </c:strRef>
          </c:cat>
          <c:val>
            <c:numRef>
              <c:f>SP5완료!$E$4:$E$8</c:f>
              <c:numCache>
                <c:formatCode>"₩"#,##0</c:formatCode>
                <c:ptCount val="5"/>
                <c:pt idx="0">
                  <c:v>260000</c:v>
                </c:pt>
                <c:pt idx="1">
                  <c:v>250000</c:v>
                </c:pt>
                <c:pt idx="2">
                  <c:v>200000</c:v>
                </c:pt>
                <c:pt idx="3">
                  <c:v>350000</c:v>
                </c:pt>
                <c:pt idx="4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6-475A-8587-92811C4DD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60192"/>
        <c:axId val="52024384"/>
      </c:barChart>
      <c:lineChart>
        <c:grouping val="standard"/>
        <c:varyColors val="0"/>
        <c:ser>
          <c:idx val="2"/>
          <c:order val="2"/>
          <c:tx>
            <c:strRef>
              <c:f>SP5완료!$F$3</c:f>
              <c:strCache>
                <c:ptCount val="1"/>
                <c:pt idx="0">
                  <c:v>잡비</c:v>
                </c:pt>
              </c:strCache>
            </c:strRef>
          </c:tx>
          <c:cat>
            <c:strRef>
              <c:f>SP5완료!$A$4:$A$8</c:f>
              <c:strCache>
                <c:ptCount val="5"/>
                <c:pt idx="0">
                  <c:v>부산</c:v>
                </c:pt>
                <c:pt idx="1">
                  <c:v>울산</c:v>
                </c:pt>
                <c:pt idx="2">
                  <c:v>서울</c:v>
                </c:pt>
                <c:pt idx="3">
                  <c:v>광주</c:v>
                </c:pt>
                <c:pt idx="4">
                  <c:v>부산</c:v>
                </c:pt>
              </c:strCache>
            </c:strRef>
          </c:cat>
          <c:val>
            <c:numRef>
              <c:f>SP5완료!$F$4:$F$8</c:f>
              <c:numCache>
                <c:formatCode>"₩"#,##0</c:formatCode>
                <c:ptCount val="5"/>
                <c:pt idx="0">
                  <c:v>1050000</c:v>
                </c:pt>
                <c:pt idx="1">
                  <c:v>2650000</c:v>
                </c:pt>
                <c:pt idx="2">
                  <c:v>400000</c:v>
                </c:pt>
                <c:pt idx="3">
                  <c:v>1500000</c:v>
                </c:pt>
                <c:pt idx="4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76-475A-8587-92811C4DD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60192"/>
        <c:axId val="52024384"/>
      </c:lineChart>
      <c:catAx>
        <c:axId val="5076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지역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2024384"/>
        <c:crosses val="autoZero"/>
        <c:auto val="1"/>
        <c:lblAlgn val="ctr"/>
        <c:lblOffset val="100"/>
        <c:noMultiLvlLbl val="0"/>
      </c:catAx>
      <c:valAx>
        <c:axId val="52024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overlay val="0"/>
        </c:title>
        <c:numFmt formatCode="&quot;₩&quot;#,##0" sourceLinked="1"/>
        <c:majorTickMark val="out"/>
        <c:minorTickMark val="none"/>
        <c:tickLblPos val="nextTo"/>
        <c:crossAx val="50760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렌트 현황 분석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SP6완!$H$3</c:f>
              <c:strCache>
                <c:ptCount val="1"/>
                <c:pt idx="0">
                  <c:v>부가요금</c:v>
                </c:pt>
              </c:strCache>
            </c:strRef>
          </c:tx>
          <c:invertIfNegative val="0"/>
          <c:cat>
            <c:strRef>
              <c:f>SP6완!$A$18:$A$23</c:f>
              <c:strCache>
                <c:ptCount val="6"/>
                <c:pt idx="0">
                  <c:v>서영준 </c:v>
                </c:pt>
                <c:pt idx="1">
                  <c:v>윤나영 </c:v>
                </c:pt>
                <c:pt idx="2">
                  <c:v>이수현 </c:v>
                </c:pt>
                <c:pt idx="3">
                  <c:v>조성진 </c:v>
                </c:pt>
                <c:pt idx="4">
                  <c:v>권은경 </c:v>
                </c:pt>
                <c:pt idx="5">
                  <c:v>이명진 </c:v>
                </c:pt>
              </c:strCache>
            </c:strRef>
          </c:cat>
          <c:val>
            <c:numRef>
              <c:f>SP6완!$H$18:$H$23</c:f>
              <c:numCache>
                <c:formatCode>"₩"#,##0</c:formatCode>
                <c:ptCount val="6"/>
                <c:pt idx="0">
                  <c:v>100000</c:v>
                </c:pt>
                <c:pt idx="1">
                  <c:v>500000</c:v>
                </c:pt>
                <c:pt idx="2">
                  <c:v>600000</c:v>
                </c:pt>
                <c:pt idx="3">
                  <c:v>960000</c:v>
                </c:pt>
                <c:pt idx="4">
                  <c:v>1600000</c:v>
                </c:pt>
                <c:pt idx="5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2-4EA9-839F-0D5A2A65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295232"/>
        <c:axId val="52895744"/>
      </c:barChart>
      <c:lineChart>
        <c:grouping val="standard"/>
        <c:varyColors val="0"/>
        <c:ser>
          <c:idx val="1"/>
          <c:order val="1"/>
          <c:tx>
            <c:strRef>
              <c:f>SP6완!$I$3</c:f>
              <c:strCache>
                <c:ptCount val="1"/>
                <c:pt idx="0">
                  <c:v>합계금액</c:v>
                </c:pt>
              </c:strCache>
            </c:strRef>
          </c:tx>
          <c:cat>
            <c:strRef>
              <c:f>SP6완!$A$18:$A$23</c:f>
              <c:strCache>
                <c:ptCount val="6"/>
                <c:pt idx="0">
                  <c:v>서영준 </c:v>
                </c:pt>
                <c:pt idx="1">
                  <c:v>윤나영 </c:v>
                </c:pt>
                <c:pt idx="2">
                  <c:v>이수현 </c:v>
                </c:pt>
                <c:pt idx="3">
                  <c:v>조성진 </c:v>
                </c:pt>
                <c:pt idx="4">
                  <c:v>권은경 </c:v>
                </c:pt>
                <c:pt idx="5">
                  <c:v>이명진 </c:v>
                </c:pt>
              </c:strCache>
            </c:strRef>
          </c:cat>
          <c:val>
            <c:numRef>
              <c:f>SP6완!$I$18:$I$23</c:f>
              <c:numCache>
                <c:formatCode>"₩"#,##0</c:formatCode>
                <c:ptCount val="6"/>
                <c:pt idx="0">
                  <c:v>250000</c:v>
                </c:pt>
                <c:pt idx="1">
                  <c:v>700000</c:v>
                </c:pt>
                <c:pt idx="2">
                  <c:v>800000</c:v>
                </c:pt>
                <c:pt idx="3">
                  <c:v>1360000</c:v>
                </c:pt>
                <c:pt idx="4">
                  <c:v>2000000</c:v>
                </c:pt>
                <c:pt idx="5">
                  <c:v>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2-4EA9-839F-0D5A2A65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95232"/>
        <c:axId val="52895744"/>
      </c:lineChart>
      <c:catAx>
        <c:axId val="5129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대여자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2895744"/>
        <c:crosses val="autoZero"/>
        <c:auto val="1"/>
        <c:lblAlgn val="ctr"/>
        <c:lblOffset val="100"/>
        <c:noMultiLvlLbl val="0"/>
      </c:catAx>
      <c:valAx>
        <c:axId val="52895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overlay val="0"/>
        </c:title>
        <c:numFmt formatCode="&quot;₩&quot;#,##0" sourceLinked="1"/>
        <c:majorTickMark val="out"/>
        <c:minorTickMark val="none"/>
        <c:tickLblPos val="nextTo"/>
        <c:crossAx val="5129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52551</xdr:rowOff>
    </xdr:from>
    <xdr:to>
      <xdr:col>9</xdr:col>
      <xdr:colOff>571500</xdr:colOff>
      <xdr:row>45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151669</xdr:rowOff>
    </xdr:from>
    <xdr:to>
      <xdr:col>10</xdr:col>
      <xdr:colOff>86335</xdr:colOff>
      <xdr:row>50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7905019"/>
          <a:ext cx="5848960" cy="991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 신뢰도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사고여객기의 수가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이상은 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D”, 4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이상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미만은 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C", 2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이상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미만은 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B",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나머지는 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A"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표시하시오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 항목④를 처리한 결과 “폐쇄”인 셀의 개수를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COUNTIF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함수를 사용하여 처리하시오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COUNTIF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함수의 범위는 절대참조를 사용하고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처리 결과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 서식을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조작하여 숫자 뒤에 단위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(“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개”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출력되도록 하시오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199696</xdr:rowOff>
    </xdr:from>
    <xdr:to>
      <xdr:col>9</xdr:col>
      <xdr:colOff>466397</xdr:colOff>
      <xdr:row>45</xdr:row>
      <xdr:rowOff>26275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57148</xdr:colOff>
      <xdr:row>31</xdr:row>
      <xdr:rowOff>190499</xdr:rowOff>
    </xdr:from>
    <xdr:to>
      <xdr:col>11</xdr:col>
      <xdr:colOff>946150</xdr:colOff>
      <xdr:row>45</xdr:row>
      <xdr:rowOff>44450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95250</xdr:rowOff>
    </xdr:from>
    <xdr:to>
      <xdr:col>8</xdr:col>
      <xdr:colOff>828675</xdr:colOff>
      <xdr:row>45</xdr:row>
      <xdr:rowOff>76199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95250</xdr:rowOff>
    </xdr:from>
    <xdr:to>
      <xdr:col>7</xdr:col>
      <xdr:colOff>466725</xdr:colOff>
      <xdr:row>45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114300</xdr:rowOff>
    </xdr:from>
    <xdr:to>
      <xdr:col>9</xdr:col>
      <xdr:colOff>1009650</xdr:colOff>
      <xdr:row>45</xdr:row>
      <xdr:rowOff>47625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</xdr:colOff>
      <xdr:row>30</xdr:row>
      <xdr:rowOff>190500</xdr:rowOff>
    </xdr:from>
    <xdr:to>
      <xdr:col>18</xdr:col>
      <xdr:colOff>447675</xdr:colOff>
      <xdr:row>37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6505575" y="4886325"/>
          <a:ext cx="590550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 종합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대여자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코드 맨앞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자리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대여일을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함수를 사용하여 예와 같이 표시하십시오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이명진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:C:21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 형태로하십시오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씨 성이면서 코드에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"1"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포함한 각 항목별 합계를 산출하십시오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,SUMPRODUCT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 사용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⑫ 항목 ⑥에 사용된 함수식을 기재하십시오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이명진을 기준으로 하십시오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3:E23"/>
  <sheetViews>
    <sheetView workbookViewId="0">
      <selection activeCell="I16" sqref="I16"/>
    </sheetView>
  </sheetViews>
  <sheetFormatPr defaultRowHeight="16.5" x14ac:dyDescent="0.3"/>
  <sheetData>
    <row r="3" spans="1:5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">
        <v>8</v>
      </c>
      <c r="B4">
        <v>10</v>
      </c>
      <c r="C4" s="1">
        <v>130000</v>
      </c>
      <c r="D4" s="1">
        <v>20000</v>
      </c>
      <c r="E4">
        <v>7</v>
      </c>
    </row>
    <row r="5" spans="1:5" x14ac:dyDescent="0.3">
      <c r="A5" t="s">
        <v>9</v>
      </c>
      <c r="B5">
        <v>4</v>
      </c>
      <c r="C5" s="1">
        <v>70000</v>
      </c>
      <c r="D5" s="1">
        <v>8000</v>
      </c>
      <c r="E5">
        <v>3</v>
      </c>
    </row>
    <row r="6" spans="1:5" x14ac:dyDescent="0.3">
      <c r="A6" t="s">
        <v>10</v>
      </c>
      <c r="B6">
        <v>15</v>
      </c>
      <c r="C6" s="1">
        <v>200000</v>
      </c>
      <c r="D6" s="1">
        <v>26000</v>
      </c>
      <c r="E6">
        <v>9</v>
      </c>
    </row>
    <row r="7" spans="1:5" x14ac:dyDescent="0.3">
      <c r="A7" t="s">
        <v>11</v>
      </c>
      <c r="B7">
        <v>3</v>
      </c>
      <c r="C7" s="1">
        <v>70000</v>
      </c>
      <c r="D7" s="1">
        <v>6000</v>
      </c>
      <c r="E7">
        <v>1</v>
      </c>
    </row>
    <row r="8" spans="1:5" x14ac:dyDescent="0.3">
      <c r="A8" t="s">
        <v>12</v>
      </c>
      <c r="B8">
        <v>2</v>
      </c>
      <c r="C8" s="1">
        <v>70000</v>
      </c>
      <c r="D8" s="1">
        <v>4000</v>
      </c>
      <c r="E8">
        <v>1</v>
      </c>
    </row>
    <row r="9" spans="1:5" x14ac:dyDescent="0.3">
      <c r="A9" t="s">
        <v>13</v>
      </c>
      <c r="B9">
        <v>1</v>
      </c>
      <c r="C9" s="1">
        <v>10000</v>
      </c>
      <c r="D9" s="1">
        <v>2000</v>
      </c>
      <c r="E9">
        <v>7</v>
      </c>
    </row>
    <row r="10" spans="1:5" x14ac:dyDescent="0.3">
      <c r="A10" t="s">
        <v>14</v>
      </c>
      <c r="B10">
        <v>7</v>
      </c>
      <c r="C10" s="1">
        <v>130000</v>
      </c>
      <c r="D10" s="1">
        <v>14000</v>
      </c>
      <c r="E10">
        <v>4</v>
      </c>
    </row>
    <row r="11" spans="1:5" x14ac:dyDescent="0.3">
      <c r="A11" t="s">
        <v>15</v>
      </c>
      <c r="B11">
        <v>8</v>
      </c>
      <c r="C11" s="1">
        <v>130000</v>
      </c>
      <c r="D11" s="1">
        <v>16000</v>
      </c>
      <c r="E11">
        <v>5</v>
      </c>
    </row>
    <row r="12" spans="1:5" x14ac:dyDescent="0.3">
      <c r="A12" t="s">
        <v>16</v>
      </c>
      <c r="B12">
        <v>6</v>
      </c>
      <c r="C12" s="1">
        <v>130000</v>
      </c>
      <c r="D12" s="1">
        <v>1000</v>
      </c>
      <c r="E12">
        <v>1</v>
      </c>
    </row>
    <row r="13" spans="1:5" x14ac:dyDescent="0.3">
      <c r="A13" t="s">
        <v>17</v>
      </c>
      <c r="B13">
        <v>12</v>
      </c>
      <c r="C13" s="1">
        <v>200000</v>
      </c>
      <c r="D13" s="1">
        <v>5000</v>
      </c>
      <c r="E13">
        <v>2</v>
      </c>
    </row>
    <row r="14" spans="1:5" x14ac:dyDescent="0.3">
      <c r="A14" t="s">
        <v>18</v>
      </c>
      <c r="B14">
        <v>11</v>
      </c>
      <c r="C14" s="1">
        <v>200000</v>
      </c>
      <c r="D14" s="1">
        <v>3000</v>
      </c>
      <c r="E14">
        <v>3</v>
      </c>
    </row>
    <row r="15" spans="1:5" x14ac:dyDescent="0.3">
      <c r="A15" t="s">
        <v>19</v>
      </c>
      <c r="B15">
        <v>5</v>
      </c>
      <c r="C15" s="1">
        <v>70000</v>
      </c>
      <c r="D15" s="1">
        <v>18000</v>
      </c>
      <c r="E15">
        <v>1</v>
      </c>
    </row>
    <row r="16" spans="1:5" x14ac:dyDescent="0.3">
      <c r="A16" t="s">
        <v>20</v>
      </c>
      <c r="B16">
        <v>9</v>
      </c>
      <c r="C16" s="1">
        <v>130000</v>
      </c>
      <c r="D16" s="1">
        <v>13000</v>
      </c>
      <c r="E16">
        <v>1</v>
      </c>
    </row>
    <row r="17" spans="1:5" x14ac:dyDescent="0.3">
      <c r="A17" t="s">
        <v>21</v>
      </c>
      <c r="B17">
        <v>7</v>
      </c>
      <c r="C17" s="1">
        <v>260000</v>
      </c>
      <c r="D17" s="1">
        <v>15000</v>
      </c>
      <c r="E17">
        <v>1</v>
      </c>
    </row>
    <row r="18" spans="1:5" x14ac:dyDescent="0.3">
      <c r="A18" t="s">
        <v>22</v>
      </c>
      <c r="B18">
        <v>8</v>
      </c>
      <c r="C18" s="1">
        <v>130000</v>
      </c>
      <c r="D18" s="1">
        <v>4000</v>
      </c>
      <c r="E18">
        <v>1</v>
      </c>
    </row>
    <row r="19" spans="1:5" x14ac:dyDescent="0.3">
      <c r="A19" t="s">
        <v>23</v>
      </c>
      <c r="B19">
        <v>12</v>
      </c>
      <c r="C19" s="1">
        <v>190000</v>
      </c>
      <c r="D19" s="1">
        <v>19000</v>
      </c>
      <c r="E19">
        <v>1</v>
      </c>
    </row>
    <row r="20" spans="1:5" x14ac:dyDescent="0.3">
      <c r="A20" t="s">
        <v>24</v>
      </c>
      <c r="B20">
        <v>9</v>
      </c>
      <c r="C20" s="1">
        <v>170000</v>
      </c>
      <c r="D20" s="1">
        <v>11000</v>
      </c>
      <c r="E20">
        <v>2</v>
      </c>
    </row>
    <row r="21" spans="1:5" x14ac:dyDescent="0.3">
      <c r="A21" t="s">
        <v>25</v>
      </c>
      <c r="B21">
        <v>6</v>
      </c>
      <c r="C21" s="1">
        <v>130000</v>
      </c>
      <c r="D21" s="1">
        <v>3000</v>
      </c>
      <c r="E21">
        <v>1</v>
      </c>
    </row>
    <row r="22" spans="1:5" x14ac:dyDescent="0.3">
      <c r="A22" t="s">
        <v>26</v>
      </c>
      <c r="B22">
        <v>15</v>
      </c>
      <c r="C22" s="1">
        <v>90000</v>
      </c>
      <c r="D22" s="1">
        <v>5000</v>
      </c>
      <c r="E22">
        <v>1</v>
      </c>
    </row>
    <row r="23" spans="1:5" x14ac:dyDescent="0.3">
      <c r="A23" t="s">
        <v>27</v>
      </c>
      <c r="B23">
        <v>12</v>
      </c>
      <c r="C23" s="1">
        <v>170000</v>
      </c>
      <c r="D23" s="1">
        <v>8000</v>
      </c>
      <c r="E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A4" sqref="A4"/>
    </sheetView>
  </sheetViews>
  <sheetFormatPr defaultRowHeight="16.5" x14ac:dyDescent="0.3"/>
  <cols>
    <col min="5" max="5" width="11" bestFit="1" customWidth="1"/>
    <col min="9" max="9" width="13" bestFit="1" customWidth="1"/>
  </cols>
  <sheetData>
    <row r="1" spans="1:10" ht="26.25" x14ac:dyDescent="0.3">
      <c r="A1" s="130" t="s">
        <v>53</v>
      </c>
      <c r="B1" s="131"/>
      <c r="C1" s="131"/>
      <c r="D1" s="131"/>
      <c r="E1" s="131"/>
      <c r="F1" s="131"/>
      <c r="G1" s="131"/>
      <c r="H1" s="131"/>
      <c r="I1" s="131"/>
      <c r="J1" s="131"/>
    </row>
    <row r="2" spans="1:10" ht="17.100000000000001" hidden="1" x14ac:dyDescent="0.45"/>
    <row r="3" spans="1:10" x14ac:dyDescent="0.3">
      <c r="A3" s="2" t="s">
        <v>3</v>
      </c>
      <c r="B3" s="2" t="s">
        <v>4</v>
      </c>
      <c r="C3" s="2" t="s">
        <v>5</v>
      </c>
      <c r="D3" s="6" t="s">
        <v>6</v>
      </c>
      <c r="E3" s="6" t="s">
        <v>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</row>
    <row r="4" spans="1:10" x14ac:dyDescent="0.3">
      <c r="A4" s="2" t="s">
        <v>8</v>
      </c>
      <c r="B4" s="3">
        <v>10</v>
      </c>
      <c r="C4" s="5">
        <v>130000</v>
      </c>
      <c r="D4" s="7">
        <v>20000</v>
      </c>
      <c r="E4" s="4">
        <v>7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</row>
    <row r="5" spans="1:10" x14ac:dyDescent="0.3">
      <c r="A5" s="2" t="s">
        <v>9</v>
      </c>
      <c r="B5" s="3">
        <v>4</v>
      </c>
      <c r="C5" s="5">
        <v>70000</v>
      </c>
      <c r="D5" s="7">
        <v>8000</v>
      </c>
      <c r="E5" s="4">
        <v>3</v>
      </c>
      <c r="F5" s="3"/>
      <c r="G5" s="3"/>
      <c r="H5" s="3"/>
      <c r="I5" s="3"/>
      <c r="J5" s="3"/>
    </row>
    <row r="6" spans="1:10" x14ac:dyDescent="0.3">
      <c r="A6" s="2" t="s">
        <v>10</v>
      </c>
      <c r="B6" s="3">
        <v>15</v>
      </c>
      <c r="C6" s="5">
        <v>200000</v>
      </c>
      <c r="D6" s="7">
        <v>26000</v>
      </c>
      <c r="E6" s="4">
        <v>9</v>
      </c>
      <c r="F6" s="3"/>
      <c r="G6" s="3"/>
      <c r="H6" s="3"/>
      <c r="I6" s="3"/>
      <c r="J6" s="3"/>
    </row>
    <row r="7" spans="1:10" x14ac:dyDescent="0.3">
      <c r="A7" s="2" t="s">
        <v>11</v>
      </c>
      <c r="B7" s="3">
        <v>3</v>
      </c>
      <c r="C7" s="5">
        <v>70000</v>
      </c>
      <c r="D7" s="7">
        <v>6000</v>
      </c>
      <c r="E7" s="4">
        <v>1</v>
      </c>
      <c r="F7" s="3"/>
      <c r="G7" s="3"/>
      <c r="H7" s="3"/>
      <c r="I7" s="3"/>
      <c r="J7" s="3"/>
    </row>
    <row r="8" spans="1:10" x14ac:dyDescent="0.3">
      <c r="A8" s="2" t="s">
        <v>12</v>
      </c>
      <c r="B8" s="3">
        <v>2</v>
      </c>
      <c r="C8" s="5">
        <v>70000</v>
      </c>
      <c r="D8" s="7">
        <v>4000</v>
      </c>
      <c r="E8" s="4">
        <v>1</v>
      </c>
      <c r="F8" s="3"/>
      <c r="G8" s="3"/>
      <c r="H8" s="3"/>
      <c r="I8" s="3"/>
      <c r="J8" s="3"/>
    </row>
    <row r="9" spans="1:10" x14ac:dyDescent="0.3">
      <c r="A9" s="2" t="s">
        <v>13</v>
      </c>
      <c r="B9" s="3">
        <v>1</v>
      </c>
      <c r="C9" s="5">
        <v>10000</v>
      </c>
      <c r="D9" s="7">
        <v>2000</v>
      </c>
      <c r="E9" s="4">
        <v>7</v>
      </c>
      <c r="F9" s="3"/>
      <c r="G9" s="3"/>
      <c r="H9" s="3"/>
      <c r="I9" s="3"/>
      <c r="J9" s="3"/>
    </row>
    <row r="10" spans="1:10" x14ac:dyDescent="0.3">
      <c r="A10" s="2" t="s">
        <v>14</v>
      </c>
      <c r="B10" s="3">
        <v>7</v>
      </c>
      <c r="C10" s="5">
        <v>130000</v>
      </c>
      <c r="D10" s="7">
        <v>14000</v>
      </c>
      <c r="E10" s="4">
        <v>4</v>
      </c>
      <c r="F10" s="3"/>
      <c r="G10" s="3"/>
      <c r="H10" s="3"/>
      <c r="I10" s="3"/>
      <c r="J10" s="3"/>
    </row>
    <row r="11" spans="1:10" x14ac:dyDescent="0.3">
      <c r="A11" s="2" t="s">
        <v>15</v>
      </c>
      <c r="B11" s="3">
        <v>8</v>
      </c>
      <c r="C11" s="5">
        <v>130000</v>
      </c>
      <c r="D11" s="7">
        <v>16000</v>
      </c>
      <c r="E11" s="4">
        <v>5</v>
      </c>
      <c r="F11" s="3"/>
      <c r="G11" s="3"/>
      <c r="H11" s="3"/>
      <c r="I11" s="3"/>
      <c r="J11" s="3"/>
    </row>
    <row r="12" spans="1:10" x14ac:dyDescent="0.3">
      <c r="A12" s="2" t="s">
        <v>16</v>
      </c>
      <c r="B12" s="3">
        <v>6</v>
      </c>
      <c r="C12" s="5">
        <v>130000</v>
      </c>
      <c r="D12" s="7">
        <v>1000</v>
      </c>
      <c r="E12" s="4">
        <v>1</v>
      </c>
      <c r="F12" s="3"/>
      <c r="G12" s="3"/>
      <c r="H12" s="3"/>
      <c r="I12" s="3"/>
      <c r="J12" s="3"/>
    </row>
    <row r="13" spans="1:10" x14ac:dyDescent="0.3">
      <c r="A13" s="2" t="s">
        <v>17</v>
      </c>
      <c r="B13" s="3">
        <v>12</v>
      </c>
      <c r="C13" s="5">
        <v>200000</v>
      </c>
      <c r="D13" s="7">
        <v>5000</v>
      </c>
      <c r="E13" s="4">
        <v>2</v>
      </c>
      <c r="F13" s="3"/>
      <c r="G13" s="3"/>
      <c r="H13" s="3"/>
      <c r="I13" s="3"/>
      <c r="J13" s="3"/>
    </row>
    <row r="14" spans="1:10" x14ac:dyDescent="0.3">
      <c r="A14" s="2" t="s">
        <v>18</v>
      </c>
      <c r="B14" s="3">
        <v>11</v>
      </c>
      <c r="C14" s="5">
        <v>200000</v>
      </c>
      <c r="D14" s="7">
        <v>3000</v>
      </c>
      <c r="E14" s="4">
        <v>3</v>
      </c>
      <c r="F14" s="3"/>
      <c r="G14" s="3"/>
      <c r="H14" s="3"/>
      <c r="I14" s="3"/>
      <c r="J14" s="3"/>
    </row>
    <row r="15" spans="1:10" x14ac:dyDescent="0.3">
      <c r="A15" s="2" t="s">
        <v>19</v>
      </c>
      <c r="B15" s="3">
        <v>5</v>
      </c>
      <c r="C15" s="5">
        <v>70000</v>
      </c>
      <c r="D15" s="7">
        <v>18000</v>
      </c>
      <c r="E15" s="4">
        <v>1</v>
      </c>
      <c r="F15" s="3"/>
      <c r="G15" s="3"/>
      <c r="H15" s="3"/>
      <c r="I15" s="3"/>
      <c r="J15" s="3"/>
    </row>
    <row r="16" spans="1:10" x14ac:dyDescent="0.3">
      <c r="A16" s="2" t="s">
        <v>20</v>
      </c>
      <c r="B16" s="3">
        <v>9</v>
      </c>
      <c r="C16" s="5">
        <v>130000</v>
      </c>
      <c r="D16" s="7">
        <v>13000</v>
      </c>
      <c r="E16" s="4">
        <v>1</v>
      </c>
      <c r="F16" s="3"/>
      <c r="G16" s="3"/>
      <c r="H16" s="3"/>
      <c r="I16" s="3"/>
      <c r="J16" s="3"/>
    </row>
    <row r="17" spans="1:10" x14ac:dyDescent="0.3">
      <c r="A17" s="2" t="s">
        <v>21</v>
      </c>
      <c r="B17" s="3">
        <v>7</v>
      </c>
      <c r="C17" s="5">
        <v>260000</v>
      </c>
      <c r="D17" s="7">
        <v>15000</v>
      </c>
      <c r="E17" s="4">
        <v>1</v>
      </c>
      <c r="F17" s="3"/>
      <c r="G17" s="3"/>
      <c r="H17" s="3"/>
      <c r="I17" s="3"/>
      <c r="J17" s="3"/>
    </row>
    <row r="18" spans="1:10" x14ac:dyDescent="0.3">
      <c r="A18" s="2" t="s">
        <v>22</v>
      </c>
      <c r="B18" s="3">
        <v>8</v>
      </c>
      <c r="C18" s="5">
        <v>130000</v>
      </c>
      <c r="D18" s="7">
        <v>4000</v>
      </c>
      <c r="E18" s="4">
        <v>1</v>
      </c>
      <c r="F18" s="3"/>
      <c r="G18" s="3"/>
      <c r="H18" s="3"/>
      <c r="I18" s="3"/>
      <c r="J18" s="3"/>
    </row>
    <row r="19" spans="1:10" x14ac:dyDescent="0.3">
      <c r="A19" s="2" t="s">
        <v>23</v>
      </c>
      <c r="B19" s="3">
        <v>12</v>
      </c>
      <c r="C19" s="5">
        <v>190000</v>
      </c>
      <c r="D19" s="7">
        <v>19000</v>
      </c>
      <c r="E19" s="4">
        <v>1</v>
      </c>
      <c r="F19" s="3"/>
      <c r="G19" s="3"/>
      <c r="H19" s="3"/>
      <c r="I19" s="3"/>
      <c r="J19" s="3"/>
    </row>
    <row r="20" spans="1:10" x14ac:dyDescent="0.3">
      <c r="A20" s="2" t="s">
        <v>24</v>
      </c>
      <c r="B20" s="3">
        <v>9</v>
      </c>
      <c r="C20" s="5">
        <v>170000</v>
      </c>
      <c r="D20" s="7">
        <v>11000</v>
      </c>
      <c r="E20" s="4">
        <v>2</v>
      </c>
      <c r="F20" s="3"/>
      <c r="G20" s="3"/>
      <c r="H20" s="3"/>
      <c r="I20" s="3"/>
      <c r="J20" s="3"/>
    </row>
    <row r="21" spans="1:10" x14ac:dyDescent="0.3">
      <c r="A21" s="2" t="s">
        <v>25</v>
      </c>
      <c r="B21" s="3">
        <v>6</v>
      </c>
      <c r="C21" s="5">
        <v>130000</v>
      </c>
      <c r="D21" s="7">
        <v>3000</v>
      </c>
      <c r="E21" s="4">
        <v>1</v>
      </c>
      <c r="F21" s="3"/>
      <c r="G21" s="3"/>
      <c r="H21" s="3"/>
      <c r="I21" s="3"/>
      <c r="J21" s="3"/>
    </row>
    <row r="22" spans="1:10" x14ac:dyDescent="0.3">
      <c r="A22" s="2" t="s">
        <v>26</v>
      </c>
      <c r="B22" s="3">
        <v>15</v>
      </c>
      <c r="C22" s="5">
        <v>90000</v>
      </c>
      <c r="D22" s="7">
        <v>5000</v>
      </c>
      <c r="E22" s="4">
        <v>1</v>
      </c>
      <c r="F22" s="3"/>
      <c r="G22" s="3"/>
      <c r="H22" s="3"/>
      <c r="I22" s="3"/>
      <c r="J22" s="3"/>
    </row>
    <row r="23" spans="1:10" x14ac:dyDescent="0.3">
      <c r="A23" s="2" t="s">
        <v>27</v>
      </c>
      <c r="B23" s="3">
        <v>12</v>
      </c>
      <c r="C23" s="5">
        <v>170000</v>
      </c>
      <c r="D23" s="7">
        <v>8000</v>
      </c>
      <c r="E23" s="4">
        <v>3</v>
      </c>
      <c r="F23" s="3"/>
      <c r="G23" s="3"/>
      <c r="H23" s="3"/>
      <c r="I23" s="3"/>
      <c r="J23" s="3"/>
    </row>
    <row r="24" spans="1:10" x14ac:dyDescent="0.3">
      <c r="A24" s="127" t="s">
        <v>33</v>
      </c>
      <c r="B24" s="128"/>
      <c r="C24" s="129"/>
      <c r="D24" s="6"/>
      <c r="E24" s="6"/>
      <c r="F24" s="2" t="s">
        <v>45</v>
      </c>
      <c r="G24" s="2" t="s">
        <v>45</v>
      </c>
      <c r="H24" s="132"/>
      <c r="I24" s="133"/>
      <c r="J24" s="134"/>
    </row>
    <row r="25" spans="1:10" x14ac:dyDescent="0.3">
      <c r="A25" s="141" t="s">
        <v>36</v>
      </c>
      <c r="B25" s="2" t="s">
        <v>37</v>
      </c>
      <c r="C25" s="2" t="s">
        <v>46</v>
      </c>
      <c r="D25" s="6"/>
      <c r="E25" s="6"/>
      <c r="F25" s="2" t="s">
        <v>46</v>
      </c>
      <c r="G25" s="2" t="s">
        <v>46</v>
      </c>
      <c r="H25" s="135"/>
      <c r="I25" s="136"/>
      <c r="J25" s="137"/>
    </row>
    <row r="26" spans="1:10" x14ac:dyDescent="0.3">
      <c r="A26" s="142"/>
      <c r="B26" s="2" t="s">
        <v>38</v>
      </c>
      <c r="C26" s="2" t="s">
        <v>47</v>
      </c>
      <c r="D26" s="6"/>
      <c r="E26" s="6"/>
      <c r="F26" s="2" t="s">
        <v>47</v>
      </c>
      <c r="G26" s="2" t="s">
        <v>47</v>
      </c>
      <c r="H26" s="135"/>
      <c r="I26" s="136"/>
      <c r="J26" s="137"/>
    </row>
    <row r="27" spans="1:10" x14ac:dyDescent="0.3">
      <c r="A27" s="142"/>
      <c r="B27" s="2" t="s">
        <v>39</v>
      </c>
      <c r="C27" s="2" t="s">
        <v>48</v>
      </c>
      <c r="D27" s="6"/>
      <c r="E27" s="6"/>
      <c r="F27" s="2" t="s">
        <v>48</v>
      </c>
      <c r="G27" s="2" t="s">
        <v>48</v>
      </c>
      <c r="H27" s="135"/>
      <c r="I27" s="136"/>
      <c r="J27" s="137"/>
    </row>
    <row r="28" spans="1:10" x14ac:dyDescent="0.3">
      <c r="A28" s="127" t="s">
        <v>34</v>
      </c>
      <c r="B28" s="128"/>
      <c r="C28" s="129"/>
      <c r="D28" s="6"/>
      <c r="E28" s="6"/>
      <c r="F28" s="2" t="s">
        <v>52</v>
      </c>
      <c r="G28" s="2" t="s">
        <v>52</v>
      </c>
      <c r="H28" s="135"/>
      <c r="I28" s="136"/>
      <c r="J28" s="137"/>
    </row>
    <row r="29" spans="1:10" x14ac:dyDescent="0.3">
      <c r="A29" s="127" t="s">
        <v>35</v>
      </c>
      <c r="B29" s="128"/>
      <c r="C29" s="128"/>
      <c r="D29" s="128"/>
      <c r="E29" s="128"/>
      <c r="F29" s="129"/>
      <c r="G29" s="2" t="s">
        <v>49</v>
      </c>
      <c r="H29" s="138"/>
      <c r="I29" s="139"/>
      <c r="J29" s="140"/>
    </row>
    <row r="30" spans="1:10" x14ac:dyDescent="0.3">
      <c r="A30" s="127" t="s">
        <v>50</v>
      </c>
      <c r="B30" s="128"/>
      <c r="C30" s="128"/>
      <c r="D30" s="128"/>
      <c r="E30" s="128"/>
      <c r="F30" s="128"/>
      <c r="G30" s="128"/>
      <c r="H30" s="128"/>
      <c r="I30" s="128"/>
      <c r="J30" s="129"/>
    </row>
    <row r="31" spans="1:10" x14ac:dyDescent="0.3">
      <c r="A31" s="127" t="s">
        <v>51</v>
      </c>
      <c r="B31" s="128"/>
      <c r="C31" s="128"/>
      <c r="D31" s="128"/>
      <c r="E31" s="128"/>
      <c r="F31" s="128"/>
      <c r="G31" s="128"/>
      <c r="H31" s="128"/>
      <c r="I31" s="128"/>
      <c r="J31" s="129"/>
    </row>
  </sheetData>
  <mergeCells count="8">
    <mergeCell ref="A31:J31"/>
    <mergeCell ref="A1:J1"/>
    <mergeCell ref="H24:J29"/>
    <mergeCell ref="A25:A27"/>
    <mergeCell ref="A24:C24"/>
    <mergeCell ref="A28:C28"/>
    <mergeCell ref="A29:F29"/>
    <mergeCell ref="A30:J3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J31"/>
  <sheetViews>
    <sheetView zoomScaleNormal="100" workbookViewId="0">
      <selection activeCell="M32" sqref="M32"/>
    </sheetView>
  </sheetViews>
  <sheetFormatPr defaultRowHeight="16.5" x14ac:dyDescent="0.3"/>
  <cols>
    <col min="1" max="1" width="8.75" customWidth="1"/>
    <col min="2" max="2" width="8.125" customWidth="1"/>
    <col min="3" max="3" width="10.875" customWidth="1"/>
    <col min="4" max="4" width="7.875" hidden="1" customWidth="1"/>
    <col min="5" max="5" width="9" hidden="1" customWidth="1"/>
    <col min="6" max="6" width="9.125" customWidth="1"/>
    <col min="7" max="7" width="10.875" customWidth="1"/>
    <col min="8" max="8" width="7.625" customWidth="1"/>
    <col min="9" max="9" width="12.125" customWidth="1"/>
    <col min="10" max="10" width="8.125" customWidth="1"/>
  </cols>
  <sheetData>
    <row r="1" spans="1:10" ht="31.5" x14ac:dyDescent="0.3">
      <c r="A1" s="149" t="s">
        <v>53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17.100000000000001" hidden="1" x14ac:dyDescent="0.45"/>
    <row r="3" spans="1:10" s="10" customFormat="1" ht="12" x14ac:dyDescent="0.3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</row>
    <row r="4" spans="1:10" s="10" customFormat="1" ht="12" x14ac:dyDescent="0.3">
      <c r="A4" s="16" t="s">
        <v>8</v>
      </c>
      <c r="B4" s="22">
        <v>10</v>
      </c>
      <c r="C4" s="23">
        <v>130000</v>
      </c>
      <c r="D4" s="24">
        <v>20000</v>
      </c>
      <c r="E4" s="25">
        <v>7</v>
      </c>
      <c r="F4" s="26">
        <f t="shared" ref="F4:F23" si="0">C4*1%</f>
        <v>1300</v>
      </c>
      <c r="G4" s="26">
        <f t="shared" ref="G4:G23" si="1">C4-F4-D4</f>
        <v>108700</v>
      </c>
      <c r="H4" s="92" t="str">
        <f>IF(E4&gt;=7,"D",IF(E4&gt;=4,"C",IF(E4&gt;=2,"B","A")))</f>
        <v>D</v>
      </c>
      <c r="I4" s="16" t="str">
        <f t="shared" ref="I4:I23" si="2">IF(G4&lt;=100000,"폐쇄","")</f>
        <v/>
      </c>
      <c r="J4" s="110">
        <f>RANK(B4,$B$4:$B$23)</f>
        <v>7</v>
      </c>
    </row>
    <row r="5" spans="1:10" s="10" customFormat="1" ht="12" x14ac:dyDescent="0.3">
      <c r="A5" s="18" t="s">
        <v>15</v>
      </c>
      <c r="B5" s="27">
        <v>8</v>
      </c>
      <c r="C5" s="28">
        <v>130000</v>
      </c>
      <c r="D5" s="29">
        <v>16000</v>
      </c>
      <c r="E5" s="30">
        <v>5</v>
      </c>
      <c r="F5" s="31">
        <f t="shared" si="0"/>
        <v>1300</v>
      </c>
      <c r="G5" s="31">
        <f t="shared" si="1"/>
        <v>112700</v>
      </c>
      <c r="H5" s="18" t="str">
        <f t="shared" ref="H5:H23" si="3">IF(E5&gt;=7,"D",IF(E5&gt;=4,"C",IF(E5&gt;=2,"B","A")))</f>
        <v>C</v>
      </c>
      <c r="I5" s="18" t="str">
        <f t="shared" si="2"/>
        <v/>
      </c>
      <c r="J5" s="111">
        <f t="shared" ref="J5:J23" si="4">RANK(B5,$B$4:$B$23)</f>
        <v>10</v>
      </c>
    </row>
    <row r="6" spans="1:10" s="10" customFormat="1" ht="12" x14ac:dyDescent="0.3">
      <c r="A6" s="18" t="s">
        <v>14</v>
      </c>
      <c r="B6" s="27">
        <v>7</v>
      </c>
      <c r="C6" s="28">
        <v>130000</v>
      </c>
      <c r="D6" s="29">
        <v>14000</v>
      </c>
      <c r="E6" s="30">
        <v>4</v>
      </c>
      <c r="F6" s="31">
        <f t="shared" si="0"/>
        <v>1300</v>
      </c>
      <c r="G6" s="31">
        <f t="shared" si="1"/>
        <v>114700</v>
      </c>
      <c r="H6" s="18" t="str">
        <f t="shared" si="3"/>
        <v>C</v>
      </c>
      <c r="I6" s="18" t="str">
        <f t="shared" si="2"/>
        <v/>
      </c>
      <c r="J6" s="111">
        <f t="shared" si="4"/>
        <v>12</v>
      </c>
    </row>
    <row r="7" spans="1:10" s="10" customFormat="1" ht="12" x14ac:dyDescent="0.3">
      <c r="A7" s="18" t="s">
        <v>20</v>
      </c>
      <c r="B7" s="27">
        <v>9</v>
      </c>
      <c r="C7" s="28">
        <v>130000</v>
      </c>
      <c r="D7" s="29">
        <v>13000</v>
      </c>
      <c r="E7" s="30">
        <v>1</v>
      </c>
      <c r="F7" s="31">
        <f t="shared" si="0"/>
        <v>1300</v>
      </c>
      <c r="G7" s="31">
        <f t="shared" si="1"/>
        <v>115700</v>
      </c>
      <c r="H7" s="18" t="str">
        <f t="shared" si="3"/>
        <v>A</v>
      </c>
      <c r="I7" s="18" t="str">
        <f t="shared" si="2"/>
        <v/>
      </c>
      <c r="J7" s="111">
        <f t="shared" si="4"/>
        <v>8</v>
      </c>
    </row>
    <row r="8" spans="1:10" s="10" customFormat="1" ht="12" x14ac:dyDescent="0.3">
      <c r="A8" s="18" t="s">
        <v>22</v>
      </c>
      <c r="B8" s="27">
        <v>8</v>
      </c>
      <c r="C8" s="28">
        <v>130000</v>
      </c>
      <c r="D8" s="29">
        <v>4000</v>
      </c>
      <c r="E8" s="30">
        <v>1</v>
      </c>
      <c r="F8" s="31">
        <f t="shared" si="0"/>
        <v>1300</v>
      </c>
      <c r="G8" s="31">
        <f t="shared" si="1"/>
        <v>124700</v>
      </c>
      <c r="H8" s="18" t="str">
        <f t="shared" si="3"/>
        <v>A</v>
      </c>
      <c r="I8" s="18" t="str">
        <f t="shared" si="2"/>
        <v/>
      </c>
      <c r="J8" s="111">
        <f t="shared" si="4"/>
        <v>10</v>
      </c>
    </row>
    <row r="9" spans="1:10" s="10" customFormat="1" ht="12" x14ac:dyDescent="0.3">
      <c r="A9" s="18" t="s">
        <v>25</v>
      </c>
      <c r="B9" s="27">
        <v>6</v>
      </c>
      <c r="C9" s="28">
        <v>130000</v>
      </c>
      <c r="D9" s="29">
        <v>3000</v>
      </c>
      <c r="E9" s="30">
        <v>1</v>
      </c>
      <c r="F9" s="31">
        <f t="shared" si="0"/>
        <v>1300</v>
      </c>
      <c r="G9" s="31">
        <f t="shared" si="1"/>
        <v>125700</v>
      </c>
      <c r="H9" s="18" t="str">
        <f t="shared" si="3"/>
        <v>A</v>
      </c>
      <c r="I9" s="18" t="str">
        <f t="shared" si="2"/>
        <v/>
      </c>
      <c r="J9" s="111">
        <f t="shared" si="4"/>
        <v>14</v>
      </c>
    </row>
    <row r="10" spans="1:10" s="10" customFormat="1" ht="12" x14ac:dyDescent="0.3">
      <c r="A10" s="18" t="s">
        <v>16</v>
      </c>
      <c r="B10" s="27">
        <v>6</v>
      </c>
      <c r="C10" s="28">
        <v>130000</v>
      </c>
      <c r="D10" s="29">
        <v>1000</v>
      </c>
      <c r="E10" s="30">
        <v>1</v>
      </c>
      <c r="F10" s="31">
        <f t="shared" si="0"/>
        <v>1300</v>
      </c>
      <c r="G10" s="31">
        <f t="shared" si="1"/>
        <v>127700</v>
      </c>
      <c r="H10" s="18" t="str">
        <f t="shared" si="3"/>
        <v>A</v>
      </c>
      <c r="I10" s="18" t="str">
        <f t="shared" si="2"/>
        <v/>
      </c>
      <c r="J10" s="111">
        <f t="shared" si="4"/>
        <v>14</v>
      </c>
    </row>
    <row r="11" spans="1:10" s="10" customFormat="1" ht="12" x14ac:dyDescent="0.3">
      <c r="A11" s="18" t="s">
        <v>24</v>
      </c>
      <c r="B11" s="27">
        <v>9</v>
      </c>
      <c r="C11" s="28">
        <v>170000</v>
      </c>
      <c r="D11" s="29">
        <v>11000</v>
      </c>
      <c r="E11" s="30">
        <v>2</v>
      </c>
      <c r="F11" s="31">
        <f t="shared" si="0"/>
        <v>1700</v>
      </c>
      <c r="G11" s="31">
        <f t="shared" si="1"/>
        <v>157300</v>
      </c>
      <c r="H11" s="18" t="str">
        <f t="shared" si="3"/>
        <v>B</v>
      </c>
      <c r="I11" s="18" t="str">
        <f t="shared" si="2"/>
        <v/>
      </c>
      <c r="J11" s="111">
        <f t="shared" si="4"/>
        <v>8</v>
      </c>
    </row>
    <row r="12" spans="1:10" s="10" customFormat="1" ht="12" x14ac:dyDescent="0.3">
      <c r="A12" s="18" t="s">
        <v>27</v>
      </c>
      <c r="B12" s="27">
        <v>12</v>
      </c>
      <c r="C12" s="28">
        <v>170000</v>
      </c>
      <c r="D12" s="29">
        <v>8000</v>
      </c>
      <c r="E12" s="30">
        <v>3</v>
      </c>
      <c r="F12" s="31">
        <f t="shared" si="0"/>
        <v>1700</v>
      </c>
      <c r="G12" s="31">
        <f t="shared" si="1"/>
        <v>160300</v>
      </c>
      <c r="H12" s="18" t="str">
        <f t="shared" si="3"/>
        <v>B</v>
      </c>
      <c r="I12" s="18" t="str">
        <f t="shared" si="2"/>
        <v/>
      </c>
      <c r="J12" s="111">
        <f t="shared" si="4"/>
        <v>3</v>
      </c>
    </row>
    <row r="13" spans="1:10" s="10" customFormat="1" ht="12" x14ac:dyDescent="0.3">
      <c r="A13" s="18" t="s">
        <v>23</v>
      </c>
      <c r="B13" s="27">
        <v>12</v>
      </c>
      <c r="C13" s="28">
        <v>190000</v>
      </c>
      <c r="D13" s="29">
        <v>19000</v>
      </c>
      <c r="E13" s="30">
        <v>1</v>
      </c>
      <c r="F13" s="31">
        <f t="shared" si="0"/>
        <v>1900</v>
      </c>
      <c r="G13" s="31">
        <f t="shared" si="1"/>
        <v>169100</v>
      </c>
      <c r="H13" s="18" t="str">
        <f t="shared" si="3"/>
        <v>A</v>
      </c>
      <c r="I13" s="18" t="str">
        <f t="shared" si="2"/>
        <v/>
      </c>
      <c r="J13" s="111">
        <f t="shared" si="4"/>
        <v>3</v>
      </c>
    </row>
    <row r="14" spans="1:10" s="10" customFormat="1" ht="12" x14ac:dyDescent="0.3">
      <c r="A14" s="18" t="s">
        <v>10</v>
      </c>
      <c r="B14" s="27">
        <v>15</v>
      </c>
      <c r="C14" s="28">
        <v>200000</v>
      </c>
      <c r="D14" s="29">
        <v>26000</v>
      </c>
      <c r="E14" s="30">
        <v>9</v>
      </c>
      <c r="F14" s="31">
        <f t="shared" si="0"/>
        <v>2000</v>
      </c>
      <c r="G14" s="31">
        <f t="shared" si="1"/>
        <v>172000</v>
      </c>
      <c r="H14" s="18" t="str">
        <f t="shared" si="3"/>
        <v>D</v>
      </c>
      <c r="I14" s="18" t="str">
        <f t="shared" si="2"/>
        <v/>
      </c>
      <c r="J14" s="111">
        <f t="shared" si="4"/>
        <v>1</v>
      </c>
    </row>
    <row r="15" spans="1:10" s="10" customFormat="1" ht="12" x14ac:dyDescent="0.3">
      <c r="A15" s="18" t="s">
        <v>17</v>
      </c>
      <c r="B15" s="27">
        <v>12</v>
      </c>
      <c r="C15" s="28">
        <v>200000</v>
      </c>
      <c r="D15" s="29">
        <v>5000</v>
      </c>
      <c r="E15" s="30">
        <v>2</v>
      </c>
      <c r="F15" s="31">
        <f t="shared" si="0"/>
        <v>2000</v>
      </c>
      <c r="G15" s="31">
        <f t="shared" si="1"/>
        <v>193000</v>
      </c>
      <c r="H15" s="18" t="str">
        <f t="shared" si="3"/>
        <v>B</v>
      </c>
      <c r="I15" s="18" t="str">
        <f t="shared" si="2"/>
        <v/>
      </c>
      <c r="J15" s="111">
        <f t="shared" si="4"/>
        <v>3</v>
      </c>
    </row>
    <row r="16" spans="1:10" s="10" customFormat="1" ht="12" x14ac:dyDescent="0.3">
      <c r="A16" s="18" t="s">
        <v>18</v>
      </c>
      <c r="B16" s="27">
        <v>11</v>
      </c>
      <c r="C16" s="28">
        <v>200000</v>
      </c>
      <c r="D16" s="29">
        <v>3000</v>
      </c>
      <c r="E16" s="30">
        <v>3</v>
      </c>
      <c r="F16" s="31">
        <f t="shared" si="0"/>
        <v>2000</v>
      </c>
      <c r="G16" s="31">
        <f t="shared" si="1"/>
        <v>195000</v>
      </c>
      <c r="H16" s="18" t="str">
        <f t="shared" si="3"/>
        <v>B</v>
      </c>
      <c r="I16" s="18" t="str">
        <f t="shared" si="2"/>
        <v/>
      </c>
      <c r="J16" s="111">
        <f t="shared" si="4"/>
        <v>6</v>
      </c>
    </row>
    <row r="17" spans="1:10" s="10" customFormat="1" ht="12" x14ac:dyDescent="0.3">
      <c r="A17" s="18" t="s">
        <v>21</v>
      </c>
      <c r="B17" s="27">
        <v>7</v>
      </c>
      <c r="C17" s="28">
        <v>260000</v>
      </c>
      <c r="D17" s="29">
        <v>15000</v>
      </c>
      <c r="E17" s="30">
        <v>1</v>
      </c>
      <c r="F17" s="31">
        <f t="shared" si="0"/>
        <v>2600</v>
      </c>
      <c r="G17" s="31">
        <f t="shared" si="1"/>
        <v>242400</v>
      </c>
      <c r="H17" s="18" t="str">
        <f t="shared" si="3"/>
        <v>A</v>
      </c>
      <c r="I17" s="18" t="str">
        <f t="shared" si="2"/>
        <v/>
      </c>
      <c r="J17" s="111">
        <f t="shared" si="4"/>
        <v>12</v>
      </c>
    </row>
    <row r="18" spans="1:10" s="10" customFormat="1" ht="12" x14ac:dyDescent="0.3">
      <c r="A18" s="18" t="s">
        <v>13</v>
      </c>
      <c r="B18" s="27">
        <v>1</v>
      </c>
      <c r="C18" s="28">
        <v>10000</v>
      </c>
      <c r="D18" s="29">
        <v>2000</v>
      </c>
      <c r="E18" s="30">
        <v>7</v>
      </c>
      <c r="F18" s="31">
        <f t="shared" si="0"/>
        <v>100</v>
      </c>
      <c r="G18" s="31">
        <f t="shared" si="1"/>
        <v>7900</v>
      </c>
      <c r="H18" s="18" t="str">
        <f t="shared" si="3"/>
        <v>D</v>
      </c>
      <c r="I18" s="18" t="str">
        <f t="shared" si="2"/>
        <v>폐쇄</v>
      </c>
      <c r="J18" s="111">
        <f t="shared" si="4"/>
        <v>20</v>
      </c>
    </row>
    <row r="19" spans="1:10" s="10" customFormat="1" ht="12" x14ac:dyDescent="0.3">
      <c r="A19" s="18" t="s">
        <v>19</v>
      </c>
      <c r="B19" s="27">
        <v>5</v>
      </c>
      <c r="C19" s="28">
        <v>70000</v>
      </c>
      <c r="D19" s="29">
        <v>18000</v>
      </c>
      <c r="E19" s="30">
        <v>1</v>
      </c>
      <c r="F19" s="31">
        <f t="shared" si="0"/>
        <v>700</v>
      </c>
      <c r="G19" s="31">
        <f t="shared" si="1"/>
        <v>51300</v>
      </c>
      <c r="H19" s="18" t="str">
        <f t="shared" si="3"/>
        <v>A</v>
      </c>
      <c r="I19" s="18" t="str">
        <f t="shared" si="2"/>
        <v>폐쇄</v>
      </c>
      <c r="J19" s="111">
        <f t="shared" si="4"/>
        <v>16</v>
      </c>
    </row>
    <row r="20" spans="1:10" s="10" customFormat="1" ht="12" x14ac:dyDescent="0.3">
      <c r="A20" s="18" t="s">
        <v>9</v>
      </c>
      <c r="B20" s="27">
        <v>4</v>
      </c>
      <c r="C20" s="28">
        <v>70000</v>
      </c>
      <c r="D20" s="29">
        <v>8000</v>
      </c>
      <c r="E20" s="30">
        <v>3</v>
      </c>
      <c r="F20" s="31">
        <f t="shared" si="0"/>
        <v>700</v>
      </c>
      <c r="G20" s="31">
        <f t="shared" si="1"/>
        <v>61300</v>
      </c>
      <c r="H20" s="18" t="str">
        <f t="shared" si="3"/>
        <v>B</v>
      </c>
      <c r="I20" s="18" t="str">
        <f t="shared" si="2"/>
        <v>폐쇄</v>
      </c>
      <c r="J20" s="111">
        <f t="shared" si="4"/>
        <v>17</v>
      </c>
    </row>
    <row r="21" spans="1:10" s="10" customFormat="1" ht="12" x14ac:dyDescent="0.3">
      <c r="A21" s="18" t="s">
        <v>11</v>
      </c>
      <c r="B21" s="27">
        <v>3</v>
      </c>
      <c r="C21" s="28">
        <v>70000</v>
      </c>
      <c r="D21" s="29">
        <v>6000</v>
      </c>
      <c r="E21" s="30">
        <v>1</v>
      </c>
      <c r="F21" s="31">
        <f t="shared" si="0"/>
        <v>700</v>
      </c>
      <c r="G21" s="31">
        <f t="shared" si="1"/>
        <v>63300</v>
      </c>
      <c r="H21" s="18" t="str">
        <f t="shared" si="3"/>
        <v>A</v>
      </c>
      <c r="I21" s="18" t="str">
        <f t="shared" si="2"/>
        <v>폐쇄</v>
      </c>
      <c r="J21" s="111">
        <f t="shared" si="4"/>
        <v>18</v>
      </c>
    </row>
    <row r="22" spans="1:10" s="10" customFormat="1" ht="12" x14ac:dyDescent="0.3">
      <c r="A22" s="18" t="s">
        <v>12</v>
      </c>
      <c r="B22" s="27">
        <v>2</v>
      </c>
      <c r="C22" s="28">
        <v>70000</v>
      </c>
      <c r="D22" s="29">
        <v>4000</v>
      </c>
      <c r="E22" s="30">
        <v>1</v>
      </c>
      <c r="F22" s="31">
        <f t="shared" si="0"/>
        <v>700</v>
      </c>
      <c r="G22" s="31">
        <f t="shared" si="1"/>
        <v>65300</v>
      </c>
      <c r="H22" s="18" t="str">
        <f t="shared" si="3"/>
        <v>A</v>
      </c>
      <c r="I22" s="18" t="str">
        <f t="shared" si="2"/>
        <v>폐쇄</v>
      </c>
      <c r="J22" s="111">
        <f t="shared" si="4"/>
        <v>19</v>
      </c>
    </row>
    <row r="23" spans="1:10" s="10" customFormat="1" ht="12" x14ac:dyDescent="0.3">
      <c r="A23" s="20" t="s">
        <v>26</v>
      </c>
      <c r="B23" s="32">
        <v>15</v>
      </c>
      <c r="C23" s="33">
        <v>90000</v>
      </c>
      <c r="D23" s="34">
        <v>5000</v>
      </c>
      <c r="E23" s="35">
        <v>1</v>
      </c>
      <c r="F23" s="36">
        <f t="shared" si="0"/>
        <v>900</v>
      </c>
      <c r="G23" s="36">
        <f t="shared" si="1"/>
        <v>84100</v>
      </c>
      <c r="H23" s="20" t="str">
        <f t="shared" si="3"/>
        <v>A</v>
      </c>
      <c r="I23" s="20" t="str">
        <f t="shared" si="2"/>
        <v>폐쇄</v>
      </c>
      <c r="J23" s="112">
        <f t="shared" si="4"/>
        <v>1</v>
      </c>
    </row>
    <row r="24" spans="1:10" s="10" customFormat="1" ht="12" x14ac:dyDescent="0.3">
      <c r="A24" s="151" t="s">
        <v>33</v>
      </c>
      <c r="B24" s="147"/>
      <c r="C24" s="148"/>
      <c r="D24" s="9"/>
      <c r="E24" s="9"/>
      <c r="F24" s="12">
        <f>AVERAGE(F4:F23)</f>
        <v>1340</v>
      </c>
      <c r="G24" s="12">
        <f>AVERAGE(G4:G23)</f>
        <v>122610</v>
      </c>
      <c r="H24" s="152"/>
      <c r="I24" s="153"/>
      <c r="J24" s="154"/>
    </row>
    <row r="25" spans="1:10" s="10" customFormat="1" ht="12" x14ac:dyDescent="0.3">
      <c r="A25" s="161" t="s">
        <v>36</v>
      </c>
      <c r="B25" s="8" t="s">
        <v>37</v>
      </c>
      <c r="C25" s="12">
        <f>SUMIF($H$4:$H$23,$B25,C$4:C$23)</f>
        <v>1270000</v>
      </c>
      <c r="D25" s="13"/>
      <c r="E25" s="13"/>
      <c r="F25" s="13">
        <f>SUMIF($H$4:$H$23,$B25,F$4:F$23)</f>
        <v>12700</v>
      </c>
      <c r="G25" s="13">
        <f>SUMIF($H$4:$H$23,$B25,G$4:G$23)</f>
        <v>1169300</v>
      </c>
      <c r="H25" s="155"/>
      <c r="I25" s="156"/>
      <c r="J25" s="157"/>
    </row>
    <row r="26" spans="1:10" s="10" customFormat="1" ht="12" x14ac:dyDescent="0.3">
      <c r="A26" s="162"/>
      <c r="B26" s="8" t="s">
        <v>38</v>
      </c>
      <c r="C26" s="12">
        <f t="shared" ref="C26:C27" si="5">SUMIF($H$4:$H$23,$B26,C$4:C$23)</f>
        <v>810000</v>
      </c>
      <c r="D26" s="13"/>
      <c r="E26" s="13"/>
      <c r="F26" s="13">
        <f t="shared" ref="F26:G27" si="6">SUMIF($H$4:$H$23,$B26,F$4:F$23)</f>
        <v>8100</v>
      </c>
      <c r="G26" s="13">
        <f t="shared" si="6"/>
        <v>766900</v>
      </c>
      <c r="H26" s="155"/>
      <c r="I26" s="156"/>
      <c r="J26" s="157"/>
    </row>
    <row r="27" spans="1:10" s="10" customFormat="1" ht="12" x14ac:dyDescent="0.3">
      <c r="A27" s="162"/>
      <c r="B27" s="8" t="s">
        <v>39</v>
      </c>
      <c r="C27" s="12">
        <f t="shared" si="5"/>
        <v>260000</v>
      </c>
      <c r="D27" s="13"/>
      <c r="E27" s="13"/>
      <c r="F27" s="13">
        <f t="shared" si="6"/>
        <v>2600</v>
      </c>
      <c r="G27" s="13">
        <f t="shared" si="6"/>
        <v>227400</v>
      </c>
      <c r="H27" s="155"/>
      <c r="I27" s="156"/>
      <c r="J27" s="157"/>
    </row>
    <row r="28" spans="1:10" s="10" customFormat="1" ht="12" x14ac:dyDescent="0.3">
      <c r="A28" s="151" t="s">
        <v>34</v>
      </c>
      <c r="B28" s="147"/>
      <c r="C28" s="148"/>
      <c r="D28" s="9"/>
      <c r="E28" s="9"/>
      <c r="F28" s="13">
        <f>SUMIFS(F4:F23,$B$4:$B$23,"&gt;=10",$B$4:$B$23,"&lt;15")</f>
        <v>8900</v>
      </c>
      <c r="G28" s="13">
        <f>SUMIFS(G4:G23,$B$4:$B$23,"&gt;=10",$B$4:$B$23,"&lt;15")</f>
        <v>826100</v>
      </c>
      <c r="H28" s="155"/>
      <c r="I28" s="156"/>
      <c r="J28" s="157"/>
    </row>
    <row r="29" spans="1:10" s="10" customFormat="1" ht="12" x14ac:dyDescent="0.3">
      <c r="A29" s="151" t="s">
        <v>35</v>
      </c>
      <c r="B29" s="147"/>
      <c r="C29" s="147"/>
      <c r="D29" s="147"/>
      <c r="E29" s="147"/>
      <c r="F29" s="148"/>
      <c r="G29" s="102">
        <f>COUNTIF($I$4:$I$23,"폐쇄")</f>
        <v>6</v>
      </c>
      <c r="H29" s="158"/>
      <c r="I29" s="159"/>
      <c r="J29" s="160"/>
    </row>
    <row r="30" spans="1:10" s="10" customFormat="1" ht="14.45" x14ac:dyDescent="0.45">
      <c r="A30" s="143" t="s">
        <v>54</v>
      </c>
      <c r="B30" s="144"/>
      <c r="C30" s="144"/>
      <c r="D30" s="144"/>
      <c r="E30" s="144"/>
      <c r="F30" s="144"/>
      <c r="G30" s="144"/>
      <c r="H30" s="144"/>
      <c r="I30" s="144"/>
      <c r="J30" s="145"/>
    </row>
    <row r="31" spans="1:10" s="10" customFormat="1" ht="12" x14ac:dyDescent="0.3">
      <c r="A31" s="146" t="s">
        <v>272</v>
      </c>
      <c r="B31" s="147"/>
      <c r="C31" s="147"/>
      <c r="D31" s="147"/>
      <c r="E31" s="147"/>
      <c r="F31" s="147"/>
      <c r="G31" s="147"/>
      <c r="H31" s="147"/>
      <c r="I31" s="147"/>
      <c r="J31" s="148"/>
    </row>
  </sheetData>
  <sortState xmlns:xlrd2="http://schemas.microsoft.com/office/spreadsheetml/2017/richdata2" ref="A4:J23">
    <sortCondition ref="I4:I23"/>
    <sortCondition ref="G4:G23"/>
  </sortState>
  <mergeCells count="8">
    <mergeCell ref="A30:J30"/>
    <mergeCell ref="A31:J31"/>
    <mergeCell ref="A1:J1"/>
    <mergeCell ref="A24:C24"/>
    <mergeCell ref="H24:J29"/>
    <mergeCell ref="A25:A27"/>
    <mergeCell ref="A28:C28"/>
    <mergeCell ref="A29:F29"/>
  </mergeCells>
  <phoneticPr fontId="1" type="noConversion"/>
  <printOptions horizontalCentered="1"/>
  <pageMargins left="0.59055118110236227" right="0.59055118110236227" top="2.3622047244094491" bottom="0.19685039370078741" header="0.31496062992125984" footer="0.31496062992125984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2:D22"/>
  <sheetViews>
    <sheetView workbookViewId="0">
      <selection activeCell="A3" sqref="A3"/>
    </sheetView>
  </sheetViews>
  <sheetFormatPr defaultRowHeight="16.5" x14ac:dyDescent="0.3"/>
  <sheetData>
    <row r="2" spans="1:4" x14ac:dyDescent="0.3">
      <c r="A2" t="s">
        <v>55</v>
      </c>
      <c r="B2" t="s">
        <v>56</v>
      </c>
      <c r="C2" t="s">
        <v>57</v>
      </c>
      <c r="D2" t="s">
        <v>58</v>
      </c>
    </row>
    <row r="3" spans="1:4" x14ac:dyDescent="0.3">
      <c r="A3" t="s">
        <v>59</v>
      </c>
      <c r="B3" t="s">
        <v>2</v>
      </c>
      <c r="C3">
        <v>65</v>
      </c>
      <c r="D3">
        <v>73</v>
      </c>
    </row>
    <row r="4" spans="1:4" x14ac:dyDescent="0.3">
      <c r="A4" t="s">
        <v>60</v>
      </c>
      <c r="B4" t="s">
        <v>2</v>
      </c>
      <c r="C4">
        <v>50</v>
      </c>
      <c r="D4">
        <v>49</v>
      </c>
    </row>
    <row r="5" spans="1:4" x14ac:dyDescent="0.3">
      <c r="A5" t="s">
        <v>61</v>
      </c>
      <c r="B5" t="s">
        <v>0</v>
      </c>
      <c r="C5">
        <v>45</v>
      </c>
      <c r="D5">
        <v>60</v>
      </c>
    </row>
    <row r="6" spans="1:4" x14ac:dyDescent="0.3">
      <c r="A6" t="s">
        <v>62</v>
      </c>
      <c r="B6" t="s">
        <v>2</v>
      </c>
      <c r="C6">
        <v>69</v>
      </c>
      <c r="D6">
        <v>82</v>
      </c>
    </row>
    <row r="7" spans="1:4" x14ac:dyDescent="0.3">
      <c r="A7" t="s">
        <v>63</v>
      </c>
      <c r="B7" t="s">
        <v>1</v>
      </c>
      <c r="C7">
        <v>54</v>
      </c>
      <c r="D7">
        <v>58</v>
      </c>
    </row>
    <row r="8" spans="1:4" x14ac:dyDescent="0.3">
      <c r="A8" t="s">
        <v>64</v>
      </c>
      <c r="B8" t="s">
        <v>2</v>
      </c>
      <c r="C8">
        <v>77</v>
      </c>
      <c r="D8">
        <v>78</v>
      </c>
    </row>
    <row r="9" spans="1:4" x14ac:dyDescent="0.3">
      <c r="A9" t="s">
        <v>65</v>
      </c>
      <c r="B9" t="s">
        <v>0</v>
      </c>
      <c r="C9">
        <v>87</v>
      </c>
      <c r="D9">
        <v>74</v>
      </c>
    </row>
    <row r="10" spans="1:4" x14ac:dyDescent="0.3">
      <c r="A10" t="s">
        <v>66</v>
      </c>
      <c r="B10" t="s">
        <v>1</v>
      </c>
      <c r="C10">
        <v>84</v>
      </c>
      <c r="D10">
        <v>65</v>
      </c>
    </row>
    <row r="11" spans="1:4" x14ac:dyDescent="0.3">
      <c r="A11" t="s">
        <v>67</v>
      </c>
      <c r="B11" t="s">
        <v>2</v>
      </c>
      <c r="C11">
        <v>56</v>
      </c>
      <c r="D11">
        <v>80</v>
      </c>
    </row>
    <row r="12" spans="1:4" x14ac:dyDescent="0.3">
      <c r="A12" t="s">
        <v>68</v>
      </c>
      <c r="B12" t="s">
        <v>2</v>
      </c>
      <c r="C12">
        <v>48</v>
      </c>
      <c r="D12">
        <v>50</v>
      </c>
    </row>
    <row r="13" spans="1:4" x14ac:dyDescent="0.3">
      <c r="A13" t="s">
        <v>69</v>
      </c>
      <c r="B13" t="s">
        <v>1</v>
      </c>
      <c r="C13">
        <v>58</v>
      </c>
      <c r="D13">
        <v>68</v>
      </c>
    </row>
    <row r="14" spans="1:4" x14ac:dyDescent="0.3">
      <c r="A14" t="s">
        <v>70</v>
      </c>
      <c r="B14" t="s">
        <v>0</v>
      </c>
      <c r="C14">
        <v>59</v>
      </c>
      <c r="D14">
        <v>72</v>
      </c>
    </row>
    <row r="15" spans="1:4" x14ac:dyDescent="0.3">
      <c r="A15" t="s">
        <v>71</v>
      </c>
      <c r="B15" t="s">
        <v>0</v>
      </c>
      <c r="C15">
        <v>62</v>
      </c>
      <c r="D15">
        <v>80</v>
      </c>
    </row>
    <row r="16" spans="1:4" x14ac:dyDescent="0.3">
      <c r="A16" t="s">
        <v>72</v>
      </c>
      <c r="B16" t="s">
        <v>1</v>
      </c>
      <c r="C16">
        <v>65</v>
      </c>
      <c r="D16">
        <v>88</v>
      </c>
    </row>
    <row r="17" spans="1:4" x14ac:dyDescent="0.3">
      <c r="A17" t="s">
        <v>73</v>
      </c>
      <c r="B17" t="s">
        <v>0</v>
      </c>
      <c r="C17">
        <v>72</v>
      </c>
      <c r="D17">
        <v>92</v>
      </c>
    </row>
    <row r="18" spans="1:4" x14ac:dyDescent="0.3">
      <c r="A18" t="s">
        <v>74</v>
      </c>
      <c r="B18" t="s">
        <v>1</v>
      </c>
      <c r="C18">
        <v>82</v>
      </c>
      <c r="D18">
        <v>48</v>
      </c>
    </row>
    <row r="19" spans="1:4" x14ac:dyDescent="0.3">
      <c r="A19" t="s">
        <v>75</v>
      </c>
      <c r="B19" t="s">
        <v>0</v>
      </c>
      <c r="C19">
        <v>55</v>
      </c>
      <c r="D19">
        <v>64</v>
      </c>
    </row>
    <row r="20" spans="1:4" x14ac:dyDescent="0.3">
      <c r="A20" t="s">
        <v>76</v>
      </c>
      <c r="B20" t="s">
        <v>2</v>
      </c>
      <c r="C20">
        <v>76</v>
      </c>
      <c r="D20">
        <v>60</v>
      </c>
    </row>
    <row r="21" spans="1:4" x14ac:dyDescent="0.3">
      <c r="A21" t="s">
        <v>77</v>
      </c>
      <c r="B21" t="s">
        <v>0</v>
      </c>
      <c r="C21">
        <v>54</v>
      </c>
      <c r="D21">
        <v>60</v>
      </c>
    </row>
    <row r="22" spans="1:4" x14ac:dyDescent="0.3">
      <c r="A22" t="s">
        <v>78</v>
      </c>
      <c r="B22" t="s">
        <v>1</v>
      </c>
      <c r="C22">
        <v>50</v>
      </c>
      <c r="D22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selection activeCell="B3" sqref="B3"/>
    </sheetView>
  </sheetViews>
  <sheetFormatPr defaultRowHeight="16.5" x14ac:dyDescent="0.3"/>
  <sheetData>
    <row r="1" spans="1:10" x14ac:dyDescent="0.3">
      <c r="A1" s="163" t="s">
        <v>79</v>
      </c>
      <c r="B1" s="163"/>
      <c r="C1" s="163"/>
      <c r="D1" s="163"/>
      <c r="E1" s="163"/>
      <c r="F1" s="163"/>
      <c r="G1" s="163"/>
      <c r="H1" s="163"/>
      <c r="I1" s="163"/>
      <c r="J1" s="163"/>
    </row>
    <row r="2" spans="1:10" x14ac:dyDescent="0.3">
      <c r="A2" s="2" t="s">
        <v>55</v>
      </c>
      <c r="B2" s="2" t="s">
        <v>56</v>
      </c>
      <c r="C2" s="2" t="s">
        <v>57</v>
      </c>
      <c r="D2" s="2" t="s">
        <v>58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</row>
    <row r="3" spans="1:10" x14ac:dyDescent="0.3">
      <c r="A3" s="2" t="s">
        <v>59</v>
      </c>
      <c r="B3" s="2" t="s">
        <v>2</v>
      </c>
      <c r="C3" s="3">
        <v>65</v>
      </c>
      <c r="D3" s="3">
        <v>73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</row>
    <row r="4" spans="1:10" x14ac:dyDescent="0.3">
      <c r="A4" s="2" t="s">
        <v>60</v>
      </c>
      <c r="B4" s="2" t="s">
        <v>2</v>
      </c>
      <c r="C4" s="3">
        <v>50</v>
      </c>
      <c r="D4" s="3">
        <v>49</v>
      </c>
      <c r="E4" s="2"/>
      <c r="F4" s="2"/>
      <c r="G4" s="2"/>
      <c r="H4" s="2"/>
      <c r="I4" s="2"/>
      <c r="J4" s="2"/>
    </row>
    <row r="5" spans="1:10" x14ac:dyDescent="0.3">
      <c r="A5" s="2" t="s">
        <v>61</v>
      </c>
      <c r="B5" s="2" t="s">
        <v>0</v>
      </c>
      <c r="C5" s="3">
        <v>45</v>
      </c>
      <c r="D5" s="3">
        <v>60</v>
      </c>
      <c r="E5" s="2"/>
      <c r="F5" s="2"/>
      <c r="G5" s="2"/>
      <c r="H5" s="2"/>
      <c r="I5" s="2"/>
      <c r="J5" s="2"/>
    </row>
    <row r="6" spans="1:10" x14ac:dyDescent="0.3">
      <c r="A6" s="2" t="s">
        <v>62</v>
      </c>
      <c r="B6" s="2" t="s">
        <v>2</v>
      </c>
      <c r="C6" s="3">
        <v>69</v>
      </c>
      <c r="D6" s="3">
        <v>82</v>
      </c>
      <c r="E6" s="2"/>
      <c r="F6" s="2"/>
      <c r="G6" s="2"/>
      <c r="H6" s="2"/>
      <c r="I6" s="2"/>
      <c r="J6" s="2"/>
    </row>
    <row r="7" spans="1:10" x14ac:dyDescent="0.3">
      <c r="A7" s="2" t="s">
        <v>63</v>
      </c>
      <c r="B7" s="2" t="s">
        <v>1</v>
      </c>
      <c r="C7" s="3">
        <v>54</v>
      </c>
      <c r="D7" s="3">
        <v>58</v>
      </c>
      <c r="E7" s="2"/>
      <c r="F7" s="2"/>
      <c r="G7" s="2"/>
      <c r="H7" s="2"/>
      <c r="I7" s="2"/>
      <c r="J7" s="2"/>
    </row>
    <row r="8" spans="1:10" x14ac:dyDescent="0.3">
      <c r="A8" s="2" t="s">
        <v>64</v>
      </c>
      <c r="B8" s="2" t="s">
        <v>2</v>
      </c>
      <c r="C8" s="3">
        <v>77</v>
      </c>
      <c r="D8" s="3">
        <v>78</v>
      </c>
      <c r="E8" s="2"/>
      <c r="F8" s="2"/>
      <c r="G8" s="2"/>
      <c r="H8" s="2"/>
      <c r="I8" s="2"/>
      <c r="J8" s="2"/>
    </row>
    <row r="9" spans="1:10" x14ac:dyDescent="0.3">
      <c r="A9" s="2" t="s">
        <v>65</v>
      </c>
      <c r="B9" s="2" t="s">
        <v>0</v>
      </c>
      <c r="C9" s="3">
        <v>87</v>
      </c>
      <c r="D9" s="3">
        <v>74</v>
      </c>
      <c r="E9" s="2"/>
      <c r="F9" s="2"/>
      <c r="G9" s="2"/>
      <c r="H9" s="2"/>
      <c r="I9" s="2"/>
      <c r="J9" s="2"/>
    </row>
    <row r="10" spans="1:10" x14ac:dyDescent="0.3">
      <c r="A10" s="2" t="s">
        <v>66</v>
      </c>
      <c r="B10" s="2" t="s">
        <v>1</v>
      </c>
      <c r="C10" s="3">
        <v>84</v>
      </c>
      <c r="D10" s="3">
        <v>65</v>
      </c>
      <c r="E10" s="2"/>
      <c r="F10" s="2"/>
      <c r="G10" s="2"/>
      <c r="H10" s="2"/>
      <c r="I10" s="2"/>
      <c r="J10" s="2"/>
    </row>
    <row r="11" spans="1:10" x14ac:dyDescent="0.3">
      <c r="A11" s="2" t="s">
        <v>67</v>
      </c>
      <c r="B11" s="2" t="s">
        <v>2</v>
      </c>
      <c r="C11" s="3">
        <v>56</v>
      </c>
      <c r="D11" s="3">
        <v>80</v>
      </c>
      <c r="E11" s="2"/>
      <c r="F11" s="2"/>
      <c r="G11" s="2"/>
      <c r="H11" s="2"/>
      <c r="I11" s="2"/>
      <c r="J11" s="2"/>
    </row>
    <row r="12" spans="1:10" x14ac:dyDescent="0.3">
      <c r="A12" s="2" t="s">
        <v>68</v>
      </c>
      <c r="B12" s="2" t="s">
        <v>2</v>
      </c>
      <c r="C12" s="3">
        <v>48</v>
      </c>
      <c r="D12" s="3">
        <v>50</v>
      </c>
      <c r="E12" s="2"/>
      <c r="F12" s="2"/>
      <c r="G12" s="2"/>
      <c r="H12" s="2"/>
      <c r="I12" s="2"/>
      <c r="J12" s="2"/>
    </row>
    <row r="13" spans="1:10" x14ac:dyDescent="0.3">
      <c r="A13" s="2" t="s">
        <v>69</v>
      </c>
      <c r="B13" s="2" t="s">
        <v>1</v>
      </c>
      <c r="C13" s="3">
        <v>58</v>
      </c>
      <c r="D13" s="3">
        <v>68</v>
      </c>
      <c r="E13" s="2"/>
      <c r="F13" s="2"/>
      <c r="G13" s="2"/>
      <c r="H13" s="2"/>
      <c r="I13" s="2"/>
      <c r="J13" s="2"/>
    </row>
    <row r="14" spans="1:10" x14ac:dyDescent="0.3">
      <c r="A14" s="2" t="s">
        <v>70</v>
      </c>
      <c r="B14" s="2" t="s">
        <v>0</v>
      </c>
      <c r="C14" s="3">
        <v>59</v>
      </c>
      <c r="D14" s="3">
        <v>72</v>
      </c>
      <c r="E14" s="2"/>
      <c r="F14" s="2"/>
      <c r="G14" s="2"/>
      <c r="H14" s="2"/>
      <c r="I14" s="2"/>
      <c r="J14" s="2"/>
    </row>
    <row r="15" spans="1:10" x14ac:dyDescent="0.3">
      <c r="A15" s="2" t="s">
        <v>71</v>
      </c>
      <c r="B15" s="2" t="s">
        <v>0</v>
      </c>
      <c r="C15" s="3">
        <v>62</v>
      </c>
      <c r="D15" s="3">
        <v>80</v>
      </c>
      <c r="E15" s="2"/>
      <c r="F15" s="2"/>
      <c r="G15" s="2"/>
      <c r="H15" s="2"/>
      <c r="I15" s="2"/>
      <c r="J15" s="2"/>
    </row>
    <row r="16" spans="1:10" x14ac:dyDescent="0.3">
      <c r="A16" s="2" t="s">
        <v>72</v>
      </c>
      <c r="B16" s="2" t="s">
        <v>1</v>
      </c>
      <c r="C16" s="3">
        <v>65</v>
      </c>
      <c r="D16" s="3">
        <v>88</v>
      </c>
      <c r="E16" s="2"/>
      <c r="F16" s="2"/>
      <c r="G16" s="2"/>
      <c r="H16" s="2"/>
      <c r="I16" s="2"/>
      <c r="J16" s="2"/>
    </row>
    <row r="17" spans="1:10" x14ac:dyDescent="0.3">
      <c r="A17" s="2" t="s">
        <v>73</v>
      </c>
      <c r="B17" s="2" t="s">
        <v>0</v>
      </c>
      <c r="C17" s="3">
        <v>72</v>
      </c>
      <c r="D17" s="3">
        <v>92</v>
      </c>
      <c r="E17" s="2"/>
      <c r="F17" s="2"/>
      <c r="G17" s="2"/>
      <c r="H17" s="2"/>
      <c r="I17" s="2"/>
      <c r="J17" s="2"/>
    </row>
    <row r="18" spans="1:10" x14ac:dyDescent="0.3">
      <c r="A18" s="2" t="s">
        <v>74</v>
      </c>
      <c r="B18" s="2" t="s">
        <v>1</v>
      </c>
      <c r="C18" s="3">
        <v>82</v>
      </c>
      <c r="D18" s="3">
        <v>48</v>
      </c>
      <c r="E18" s="2"/>
      <c r="F18" s="2"/>
      <c r="G18" s="2"/>
      <c r="H18" s="2"/>
      <c r="I18" s="2"/>
      <c r="J18" s="2"/>
    </row>
    <row r="19" spans="1:10" x14ac:dyDescent="0.3">
      <c r="A19" s="2" t="s">
        <v>75</v>
      </c>
      <c r="B19" s="2" t="s">
        <v>0</v>
      </c>
      <c r="C19" s="3">
        <v>55</v>
      </c>
      <c r="D19" s="3">
        <v>64</v>
      </c>
      <c r="E19" s="2"/>
      <c r="F19" s="2"/>
      <c r="G19" s="2"/>
      <c r="H19" s="2"/>
      <c r="I19" s="2"/>
      <c r="J19" s="2"/>
    </row>
    <row r="20" spans="1:10" x14ac:dyDescent="0.3">
      <c r="A20" s="2" t="s">
        <v>76</v>
      </c>
      <c r="B20" s="2" t="s">
        <v>2</v>
      </c>
      <c r="C20" s="3">
        <v>76</v>
      </c>
      <c r="D20" s="3">
        <v>60</v>
      </c>
      <c r="E20" s="2"/>
      <c r="F20" s="2"/>
      <c r="G20" s="2"/>
      <c r="H20" s="2"/>
      <c r="I20" s="2"/>
      <c r="J20" s="2"/>
    </row>
    <row r="21" spans="1:10" x14ac:dyDescent="0.3">
      <c r="A21" s="2" t="s">
        <v>77</v>
      </c>
      <c r="B21" s="2" t="s">
        <v>0</v>
      </c>
      <c r="C21" s="3">
        <v>54</v>
      </c>
      <c r="D21" s="3">
        <v>60</v>
      </c>
      <c r="E21" s="2"/>
      <c r="F21" s="2"/>
      <c r="G21" s="2"/>
      <c r="H21" s="2"/>
      <c r="I21" s="2"/>
      <c r="J21" s="2"/>
    </row>
    <row r="22" spans="1:10" x14ac:dyDescent="0.3">
      <c r="A22" s="2" t="s">
        <v>78</v>
      </c>
      <c r="B22" s="2" t="s">
        <v>1</v>
      </c>
      <c r="C22" s="3">
        <v>50</v>
      </c>
      <c r="D22" s="3">
        <v>45</v>
      </c>
      <c r="E22" s="2"/>
      <c r="F22" s="2"/>
      <c r="G22" s="2"/>
      <c r="H22" s="2"/>
      <c r="I22" s="2"/>
      <c r="J22" s="2"/>
    </row>
    <row r="23" spans="1:10" x14ac:dyDescent="0.3">
      <c r="A23" s="127" t="s">
        <v>86</v>
      </c>
      <c r="B23" s="129"/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164"/>
      <c r="J23" s="164"/>
    </row>
    <row r="24" spans="1:10" x14ac:dyDescent="0.3">
      <c r="A24" s="127" t="s">
        <v>87</v>
      </c>
      <c r="B24" s="128"/>
      <c r="C24" s="128"/>
      <c r="D24" s="128"/>
      <c r="E24" s="128"/>
      <c r="F24" s="128"/>
      <c r="G24" s="129"/>
      <c r="H24" s="2" t="s">
        <v>47</v>
      </c>
      <c r="I24" s="164"/>
      <c r="J24" s="164"/>
    </row>
    <row r="25" spans="1:10" x14ac:dyDescent="0.3">
      <c r="A25" s="127" t="s">
        <v>88</v>
      </c>
      <c r="B25" s="128"/>
      <c r="C25" s="128"/>
      <c r="D25" s="128"/>
      <c r="E25" s="128"/>
      <c r="F25" s="128"/>
      <c r="G25" s="129"/>
      <c r="H25" s="2" t="s">
        <v>48</v>
      </c>
      <c r="I25" s="164"/>
      <c r="J25" s="164"/>
    </row>
    <row r="26" spans="1:10" x14ac:dyDescent="0.3">
      <c r="A26" s="127" t="s">
        <v>52</v>
      </c>
      <c r="B26" s="128"/>
      <c r="C26" s="128"/>
      <c r="D26" s="128"/>
      <c r="E26" s="128"/>
      <c r="F26" s="128"/>
      <c r="G26" s="128"/>
      <c r="H26" s="128"/>
      <c r="I26" s="128"/>
      <c r="J26" s="129"/>
    </row>
    <row r="27" spans="1:10" x14ac:dyDescent="0.3">
      <c r="A27" s="127" t="s">
        <v>89</v>
      </c>
      <c r="B27" s="128"/>
      <c r="C27" s="128"/>
      <c r="D27" s="128"/>
      <c r="E27" s="128"/>
      <c r="F27" s="129"/>
      <c r="G27" s="2" t="s">
        <v>91</v>
      </c>
      <c r="H27" s="2" t="s">
        <v>91</v>
      </c>
      <c r="I27" s="164"/>
      <c r="J27" s="164"/>
    </row>
    <row r="28" spans="1:10" x14ac:dyDescent="0.3">
      <c r="A28" s="127" t="s">
        <v>90</v>
      </c>
      <c r="B28" s="128"/>
      <c r="C28" s="128"/>
      <c r="D28" s="128"/>
      <c r="E28" s="128"/>
      <c r="F28" s="129"/>
      <c r="G28" s="2" t="s">
        <v>50</v>
      </c>
      <c r="H28" s="2" t="s">
        <v>50</v>
      </c>
      <c r="I28" s="164"/>
      <c r="J28" s="164"/>
    </row>
    <row r="29" spans="1:10" x14ac:dyDescent="0.3">
      <c r="A29" s="127" t="s">
        <v>51</v>
      </c>
      <c r="B29" s="128"/>
      <c r="C29" s="128"/>
      <c r="D29" s="128"/>
      <c r="E29" s="128"/>
      <c r="F29" s="128"/>
      <c r="G29" s="128"/>
      <c r="H29" s="128"/>
      <c r="I29" s="128"/>
      <c r="J29" s="129"/>
    </row>
  </sheetData>
  <mergeCells count="10">
    <mergeCell ref="A1:J1"/>
    <mergeCell ref="A23:B23"/>
    <mergeCell ref="A29:J29"/>
    <mergeCell ref="I27:J28"/>
    <mergeCell ref="A26:J26"/>
    <mergeCell ref="I23:J25"/>
    <mergeCell ref="A28:F28"/>
    <mergeCell ref="A27:F27"/>
    <mergeCell ref="A25:G25"/>
    <mergeCell ref="A24:G2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29"/>
  <sheetViews>
    <sheetView tabSelected="1" topLeftCell="A2" zoomScaleNormal="100" workbookViewId="0">
      <selection activeCell="O31" sqref="O31"/>
    </sheetView>
  </sheetViews>
  <sheetFormatPr defaultRowHeight="16.5" x14ac:dyDescent="0.3"/>
  <cols>
    <col min="1" max="1" width="7.5" bestFit="1" customWidth="1"/>
    <col min="2" max="3" width="7" customWidth="1"/>
    <col min="4" max="5" width="8" customWidth="1"/>
    <col min="6" max="6" width="7.75" customWidth="1"/>
    <col min="7" max="7" width="8.125" customWidth="1"/>
    <col min="8" max="9" width="7.75" customWidth="1"/>
    <col min="10" max="10" width="7" customWidth="1"/>
  </cols>
  <sheetData>
    <row r="1" spans="1:15" ht="26.25" x14ac:dyDescent="0.3">
      <c r="A1" s="166" t="s">
        <v>79</v>
      </c>
      <c r="B1" s="167"/>
      <c r="C1" s="167"/>
      <c r="D1" s="167"/>
      <c r="E1" s="167"/>
      <c r="F1" s="167"/>
      <c r="G1" s="167"/>
      <c r="H1" s="167"/>
      <c r="I1" s="167"/>
      <c r="J1" s="167"/>
    </row>
    <row r="2" spans="1:15" s="10" customFormat="1" ht="12" x14ac:dyDescent="0.3">
      <c r="A2" s="8" t="s">
        <v>55</v>
      </c>
      <c r="B2" s="8" t="s">
        <v>56</v>
      </c>
      <c r="C2" s="8" t="s">
        <v>57</v>
      </c>
      <c r="D2" s="8" t="s">
        <v>58</v>
      </c>
      <c r="E2" s="8" t="s">
        <v>80</v>
      </c>
      <c r="F2" s="8" t="s">
        <v>81</v>
      </c>
      <c r="G2" s="8" t="s">
        <v>82</v>
      </c>
      <c r="H2" s="8" t="s">
        <v>83</v>
      </c>
      <c r="I2" s="8" t="s">
        <v>84</v>
      </c>
      <c r="J2" s="8" t="s">
        <v>85</v>
      </c>
    </row>
    <row r="3" spans="1:15" s="10" customFormat="1" ht="12" x14ac:dyDescent="0.3">
      <c r="A3" s="16" t="s">
        <v>73</v>
      </c>
      <c r="B3" s="16" t="s">
        <v>0</v>
      </c>
      <c r="C3" s="17">
        <v>72</v>
      </c>
      <c r="D3" s="17">
        <v>92</v>
      </c>
      <c r="E3" s="17">
        <f t="shared" ref="E3:E22" si="0">IF(B3="A",20,IF(B3="B",15,IF(B3="C",10)))</f>
        <v>20</v>
      </c>
      <c r="F3" s="17">
        <f t="shared" ref="F3:F22" si="1">E3+((C3+D3)*40%)</f>
        <v>85.600000000000009</v>
      </c>
      <c r="G3" s="103">
        <f>IF(D3&gt;=C3,D3*20%,C3*10%)</f>
        <v>18.400000000000002</v>
      </c>
      <c r="H3" s="17">
        <f t="shared" ref="H3:H22" si="2">F3+G3</f>
        <v>104.00000000000001</v>
      </c>
      <c r="I3" s="17">
        <f>RANK(H3,$H$3:$H$22)</f>
        <v>1</v>
      </c>
      <c r="J3" s="16" t="str">
        <f t="shared" ref="J3:J22" si="3">IF(H3&gt;=90,"최우수",IF(H3&gt;=80,"우수",IF(H3&lt;60,"미달","보통")))</f>
        <v>최우수</v>
      </c>
    </row>
    <row r="4" spans="1:15" s="10" customFormat="1" ht="12" x14ac:dyDescent="0.3">
      <c r="A4" s="18" t="s">
        <v>72</v>
      </c>
      <c r="B4" s="18" t="s">
        <v>1</v>
      </c>
      <c r="C4" s="19">
        <v>65</v>
      </c>
      <c r="D4" s="19">
        <v>88</v>
      </c>
      <c r="E4" s="19">
        <f t="shared" si="0"/>
        <v>15</v>
      </c>
      <c r="F4" s="19">
        <f t="shared" si="1"/>
        <v>76.2</v>
      </c>
      <c r="G4" s="104">
        <f t="shared" ref="G4:G22" si="4">IF(D4&gt;=C4,D4*20%,C4*10%)</f>
        <v>17.600000000000001</v>
      </c>
      <c r="H4" s="19">
        <f t="shared" si="2"/>
        <v>93.800000000000011</v>
      </c>
      <c r="I4" s="19">
        <f t="shared" ref="I4:I22" si="5">RANK(H4,$H$3:$H$22)</f>
        <v>2</v>
      </c>
      <c r="J4" s="18" t="str">
        <f t="shared" si="3"/>
        <v>최우수</v>
      </c>
    </row>
    <row r="5" spans="1:15" s="10" customFormat="1" ht="12" x14ac:dyDescent="0.3">
      <c r="A5" s="18" t="s">
        <v>65</v>
      </c>
      <c r="B5" s="18" t="s">
        <v>0</v>
      </c>
      <c r="C5" s="19">
        <v>87</v>
      </c>
      <c r="D5" s="19">
        <v>74</v>
      </c>
      <c r="E5" s="19">
        <f t="shared" si="0"/>
        <v>20</v>
      </c>
      <c r="F5" s="19">
        <f t="shared" si="1"/>
        <v>84.4</v>
      </c>
      <c r="G5" s="104">
        <f t="shared" si="4"/>
        <v>8.7000000000000011</v>
      </c>
      <c r="H5" s="19">
        <f t="shared" si="2"/>
        <v>93.100000000000009</v>
      </c>
      <c r="I5" s="19">
        <f t="shared" si="5"/>
        <v>3</v>
      </c>
      <c r="J5" s="18" t="str">
        <f t="shared" si="3"/>
        <v>최우수</v>
      </c>
    </row>
    <row r="6" spans="1:15" s="10" customFormat="1" ht="12" x14ac:dyDescent="0.3">
      <c r="A6" s="18" t="s">
        <v>71</v>
      </c>
      <c r="B6" s="18" t="s">
        <v>0</v>
      </c>
      <c r="C6" s="19">
        <v>62</v>
      </c>
      <c r="D6" s="19">
        <v>80</v>
      </c>
      <c r="E6" s="19">
        <f t="shared" si="0"/>
        <v>20</v>
      </c>
      <c r="F6" s="19">
        <f t="shared" si="1"/>
        <v>76.800000000000011</v>
      </c>
      <c r="G6" s="104">
        <f t="shared" si="4"/>
        <v>16</v>
      </c>
      <c r="H6" s="19">
        <f t="shared" si="2"/>
        <v>92.800000000000011</v>
      </c>
      <c r="I6" s="19">
        <f t="shared" si="5"/>
        <v>4</v>
      </c>
      <c r="J6" s="18" t="str">
        <f t="shared" si="3"/>
        <v>최우수</v>
      </c>
    </row>
    <row r="7" spans="1:15" s="10" customFormat="1" ht="12" x14ac:dyDescent="0.3">
      <c r="A7" s="18" t="s">
        <v>64</v>
      </c>
      <c r="B7" s="18" t="s">
        <v>2</v>
      </c>
      <c r="C7" s="19">
        <v>77</v>
      </c>
      <c r="D7" s="19">
        <v>78</v>
      </c>
      <c r="E7" s="19">
        <f t="shared" si="0"/>
        <v>10</v>
      </c>
      <c r="F7" s="19">
        <f t="shared" si="1"/>
        <v>72</v>
      </c>
      <c r="G7" s="104">
        <f t="shared" si="4"/>
        <v>15.600000000000001</v>
      </c>
      <c r="H7" s="19">
        <f t="shared" si="2"/>
        <v>87.6</v>
      </c>
      <c r="I7" s="19">
        <f t="shared" si="5"/>
        <v>5</v>
      </c>
      <c r="J7" s="18" t="str">
        <f t="shared" si="3"/>
        <v>우수</v>
      </c>
    </row>
    <row r="8" spans="1:15" s="10" customFormat="1" ht="12" x14ac:dyDescent="0.3">
      <c r="A8" s="18" t="s">
        <v>70</v>
      </c>
      <c r="B8" s="18" t="s">
        <v>0</v>
      </c>
      <c r="C8" s="19">
        <v>59</v>
      </c>
      <c r="D8" s="19">
        <v>72</v>
      </c>
      <c r="E8" s="19">
        <f t="shared" si="0"/>
        <v>20</v>
      </c>
      <c r="F8" s="19">
        <f t="shared" si="1"/>
        <v>72.400000000000006</v>
      </c>
      <c r="G8" s="104">
        <f t="shared" si="4"/>
        <v>14.4</v>
      </c>
      <c r="H8" s="19">
        <f t="shared" si="2"/>
        <v>86.800000000000011</v>
      </c>
      <c r="I8" s="19">
        <f t="shared" si="5"/>
        <v>6</v>
      </c>
      <c r="J8" s="18" t="str">
        <f t="shared" si="3"/>
        <v>우수</v>
      </c>
    </row>
    <row r="9" spans="1:15" s="10" customFormat="1" ht="12" x14ac:dyDescent="0.3">
      <c r="A9" s="18" t="s">
        <v>62</v>
      </c>
      <c r="B9" s="18" t="s">
        <v>2</v>
      </c>
      <c r="C9" s="19">
        <v>69</v>
      </c>
      <c r="D9" s="19">
        <v>82</v>
      </c>
      <c r="E9" s="19">
        <f t="shared" si="0"/>
        <v>10</v>
      </c>
      <c r="F9" s="19">
        <f t="shared" si="1"/>
        <v>70.400000000000006</v>
      </c>
      <c r="G9" s="104">
        <f t="shared" si="4"/>
        <v>16.400000000000002</v>
      </c>
      <c r="H9" s="19">
        <f t="shared" si="2"/>
        <v>86.800000000000011</v>
      </c>
      <c r="I9" s="19">
        <f t="shared" si="5"/>
        <v>6</v>
      </c>
      <c r="J9" s="18" t="str">
        <f t="shared" si="3"/>
        <v>우수</v>
      </c>
    </row>
    <row r="10" spans="1:15" s="10" customFormat="1" ht="12" x14ac:dyDescent="0.3">
      <c r="A10" s="18" t="s">
        <v>66</v>
      </c>
      <c r="B10" s="18" t="s">
        <v>1</v>
      </c>
      <c r="C10" s="19">
        <v>84</v>
      </c>
      <c r="D10" s="19">
        <v>65</v>
      </c>
      <c r="E10" s="19">
        <f t="shared" si="0"/>
        <v>15</v>
      </c>
      <c r="F10" s="19">
        <f t="shared" si="1"/>
        <v>74.599999999999994</v>
      </c>
      <c r="G10" s="104">
        <f t="shared" si="4"/>
        <v>8.4</v>
      </c>
      <c r="H10" s="19">
        <f t="shared" si="2"/>
        <v>83</v>
      </c>
      <c r="I10" s="19">
        <f t="shared" si="5"/>
        <v>8</v>
      </c>
      <c r="J10" s="18" t="str">
        <f t="shared" si="3"/>
        <v>우수</v>
      </c>
    </row>
    <row r="11" spans="1:15" s="10" customFormat="1" ht="12" x14ac:dyDescent="0.3">
      <c r="A11" s="18" t="s">
        <v>67</v>
      </c>
      <c r="B11" s="18" t="s">
        <v>2</v>
      </c>
      <c r="C11" s="19">
        <v>56</v>
      </c>
      <c r="D11" s="19">
        <v>80</v>
      </c>
      <c r="E11" s="19">
        <f t="shared" si="0"/>
        <v>10</v>
      </c>
      <c r="F11" s="19">
        <f t="shared" si="1"/>
        <v>64.400000000000006</v>
      </c>
      <c r="G11" s="104">
        <f t="shared" si="4"/>
        <v>16</v>
      </c>
      <c r="H11" s="19">
        <f t="shared" si="2"/>
        <v>80.400000000000006</v>
      </c>
      <c r="I11" s="19">
        <f t="shared" si="5"/>
        <v>9</v>
      </c>
      <c r="J11" s="18" t="str">
        <f t="shared" si="3"/>
        <v>우수</v>
      </c>
    </row>
    <row r="12" spans="1:15" s="10" customFormat="1" ht="12" x14ac:dyDescent="0.3">
      <c r="A12" s="18" t="s">
        <v>75</v>
      </c>
      <c r="B12" s="18" t="s">
        <v>0</v>
      </c>
      <c r="C12" s="19">
        <v>55</v>
      </c>
      <c r="D12" s="19">
        <v>64</v>
      </c>
      <c r="E12" s="19">
        <f t="shared" si="0"/>
        <v>20</v>
      </c>
      <c r="F12" s="19">
        <f t="shared" si="1"/>
        <v>67.599999999999994</v>
      </c>
      <c r="G12" s="104">
        <f t="shared" si="4"/>
        <v>12.8</v>
      </c>
      <c r="H12" s="19">
        <f t="shared" si="2"/>
        <v>80.399999999999991</v>
      </c>
      <c r="I12" s="19">
        <f t="shared" si="5"/>
        <v>10</v>
      </c>
      <c r="J12" s="18" t="str">
        <f t="shared" si="3"/>
        <v>우수</v>
      </c>
    </row>
    <row r="13" spans="1:15" s="10" customFormat="1" ht="12" x14ac:dyDescent="0.3">
      <c r="A13" s="18" t="s">
        <v>59</v>
      </c>
      <c r="B13" s="18" t="s">
        <v>2</v>
      </c>
      <c r="C13" s="19">
        <v>65</v>
      </c>
      <c r="D13" s="19">
        <v>73</v>
      </c>
      <c r="E13" s="19">
        <f t="shared" si="0"/>
        <v>10</v>
      </c>
      <c r="F13" s="19">
        <f t="shared" si="1"/>
        <v>65.2</v>
      </c>
      <c r="G13" s="104">
        <f t="shared" si="4"/>
        <v>14.600000000000001</v>
      </c>
      <c r="H13" s="19">
        <f t="shared" si="2"/>
        <v>79.800000000000011</v>
      </c>
      <c r="I13" s="19">
        <f t="shared" si="5"/>
        <v>11</v>
      </c>
      <c r="J13" s="18" t="str">
        <f t="shared" si="3"/>
        <v>보통</v>
      </c>
    </row>
    <row r="14" spans="1:15" s="10" customFormat="1" ht="12" x14ac:dyDescent="0.3">
      <c r="A14" s="18" t="s">
        <v>69</v>
      </c>
      <c r="B14" s="18" t="s">
        <v>1</v>
      </c>
      <c r="C14" s="19">
        <v>58</v>
      </c>
      <c r="D14" s="19">
        <v>68</v>
      </c>
      <c r="E14" s="19">
        <f t="shared" si="0"/>
        <v>15</v>
      </c>
      <c r="F14" s="19">
        <f t="shared" si="1"/>
        <v>65.400000000000006</v>
      </c>
      <c r="G14" s="104">
        <f t="shared" si="4"/>
        <v>13.600000000000001</v>
      </c>
      <c r="H14" s="19">
        <f t="shared" si="2"/>
        <v>79</v>
      </c>
      <c r="I14" s="19">
        <f t="shared" si="5"/>
        <v>12</v>
      </c>
      <c r="J14" s="18" t="str">
        <f t="shared" si="3"/>
        <v>보통</v>
      </c>
    </row>
    <row r="15" spans="1:15" s="10" customFormat="1" ht="12" x14ac:dyDescent="0.3">
      <c r="A15" s="18" t="s">
        <v>77</v>
      </c>
      <c r="B15" s="18" t="s">
        <v>0</v>
      </c>
      <c r="C15" s="19">
        <v>54</v>
      </c>
      <c r="D15" s="19">
        <v>60</v>
      </c>
      <c r="E15" s="19">
        <f t="shared" si="0"/>
        <v>20</v>
      </c>
      <c r="F15" s="19">
        <f t="shared" si="1"/>
        <v>65.599999999999994</v>
      </c>
      <c r="G15" s="104">
        <f t="shared" si="4"/>
        <v>12</v>
      </c>
      <c r="H15" s="19">
        <f t="shared" si="2"/>
        <v>77.599999999999994</v>
      </c>
      <c r="I15" s="19">
        <f t="shared" si="5"/>
        <v>13</v>
      </c>
      <c r="J15" s="18" t="str">
        <f t="shared" si="3"/>
        <v>보통</v>
      </c>
      <c r="L15" s="8" t="s">
        <v>55</v>
      </c>
      <c r="M15" s="8" t="s">
        <v>56</v>
      </c>
      <c r="O15" s="8" t="s">
        <v>56</v>
      </c>
    </row>
    <row r="16" spans="1:15" s="10" customFormat="1" ht="12" x14ac:dyDescent="0.3">
      <c r="A16" s="18" t="s">
        <v>74</v>
      </c>
      <c r="B16" s="18" t="s">
        <v>1</v>
      </c>
      <c r="C16" s="19">
        <v>82</v>
      </c>
      <c r="D16" s="19">
        <v>48</v>
      </c>
      <c r="E16" s="19">
        <f t="shared" si="0"/>
        <v>15</v>
      </c>
      <c r="F16" s="19">
        <f t="shared" si="1"/>
        <v>67</v>
      </c>
      <c r="G16" s="104">
        <f t="shared" si="4"/>
        <v>8.2000000000000011</v>
      </c>
      <c r="H16" s="19">
        <f t="shared" si="2"/>
        <v>75.2</v>
      </c>
      <c r="I16" s="19">
        <f t="shared" si="5"/>
        <v>14</v>
      </c>
      <c r="J16" s="18" t="str">
        <f t="shared" si="3"/>
        <v>보통</v>
      </c>
      <c r="L16" s="10" t="s">
        <v>273</v>
      </c>
      <c r="M16" s="10" t="s">
        <v>274</v>
      </c>
      <c r="O16" s="10" t="s">
        <v>279</v>
      </c>
    </row>
    <row r="17" spans="1:15" s="10" customFormat="1" ht="12" x14ac:dyDescent="0.3">
      <c r="A17" s="18" t="s">
        <v>61</v>
      </c>
      <c r="B17" s="18" t="s">
        <v>0</v>
      </c>
      <c r="C17" s="19">
        <v>45</v>
      </c>
      <c r="D17" s="19">
        <v>60</v>
      </c>
      <c r="E17" s="19">
        <f t="shared" si="0"/>
        <v>20</v>
      </c>
      <c r="F17" s="19">
        <f t="shared" si="1"/>
        <v>62</v>
      </c>
      <c r="G17" s="104">
        <f t="shared" si="4"/>
        <v>12</v>
      </c>
      <c r="H17" s="19">
        <f t="shared" si="2"/>
        <v>74</v>
      </c>
      <c r="I17" s="19">
        <f t="shared" si="5"/>
        <v>15</v>
      </c>
      <c r="J17" s="18" t="str">
        <f t="shared" si="3"/>
        <v>보통</v>
      </c>
      <c r="L17" s="10" t="s">
        <v>273</v>
      </c>
      <c r="M17" s="10" t="s">
        <v>275</v>
      </c>
      <c r="O17" s="10" t="s">
        <v>280</v>
      </c>
    </row>
    <row r="18" spans="1:15" s="10" customFormat="1" ht="12" x14ac:dyDescent="0.3">
      <c r="A18" s="18" t="s">
        <v>76</v>
      </c>
      <c r="B18" s="18" t="s">
        <v>2</v>
      </c>
      <c r="C18" s="19">
        <v>76</v>
      </c>
      <c r="D18" s="19">
        <v>60</v>
      </c>
      <c r="E18" s="19">
        <f t="shared" si="0"/>
        <v>10</v>
      </c>
      <c r="F18" s="19">
        <f t="shared" si="1"/>
        <v>64.400000000000006</v>
      </c>
      <c r="G18" s="104">
        <f t="shared" si="4"/>
        <v>7.6000000000000005</v>
      </c>
      <c r="H18" s="19">
        <f t="shared" si="2"/>
        <v>72</v>
      </c>
      <c r="I18" s="19">
        <f t="shared" si="5"/>
        <v>16</v>
      </c>
      <c r="J18" s="18" t="str">
        <f t="shared" si="3"/>
        <v>보통</v>
      </c>
    </row>
    <row r="19" spans="1:15" s="10" customFormat="1" ht="12" x14ac:dyDescent="0.3">
      <c r="A19" s="18" t="s">
        <v>63</v>
      </c>
      <c r="B19" s="18" t="s">
        <v>1</v>
      </c>
      <c r="C19" s="19">
        <v>54</v>
      </c>
      <c r="D19" s="19">
        <v>58</v>
      </c>
      <c r="E19" s="19">
        <f t="shared" si="0"/>
        <v>15</v>
      </c>
      <c r="F19" s="19">
        <f t="shared" si="1"/>
        <v>59.800000000000004</v>
      </c>
      <c r="G19" s="104">
        <f t="shared" si="4"/>
        <v>11.600000000000001</v>
      </c>
      <c r="H19" s="19">
        <f t="shared" si="2"/>
        <v>71.400000000000006</v>
      </c>
      <c r="I19" s="19">
        <f t="shared" si="5"/>
        <v>17</v>
      </c>
      <c r="J19" s="18" t="str">
        <f t="shared" si="3"/>
        <v>보통</v>
      </c>
    </row>
    <row r="20" spans="1:15" s="10" customFormat="1" ht="12" x14ac:dyDescent="0.3">
      <c r="A20" s="18" t="s">
        <v>68</v>
      </c>
      <c r="B20" s="18" t="s">
        <v>2</v>
      </c>
      <c r="C20" s="19">
        <v>48</v>
      </c>
      <c r="D20" s="19">
        <v>50</v>
      </c>
      <c r="E20" s="19">
        <f t="shared" si="0"/>
        <v>10</v>
      </c>
      <c r="F20" s="19">
        <f t="shared" si="1"/>
        <v>49.2</v>
      </c>
      <c r="G20" s="104">
        <f t="shared" si="4"/>
        <v>10</v>
      </c>
      <c r="H20" s="19">
        <f t="shared" si="2"/>
        <v>59.2</v>
      </c>
      <c r="I20" s="19">
        <f t="shared" si="5"/>
        <v>18</v>
      </c>
      <c r="J20" s="18" t="str">
        <f t="shared" si="3"/>
        <v>미달</v>
      </c>
    </row>
    <row r="21" spans="1:15" s="10" customFormat="1" ht="12" x14ac:dyDescent="0.3">
      <c r="A21" s="18" t="s">
        <v>78</v>
      </c>
      <c r="B21" s="18" t="s">
        <v>1</v>
      </c>
      <c r="C21" s="19">
        <v>50</v>
      </c>
      <c r="D21" s="19">
        <v>45</v>
      </c>
      <c r="E21" s="19">
        <f t="shared" si="0"/>
        <v>15</v>
      </c>
      <c r="F21" s="19">
        <f t="shared" si="1"/>
        <v>53</v>
      </c>
      <c r="G21" s="104">
        <f t="shared" si="4"/>
        <v>5</v>
      </c>
      <c r="H21" s="19">
        <f t="shared" si="2"/>
        <v>58</v>
      </c>
      <c r="I21" s="19">
        <f t="shared" si="5"/>
        <v>19</v>
      </c>
      <c r="J21" s="18" t="str">
        <f t="shared" si="3"/>
        <v>미달</v>
      </c>
    </row>
    <row r="22" spans="1:15" s="10" customFormat="1" ht="12" x14ac:dyDescent="0.3">
      <c r="A22" s="20" t="s">
        <v>60</v>
      </c>
      <c r="B22" s="20" t="s">
        <v>2</v>
      </c>
      <c r="C22" s="21">
        <v>50</v>
      </c>
      <c r="D22" s="21">
        <v>49</v>
      </c>
      <c r="E22" s="21">
        <f t="shared" si="0"/>
        <v>10</v>
      </c>
      <c r="F22" s="21">
        <f t="shared" si="1"/>
        <v>49.6</v>
      </c>
      <c r="G22" s="105">
        <f t="shared" si="4"/>
        <v>5</v>
      </c>
      <c r="H22" s="21">
        <f t="shared" si="2"/>
        <v>54.6</v>
      </c>
      <c r="I22" s="21">
        <f t="shared" si="5"/>
        <v>20</v>
      </c>
      <c r="J22" s="20" t="str">
        <f t="shared" si="3"/>
        <v>미달</v>
      </c>
    </row>
    <row r="23" spans="1:15" s="10" customFormat="1" ht="12" x14ac:dyDescent="0.3">
      <c r="A23" s="151" t="s">
        <v>86</v>
      </c>
      <c r="B23" s="148"/>
      <c r="C23" s="14">
        <f>AVERAGE(C3:C22)</f>
        <v>63.4</v>
      </c>
      <c r="D23" s="14">
        <f t="shared" ref="D23:H23" si="6">AVERAGE(D3:D22)</f>
        <v>67.3</v>
      </c>
      <c r="E23" s="14">
        <f t="shared" si="6"/>
        <v>15</v>
      </c>
      <c r="F23" s="14">
        <f t="shared" si="6"/>
        <v>67.28</v>
      </c>
      <c r="G23" s="14">
        <f t="shared" si="6"/>
        <v>12.195</v>
      </c>
      <c r="H23" s="14">
        <f t="shared" si="6"/>
        <v>79.474999999999994</v>
      </c>
      <c r="I23" s="165"/>
      <c r="J23" s="165"/>
    </row>
    <row r="24" spans="1:15" s="10" customFormat="1" ht="12" x14ac:dyDescent="0.3">
      <c r="A24" s="151" t="s">
        <v>87</v>
      </c>
      <c r="B24" s="147"/>
      <c r="C24" s="147"/>
      <c r="D24" s="147"/>
      <c r="E24" s="147"/>
      <c r="F24" s="147"/>
      <c r="G24" s="148"/>
      <c r="H24" s="14">
        <f>COUNTIF($H$3:$H$22,"&gt;=85")</f>
        <v>7</v>
      </c>
      <c r="I24" s="165"/>
      <c r="J24" s="165"/>
    </row>
    <row r="25" spans="1:15" s="10" customFormat="1" ht="12" x14ac:dyDescent="0.3">
      <c r="A25" s="151" t="s">
        <v>88</v>
      </c>
      <c r="B25" s="147"/>
      <c r="C25" s="147"/>
      <c r="D25" s="147"/>
      <c r="E25" s="147"/>
      <c r="F25" s="147"/>
      <c r="G25" s="148"/>
      <c r="H25" s="99">
        <f t="array" ref="H25">ROUND(SUMPRODUCT(ISNUMBER(FIND("A",$B$3:$B$22))+ISNUMBER(FIND("B",$B$3:$B$22)),H3:H22),0)</f>
        <v>1069</v>
      </c>
      <c r="I25" s="165"/>
      <c r="J25" s="165"/>
      <c r="O25" s="10">
        <f>DSUM(A2:J22,H2,O15:O17)</f>
        <v>1069.0999999999999</v>
      </c>
    </row>
    <row r="26" spans="1:15" s="10" customFormat="1" ht="14.45" x14ac:dyDescent="0.45">
      <c r="A26" s="146" t="s">
        <v>281</v>
      </c>
      <c r="B26" s="147"/>
      <c r="C26" s="147"/>
      <c r="D26" s="147"/>
      <c r="E26" s="147"/>
      <c r="F26" s="147"/>
      <c r="G26" s="147"/>
      <c r="H26" s="147"/>
      <c r="I26" s="147"/>
      <c r="J26" s="148"/>
    </row>
    <row r="27" spans="1:15" s="10" customFormat="1" ht="12" x14ac:dyDescent="0.3">
      <c r="A27" s="151" t="s">
        <v>89</v>
      </c>
      <c r="B27" s="147"/>
      <c r="C27" s="147"/>
      <c r="D27" s="147"/>
      <c r="E27" s="147"/>
      <c r="F27" s="148"/>
      <c r="G27" s="15">
        <f>SUMIFS(G3:G22,$I$3:$I$22,"&gt;=10",$I$3:$I$22,"&lt;=15")</f>
        <v>73.2</v>
      </c>
      <c r="H27" s="15">
        <f>SUMIFS(H3:H22,$I$3:$I$22,"&gt;=10",$I$3:$I$22,"&lt;=15")</f>
        <v>465.99999999999994</v>
      </c>
      <c r="I27" s="165"/>
      <c r="J27" s="165"/>
    </row>
    <row r="28" spans="1:15" s="10" customFormat="1" ht="12" x14ac:dyDescent="0.3">
      <c r="A28" s="151" t="s">
        <v>90</v>
      </c>
      <c r="B28" s="147"/>
      <c r="C28" s="147"/>
      <c r="D28" s="147"/>
      <c r="E28" s="147"/>
      <c r="F28" s="148"/>
      <c r="G28" s="100">
        <f t="array" ref="G28">SUMPRODUCT((($B$3:$B$22="B")+($B$3:$B$22="C"))*(LEFT($A$3:$A$22,1)="이"),G3:G22)</f>
        <v>24.4</v>
      </c>
      <c r="H28" s="100">
        <f t="array" ref="H28">SUMPRODUCT((($B$3:$B$22="B")+($B$3:$B$22="C"))*(LEFT($A$3:$A$22,1)="이"),H3:H22)</f>
        <v>163.4</v>
      </c>
      <c r="I28" s="165"/>
      <c r="J28" s="165"/>
      <c r="L28" s="10">
        <f>DSUM($A$2:$J$22,G2,$L$15:$M$17)</f>
        <v>24.4</v>
      </c>
      <c r="M28" s="10">
        <f>DSUM($A$2:$J$22,H2,$L$15:$M$17)</f>
        <v>163.4</v>
      </c>
    </row>
    <row r="29" spans="1:15" s="10" customFormat="1" ht="12" x14ac:dyDescent="0.3">
      <c r="A29" s="146" t="s">
        <v>92</v>
      </c>
      <c r="B29" s="147"/>
      <c r="C29" s="147"/>
      <c r="D29" s="147"/>
      <c r="E29" s="147"/>
      <c r="F29" s="147"/>
      <c r="G29" s="147"/>
      <c r="H29" s="147"/>
      <c r="I29" s="147"/>
      <c r="J29" s="148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27:F27"/>
    <mergeCell ref="I27:J28"/>
    <mergeCell ref="A28:F28"/>
    <mergeCell ref="A29:J29"/>
    <mergeCell ref="A1:J1"/>
    <mergeCell ref="A23:B23"/>
    <mergeCell ref="I23:J25"/>
    <mergeCell ref="A24:G24"/>
    <mergeCell ref="A25:G25"/>
    <mergeCell ref="A26:J26"/>
  </mergeCells>
  <phoneticPr fontId="1" type="noConversion"/>
  <printOptions horizontalCentered="1"/>
  <pageMargins left="0.59055118110236227" right="0.59055118110236227" top="2.3622047244094491" bottom="0.19685039370078741" header="0.31496062992125984" footer="0.31496062992125984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B3:G24"/>
  <sheetViews>
    <sheetView workbookViewId="0">
      <selection activeCell="J30" sqref="J30"/>
    </sheetView>
  </sheetViews>
  <sheetFormatPr defaultColWidth="9" defaultRowHeight="16.5" x14ac:dyDescent="0.3"/>
  <cols>
    <col min="1" max="3" width="9" style="37"/>
    <col min="4" max="4" width="9.125" style="37" bestFit="1" customWidth="1"/>
    <col min="5" max="7" width="10.625" style="37" bestFit="1" customWidth="1"/>
    <col min="8" max="16384" width="9" style="37"/>
  </cols>
  <sheetData>
    <row r="3" spans="2:7" ht="17.100000000000001" x14ac:dyDescent="0.45">
      <c r="B3" s="41"/>
      <c r="C3" s="41"/>
      <c r="D3" s="41"/>
      <c r="E3" s="41"/>
      <c r="F3" s="41"/>
      <c r="G3" s="41"/>
    </row>
    <row r="4" spans="2:7" x14ac:dyDescent="0.3">
      <c r="B4" s="40" t="s">
        <v>93</v>
      </c>
      <c r="C4" s="40" t="s">
        <v>94</v>
      </c>
      <c r="D4" s="40" t="s">
        <v>95</v>
      </c>
      <c r="E4" s="40" t="s">
        <v>96</v>
      </c>
      <c r="F4" s="40" t="s">
        <v>97</v>
      </c>
      <c r="G4" s="40" t="s">
        <v>98</v>
      </c>
    </row>
    <row r="5" spans="2:7" x14ac:dyDescent="0.3">
      <c r="B5" s="40" t="s">
        <v>282</v>
      </c>
      <c r="C5" s="40" t="s">
        <v>283</v>
      </c>
      <c r="D5" s="40">
        <v>1</v>
      </c>
      <c r="E5" s="42">
        <v>2200000</v>
      </c>
      <c r="F5" s="42">
        <v>1200000</v>
      </c>
      <c r="G5" s="42">
        <v>300000</v>
      </c>
    </row>
    <row r="6" spans="2:7" x14ac:dyDescent="0.3">
      <c r="B6" s="40" t="s">
        <v>284</v>
      </c>
      <c r="C6" s="40" t="s">
        <v>285</v>
      </c>
      <c r="D6" s="40">
        <v>1</v>
      </c>
      <c r="E6" s="42">
        <v>1775000</v>
      </c>
      <c r="F6" s="42">
        <v>270000</v>
      </c>
      <c r="G6" s="42">
        <v>560000</v>
      </c>
    </row>
    <row r="7" spans="2:7" x14ac:dyDescent="0.3">
      <c r="B7" s="40" t="s">
        <v>286</v>
      </c>
      <c r="C7" s="40" t="s">
        <v>287</v>
      </c>
      <c r="D7" s="40">
        <v>1</v>
      </c>
      <c r="E7" s="42">
        <v>1850000</v>
      </c>
      <c r="F7" s="42">
        <v>250000</v>
      </c>
      <c r="G7" s="42">
        <v>520000</v>
      </c>
    </row>
    <row r="8" spans="2:7" x14ac:dyDescent="0.3">
      <c r="B8" s="40" t="s">
        <v>282</v>
      </c>
      <c r="C8" s="40" t="s">
        <v>288</v>
      </c>
      <c r="D8" s="40">
        <v>0</v>
      </c>
      <c r="E8" s="42">
        <v>3500000</v>
      </c>
      <c r="F8" s="42">
        <v>2600000</v>
      </c>
      <c r="G8" s="42">
        <v>900000</v>
      </c>
    </row>
    <row r="9" spans="2:7" x14ac:dyDescent="0.3">
      <c r="B9" s="40" t="s">
        <v>286</v>
      </c>
      <c r="C9" s="40" t="s">
        <v>289</v>
      </c>
      <c r="D9" s="40">
        <v>1</v>
      </c>
      <c r="E9" s="42">
        <v>2180000</v>
      </c>
      <c r="F9" s="42">
        <v>580000</v>
      </c>
      <c r="G9" s="42">
        <v>500000</v>
      </c>
    </row>
    <row r="10" spans="2:7" x14ac:dyDescent="0.3">
      <c r="B10" s="40" t="s">
        <v>284</v>
      </c>
      <c r="C10" s="40" t="s">
        <v>290</v>
      </c>
      <c r="D10" s="40">
        <v>0</v>
      </c>
      <c r="E10" s="42">
        <v>1087000</v>
      </c>
      <c r="F10" s="42">
        <v>387000</v>
      </c>
      <c r="G10" s="42">
        <v>550000</v>
      </c>
    </row>
    <row r="11" spans="2:7" x14ac:dyDescent="0.3">
      <c r="B11" s="40" t="s">
        <v>282</v>
      </c>
      <c r="C11" s="40" t="s">
        <v>291</v>
      </c>
      <c r="D11" s="40">
        <v>1</v>
      </c>
      <c r="E11" s="42">
        <v>2040000</v>
      </c>
      <c r="F11" s="42">
        <v>300000</v>
      </c>
      <c r="G11" s="42">
        <v>570000</v>
      </c>
    </row>
    <row r="12" spans="2:7" x14ac:dyDescent="0.3">
      <c r="B12" s="40" t="s">
        <v>282</v>
      </c>
      <c r="C12" s="40" t="s">
        <v>292</v>
      </c>
      <c r="D12" s="40">
        <v>1</v>
      </c>
      <c r="E12" s="42">
        <v>2750000</v>
      </c>
      <c r="F12" s="42">
        <v>800000</v>
      </c>
      <c r="G12" s="42">
        <v>850000</v>
      </c>
    </row>
    <row r="13" spans="2:7" x14ac:dyDescent="0.3">
      <c r="B13" s="40" t="s">
        <v>284</v>
      </c>
      <c r="C13" s="40" t="s">
        <v>293</v>
      </c>
      <c r="D13" s="40">
        <v>0</v>
      </c>
      <c r="E13" s="42">
        <v>1580000</v>
      </c>
      <c r="F13" s="42">
        <v>640000</v>
      </c>
      <c r="G13" s="42">
        <v>420000</v>
      </c>
    </row>
    <row r="14" spans="2:7" x14ac:dyDescent="0.3">
      <c r="B14" s="40" t="s">
        <v>286</v>
      </c>
      <c r="C14" s="40" t="s">
        <v>294</v>
      </c>
      <c r="D14" s="40">
        <v>0</v>
      </c>
      <c r="E14" s="42">
        <v>5200000</v>
      </c>
      <c r="F14" s="42">
        <v>1500000</v>
      </c>
      <c r="G14" s="42">
        <v>2800000</v>
      </c>
    </row>
    <row r="15" spans="2:7" x14ac:dyDescent="0.3">
      <c r="B15" s="40" t="s">
        <v>284</v>
      </c>
      <c r="C15" s="40" t="s">
        <v>295</v>
      </c>
      <c r="D15" s="40">
        <v>1</v>
      </c>
      <c r="E15" s="42">
        <v>1175000</v>
      </c>
      <c r="F15" s="42">
        <v>800000</v>
      </c>
      <c r="G15" s="42">
        <v>290000</v>
      </c>
    </row>
    <row r="16" spans="2:7" x14ac:dyDescent="0.3">
      <c r="B16" s="40" t="s">
        <v>282</v>
      </c>
      <c r="C16" s="40" t="s">
        <v>296</v>
      </c>
      <c r="D16" s="40">
        <v>0</v>
      </c>
      <c r="E16" s="42">
        <v>3570000</v>
      </c>
      <c r="F16" s="42">
        <v>210000</v>
      </c>
      <c r="G16" s="42">
        <v>2360000</v>
      </c>
    </row>
    <row r="17" spans="2:7" x14ac:dyDescent="0.3">
      <c r="B17" s="40" t="s">
        <v>286</v>
      </c>
      <c r="C17" s="40" t="s">
        <v>297</v>
      </c>
      <c r="D17" s="40">
        <v>1</v>
      </c>
      <c r="E17" s="42">
        <v>2000000</v>
      </c>
      <c r="F17" s="42">
        <v>320000</v>
      </c>
      <c r="G17" s="42">
        <v>9000000</v>
      </c>
    </row>
    <row r="18" spans="2:7" x14ac:dyDescent="0.3">
      <c r="B18" s="40" t="s">
        <v>282</v>
      </c>
      <c r="C18" s="40" t="s">
        <v>298</v>
      </c>
      <c r="D18" s="40">
        <v>1</v>
      </c>
      <c r="E18" s="42">
        <v>2540000</v>
      </c>
      <c r="F18" s="42">
        <v>280000</v>
      </c>
      <c r="G18" s="42">
        <v>1500000</v>
      </c>
    </row>
    <row r="19" spans="2:7" x14ac:dyDescent="0.3">
      <c r="B19" s="40" t="s">
        <v>284</v>
      </c>
      <c r="C19" s="40" t="s">
        <v>299</v>
      </c>
      <c r="D19" s="40">
        <v>0</v>
      </c>
      <c r="E19" s="42">
        <v>1600000</v>
      </c>
      <c r="F19" s="42">
        <v>270000</v>
      </c>
      <c r="G19" s="42">
        <v>1800000</v>
      </c>
    </row>
    <row r="20" spans="2:7" x14ac:dyDescent="0.3">
      <c r="B20" s="40" t="s">
        <v>282</v>
      </c>
      <c r="C20" s="40" t="s">
        <v>300</v>
      </c>
      <c r="D20" s="40">
        <v>1</v>
      </c>
      <c r="E20" s="42">
        <v>1800000</v>
      </c>
      <c r="F20" s="42">
        <v>420000</v>
      </c>
      <c r="G20" s="42">
        <v>620000</v>
      </c>
    </row>
    <row r="21" spans="2:7" x14ac:dyDescent="0.3">
      <c r="B21" s="40" t="s">
        <v>286</v>
      </c>
      <c r="C21" s="40" t="s">
        <v>301</v>
      </c>
      <c r="D21" s="40">
        <v>0</v>
      </c>
      <c r="E21" s="42">
        <v>2200000</v>
      </c>
      <c r="F21" s="42">
        <v>530000</v>
      </c>
      <c r="G21" s="42">
        <v>870000</v>
      </c>
    </row>
    <row r="22" spans="2:7" x14ac:dyDescent="0.3">
      <c r="B22" s="40" t="s">
        <v>282</v>
      </c>
      <c r="C22" s="40" t="s">
        <v>302</v>
      </c>
      <c r="D22" s="40">
        <v>1</v>
      </c>
      <c r="E22" s="42">
        <v>3100000</v>
      </c>
      <c r="F22" s="42">
        <v>440000</v>
      </c>
      <c r="G22" s="42">
        <v>1040000</v>
      </c>
    </row>
    <row r="23" spans="2:7" x14ac:dyDescent="0.3">
      <c r="B23" s="40" t="s">
        <v>284</v>
      </c>
      <c r="C23" s="40" t="s">
        <v>303</v>
      </c>
      <c r="D23" s="40">
        <v>0</v>
      </c>
      <c r="E23" s="42">
        <v>2440000</v>
      </c>
      <c r="F23" s="42">
        <v>170000</v>
      </c>
      <c r="G23" s="42">
        <v>380000</v>
      </c>
    </row>
    <row r="24" spans="2:7" x14ac:dyDescent="0.3">
      <c r="B24" s="40" t="s">
        <v>286</v>
      </c>
      <c r="C24" s="40" t="s">
        <v>304</v>
      </c>
      <c r="D24" s="40">
        <v>1</v>
      </c>
      <c r="E24" s="42">
        <v>2640000</v>
      </c>
      <c r="F24" s="42">
        <v>220000</v>
      </c>
      <c r="G24" s="42">
        <v>640000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L31"/>
  <sheetViews>
    <sheetView workbookViewId="0">
      <selection activeCell="P24" sqref="P24"/>
    </sheetView>
  </sheetViews>
  <sheetFormatPr defaultColWidth="9" defaultRowHeight="16.5" x14ac:dyDescent="0.3"/>
  <cols>
    <col min="1" max="3" width="9" style="37"/>
    <col min="4" max="4" width="9.125" style="37" bestFit="1" customWidth="1"/>
    <col min="5" max="7" width="10.625" style="37" bestFit="1" customWidth="1"/>
    <col min="8" max="10" width="9" style="37"/>
    <col min="11" max="11" width="11.75" style="37" customWidth="1"/>
    <col min="12" max="16384" width="9" style="37"/>
  </cols>
  <sheetData>
    <row r="3" spans="2:12" x14ac:dyDescent="0.3">
      <c r="B3" s="169" t="s">
        <v>119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</row>
    <row r="4" spans="2:12" x14ac:dyDescent="0.3">
      <c r="B4" s="44" t="s">
        <v>93</v>
      </c>
      <c r="C4" s="44" t="s">
        <v>94</v>
      </c>
      <c r="D4" s="46" t="s">
        <v>95</v>
      </c>
      <c r="E4" s="46" t="s">
        <v>96</v>
      </c>
      <c r="F4" s="46" t="s">
        <v>97</v>
      </c>
      <c r="G4" s="46" t="s">
        <v>98</v>
      </c>
      <c r="H4" s="45" t="s">
        <v>120</v>
      </c>
      <c r="I4" s="45" t="s">
        <v>121</v>
      </c>
      <c r="J4" s="45" t="s">
        <v>122</v>
      </c>
      <c r="K4" s="45" t="s">
        <v>123</v>
      </c>
      <c r="L4" s="45" t="s">
        <v>124</v>
      </c>
    </row>
    <row r="5" spans="2:12" x14ac:dyDescent="0.3">
      <c r="B5" s="38" t="s">
        <v>282</v>
      </c>
      <c r="C5" s="38" t="s">
        <v>283</v>
      </c>
      <c r="D5" s="44">
        <v>1</v>
      </c>
      <c r="E5" s="39">
        <v>2200000</v>
      </c>
      <c r="F5" s="39">
        <v>1200000</v>
      </c>
      <c r="G5" s="39">
        <v>300000</v>
      </c>
      <c r="H5" s="43" t="s">
        <v>40</v>
      </c>
      <c r="I5" s="43" t="s">
        <v>41</v>
      </c>
      <c r="J5" s="43" t="s">
        <v>42</v>
      </c>
      <c r="K5" s="43" t="s">
        <v>43</v>
      </c>
      <c r="L5" s="43" t="s">
        <v>44</v>
      </c>
    </row>
    <row r="6" spans="2:12" x14ac:dyDescent="0.3">
      <c r="B6" s="38" t="s">
        <v>284</v>
      </c>
      <c r="C6" s="38" t="s">
        <v>285</v>
      </c>
      <c r="D6" s="44">
        <v>1</v>
      </c>
      <c r="E6" s="39">
        <v>1775000</v>
      </c>
      <c r="F6" s="39">
        <v>270000</v>
      </c>
      <c r="G6" s="39">
        <v>560000</v>
      </c>
      <c r="H6" s="43"/>
      <c r="I6" s="43"/>
      <c r="J6" s="43"/>
      <c r="K6" s="43"/>
      <c r="L6" s="43"/>
    </row>
    <row r="7" spans="2:12" x14ac:dyDescent="0.3">
      <c r="B7" s="38" t="s">
        <v>286</v>
      </c>
      <c r="C7" s="38" t="s">
        <v>287</v>
      </c>
      <c r="D7" s="44">
        <v>1</v>
      </c>
      <c r="E7" s="39">
        <v>1850000</v>
      </c>
      <c r="F7" s="39">
        <v>250000</v>
      </c>
      <c r="G7" s="39">
        <v>520000</v>
      </c>
      <c r="H7" s="43"/>
      <c r="I7" s="43"/>
      <c r="J7" s="43"/>
      <c r="K7" s="43"/>
      <c r="L7" s="43"/>
    </row>
    <row r="8" spans="2:12" x14ac:dyDescent="0.3">
      <c r="B8" s="38" t="s">
        <v>282</v>
      </c>
      <c r="C8" s="38" t="s">
        <v>288</v>
      </c>
      <c r="D8" s="44">
        <v>0</v>
      </c>
      <c r="E8" s="39">
        <v>3500000</v>
      </c>
      <c r="F8" s="39">
        <v>2600000</v>
      </c>
      <c r="G8" s="39">
        <v>900000</v>
      </c>
      <c r="H8" s="43"/>
      <c r="I8" s="43"/>
      <c r="J8" s="43"/>
      <c r="K8" s="43"/>
      <c r="L8" s="43"/>
    </row>
    <row r="9" spans="2:12" x14ac:dyDescent="0.3">
      <c r="B9" s="38" t="s">
        <v>286</v>
      </c>
      <c r="C9" s="38" t="s">
        <v>289</v>
      </c>
      <c r="D9" s="44">
        <v>1</v>
      </c>
      <c r="E9" s="39">
        <v>2180000</v>
      </c>
      <c r="F9" s="39">
        <v>580000</v>
      </c>
      <c r="G9" s="39">
        <v>500000</v>
      </c>
      <c r="H9" s="43"/>
      <c r="I9" s="43"/>
      <c r="J9" s="43"/>
      <c r="K9" s="43"/>
      <c r="L9" s="43"/>
    </row>
    <row r="10" spans="2:12" x14ac:dyDescent="0.3">
      <c r="B10" s="38" t="s">
        <v>284</v>
      </c>
      <c r="C10" s="38" t="s">
        <v>290</v>
      </c>
      <c r="D10" s="44">
        <v>0</v>
      </c>
      <c r="E10" s="39">
        <v>1087000</v>
      </c>
      <c r="F10" s="39">
        <v>387000</v>
      </c>
      <c r="G10" s="39">
        <v>550000</v>
      </c>
      <c r="H10" s="43"/>
      <c r="I10" s="43"/>
      <c r="J10" s="43"/>
      <c r="K10" s="43"/>
      <c r="L10" s="43"/>
    </row>
    <row r="11" spans="2:12" x14ac:dyDescent="0.3">
      <c r="B11" s="38" t="s">
        <v>282</v>
      </c>
      <c r="C11" s="38" t="s">
        <v>291</v>
      </c>
      <c r="D11" s="44">
        <v>1</v>
      </c>
      <c r="E11" s="39">
        <v>2040000</v>
      </c>
      <c r="F11" s="39">
        <v>300000</v>
      </c>
      <c r="G11" s="39">
        <v>570000</v>
      </c>
      <c r="H11" s="43"/>
      <c r="I11" s="43"/>
      <c r="J11" s="43"/>
      <c r="K11" s="43"/>
      <c r="L11" s="43"/>
    </row>
    <row r="12" spans="2:12" x14ac:dyDescent="0.3">
      <c r="B12" s="38" t="s">
        <v>282</v>
      </c>
      <c r="C12" s="38" t="s">
        <v>292</v>
      </c>
      <c r="D12" s="44">
        <v>1</v>
      </c>
      <c r="E12" s="39">
        <v>2750000</v>
      </c>
      <c r="F12" s="39">
        <v>800000</v>
      </c>
      <c r="G12" s="39">
        <v>850000</v>
      </c>
      <c r="H12" s="43"/>
      <c r="I12" s="43"/>
      <c r="J12" s="43"/>
      <c r="K12" s="43"/>
      <c r="L12" s="43"/>
    </row>
    <row r="13" spans="2:12" x14ac:dyDescent="0.3">
      <c r="B13" s="38" t="s">
        <v>284</v>
      </c>
      <c r="C13" s="38" t="s">
        <v>293</v>
      </c>
      <c r="D13" s="44">
        <v>0</v>
      </c>
      <c r="E13" s="39">
        <v>1580000</v>
      </c>
      <c r="F13" s="39">
        <v>640000</v>
      </c>
      <c r="G13" s="39">
        <v>420000</v>
      </c>
      <c r="H13" s="43"/>
      <c r="I13" s="43"/>
      <c r="J13" s="43"/>
      <c r="K13" s="43"/>
      <c r="L13" s="43"/>
    </row>
    <row r="14" spans="2:12" x14ac:dyDescent="0.3">
      <c r="B14" s="38" t="s">
        <v>286</v>
      </c>
      <c r="C14" s="38" t="s">
        <v>294</v>
      </c>
      <c r="D14" s="44">
        <v>0</v>
      </c>
      <c r="E14" s="39">
        <v>5200000</v>
      </c>
      <c r="F14" s="39">
        <v>1500000</v>
      </c>
      <c r="G14" s="39">
        <v>2800000</v>
      </c>
      <c r="H14" s="43"/>
      <c r="I14" s="43"/>
      <c r="J14" s="43"/>
      <c r="K14" s="43"/>
      <c r="L14" s="43"/>
    </row>
    <row r="15" spans="2:12" x14ac:dyDescent="0.3">
      <c r="B15" s="38" t="s">
        <v>284</v>
      </c>
      <c r="C15" s="38" t="s">
        <v>295</v>
      </c>
      <c r="D15" s="44">
        <v>1</v>
      </c>
      <c r="E15" s="39">
        <v>1175000</v>
      </c>
      <c r="F15" s="39">
        <v>800000</v>
      </c>
      <c r="G15" s="39">
        <v>290000</v>
      </c>
      <c r="H15" s="43"/>
      <c r="I15" s="43"/>
      <c r="J15" s="43"/>
      <c r="K15" s="43"/>
      <c r="L15" s="43"/>
    </row>
    <row r="16" spans="2:12" x14ac:dyDescent="0.3">
      <c r="B16" s="38" t="s">
        <v>282</v>
      </c>
      <c r="C16" s="38" t="s">
        <v>296</v>
      </c>
      <c r="D16" s="44">
        <v>0</v>
      </c>
      <c r="E16" s="39">
        <v>3570000</v>
      </c>
      <c r="F16" s="39">
        <v>210000</v>
      </c>
      <c r="G16" s="39">
        <v>2360000</v>
      </c>
      <c r="H16" s="43"/>
      <c r="I16" s="43"/>
      <c r="J16" s="43"/>
      <c r="K16" s="43"/>
      <c r="L16" s="43"/>
    </row>
    <row r="17" spans="2:12" x14ac:dyDescent="0.3">
      <c r="B17" s="38" t="s">
        <v>286</v>
      </c>
      <c r="C17" s="38" t="s">
        <v>297</v>
      </c>
      <c r="D17" s="44">
        <v>1</v>
      </c>
      <c r="E17" s="39">
        <v>2000000</v>
      </c>
      <c r="F17" s="39">
        <v>320000</v>
      </c>
      <c r="G17" s="39">
        <v>9000000</v>
      </c>
      <c r="H17" s="43"/>
      <c r="I17" s="43"/>
      <c r="J17" s="43"/>
      <c r="K17" s="43"/>
      <c r="L17" s="43"/>
    </row>
    <row r="18" spans="2:12" x14ac:dyDescent="0.3">
      <c r="B18" s="38" t="s">
        <v>282</v>
      </c>
      <c r="C18" s="38" t="s">
        <v>298</v>
      </c>
      <c r="D18" s="44">
        <v>1</v>
      </c>
      <c r="E18" s="39">
        <v>2540000</v>
      </c>
      <c r="F18" s="39">
        <v>280000</v>
      </c>
      <c r="G18" s="39">
        <v>1500000</v>
      </c>
      <c r="H18" s="43"/>
      <c r="I18" s="43"/>
      <c r="J18" s="43"/>
      <c r="K18" s="43"/>
      <c r="L18" s="43"/>
    </row>
    <row r="19" spans="2:12" x14ac:dyDescent="0.3">
      <c r="B19" s="38" t="s">
        <v>284</v>
      </c>
      <c r="C19" s="38" t="s">
        <v>299</v>
      </c>
      <c r="D19" s="44">
        <v>0</v>
      </c>
      <c r="E19" s="39">
        <v>1600000</v>
      </c>
      <c r="F19" s="39">
        <v>270000</v>
      </c>
      <c r="G19" s="39">
        <v>1800000</v>
      </c>
      <c r="H19" s="43"/>
      <c r="I19" s="43"/>
      <c r="J19" s="43"/>
      <c r="K19" s="43"/>
      <c r="L19" s="43"/>
    </row>
    <row r="20" spans="2:12" x14ac:dyDescent="0.3">
      <c r="B20" s="38" t="s">
        <v>282</v>
      </c>
      <c r="C20" s="38" t="s">
        <v>300</v>
      </c>
      <c r="D20" s="44">
        <v>1</v>
      </c>
      <c r="E20" s="39">
        <v>1800000</v>
      </c>
      <c r="F20" s="39">
        <v>420000</v>
      </c>
      <c r="G20" s="39">
        <v>620000</v>
      </c>
      <c r="H20" s="43"/>
      <c r="I20" s="43"/>
      <c r="J20" s="43"/>
      <c r="K20" s="43"/>
      <c r="L20" s="43"/>
    </row>
    <row r="21" spans="2:12" x14ac:dyDescent="0.3">
      <c r="B21" s="38" t="s">
        <v>286</v>
      </c>
      <c r="C21" s="38" t="s">
        <v>301</v>
      </c>
      <c r="D21" s="44">
        <v>0</v>
      </c>
      <c r="E21" s="39">
        <v>2200000</v>
      </c>
      <c r="F21" s="39">
        <v>530000</v>
      </c>
      <c r="G21" s="39">
        <v>870000</v>
      </c>
      <c r="H21" s="43"/>
      <c r="I21" s="43"/>
      <c r="J21" s="43"/>
      <c r="K21" s="43"/>
      <c r="L21" s="43"/>
    </row>
    <row r="22" spans="2:12" x14ac:dyDescent="0.3">
      <c r="B22" s="38" t="s">
        <v>282</v>
      </c>
      <c r="C22" s="38" t="s">
        <v>302</v>
      </c>
      <c r="D22" s="44">
        <v>1</v>
      </c>
      <c r="E22" s="39">
        <v>3100000</v>
      </c>
      <c r="F22" s="39">
        <v>440000</v>
      </c>
      <c r="G22" s="39">
        <v>1040000</v>
      </c>
      <c r="H22" s="43"/>
      <c r="I22" s="43"/>
      <c r="J22" s="43"/>
      <c r="K22" s="43"/>
      <c r="L22" s="43"/>
    </row>
    <row r="23" spans="2:12" x14ac:dyDescent="0.3">
      <c r="B23" s="38" t="s">
        <v>284</v>
      </c>
      <c r="C23" s="38" t="s">
        <v>303</v>
      </c>
      <c r="D23" s="44">
        <v>0</v>
      </c>
      <c r="E23" s="39">
        <v>2440000</v>
      </c>
      <c r="F23" s="39">
        <v>170000</v>
      </c>
      <c r="G23" s="39">
        <v>380000</v>
      </c>
      <c r="H23" s="43"/>
      <c r="I23" s="43"/>
      <c r="J23" s="43"/>
      <c r="K23" s="43"/>
      <c r="L23" s="43"/>
    </row>
    <row r="24" spans="2:12" x14ac:dyDescent="0.3">
      <c r="B24" s="38" t="s">
        <v>286</v>
      </c>
      <c r="C24" s="38" t="s">
        <v>304</v>
      </c>
      <c r="D24" s="44">
        <v>1</v>
      </c>
      <c r="E24" s="39">
        <v>2640000</v>
      </c>
      <c r="F24" s="39">
        <v>220000</v>
      </c>
      <c r="G24" s="39">
        <v>640000</v>
      </c>
      <c r="H24" s="43"/>
      <c r="I24" s="43"/>
      <c r="J24" s="43"/>
      <c r="K24" s="43"/>
      <c r="L24" s="43"/>
    </row>
    <row r="25" spans="2:12" x14ac:dyDescent="0.3">
      <c r="B25" s="168" t="s">
        <v>125</v>
      </c>
      <c r="C25" s="168"/>
      <c r="D25" s="168"/>
      <c r="E25" s="168"/>
      <c r="F25" s="168"/>
      <c r="G25" s="168"/>
      <c r="H25" s="168"/>
      <c r="I25" s="43" t="s">
        <v>45</v>
      </c>
      <c r="J25" s="43"/>
      <c r="K25" s="43"/>
      <c r="L25" s="170"/>
    </row>
    <row r="26" spans="2:12" x14ac:dyDescent="0.3">
      <c r="B26" s="174" t="s">
        <v>126</v>
      </c>
      <c r="C26" s="174"/>
      <c r="D26" s="174"/>
      <c r="E26" s="174"/>
      <c r="F26" s="174"/>
      <c r="G26" s="174"/>
      <c r="H26" s="174"/>
      <c r="I26" s="174"/>
      <c r="J26" s="174"/>
      <c r="K26" s="43" t="s">
        <v>46</v>
      </c>
      <c r="L26" s="171"/>
    </row>
    <row r="27" spans="2:12" x14ac:dyDescent="0.3">
      <c r="B27" s="173" t="s">
        <v>47</v>
      </c>
      <c r="C27" s="173"/>
      <c r="D27" s="173"/>
      <c r="E27" s="173"/>
      <c r="F27" s="173"/>
      <c r="G27" s="173"/>
      <c r="H27" s="173"/>
      <c r="I27" s="173"/>
      <c r="J27" s="173"/>
      <c r="K27" s="173"/>
      <c r="L27" s="173"/>
    </row>
    <row r="28" spans="2:12" x14ac:dyDescent="0.3">
      <c r="B28" s="174" t="s">
        <v>127</v>
      </c>
      <c r="C28" s="174"/>
      <c r="D28" s="174"/>
      <c r="E28" s="174"/>
      <c r="F28" s="174"/>
      <c r="G28" s="174"/>
      <c r="H28" s="174"/>
      <c r="I28" s="174"/>
      <c r="J28" s="43" t="s">
        <v>48</v>
      </c>
      <c r="K28" s="43"/>
      <c r="L28" s="170"/>
    </row>
    <row r="29" spans="2:12" x14ac:dyDescent="0.3">
      <c r="B29" s="174" t="s">
        <v>128</v>
      </c>
      <c r="C29" s="174"/>
      <c r="D29" s="174"/>
      <c r="E29" s="174"/>
      <c r="F29" s="174"/>
      <c r="G29" s="174"/>
      <c r="H29" s="174"/>
      <c r="I29" s="174"/>
      <c r="J29" s="43" t="s">
        <v>52</v>
      </c>
      <c r="K29" s="43"/>
      <c r="L29" s="172"/>
    </row>
    <row r="30" spans="2:12" x14ac:dyDescent="0.3">
      <c r="B30" s="174" t="s">
        <v>129</v>
      </c>
      <c r="C30" s="174"/>
      <c r="D30" s="174"/>
      <c r="E30" s="174"/>
      <c r="F30" s="174"/>
      <c r="G30" s="174"/>
      <c r="H30" s="174"/>
      <c r="I30" s="174"/>
      <c r="J30" s="43" t="s">
        <v>91</v>
      </c>
      <c r="K30" s="43"/>
      <c r="L30" s="171"/>
    </row>
    <row r="31" spans="2:12" x14ac:dyDescent="0.3">
      <c r="B31" s="173" t="s">
        <v>50</v>
      </c>
      <c r="C31" s="173"/>
      <c r="D31" s="173"/>
      <c r="E31" s="173"/>
      <c r="F31" s="173"/>
      <c r="G31" s="173"/>
      <c r="H31" s="173"/>
      <c r="I31" s="173"/>
      <c r="J31" s="173"/>
      <c r="K31" s="173"/>
      <c r="L31" s="173"/>
    </row>
  </sheetData>
  <mergeCells count="10">
    <mergeCell ref="B25:H25"/>
    <mergeCell ref="B3:L3"/>
    <mergeCell ref="L25:L26"/>
    <mergeCell ref="L28:L30"/>
    <mergeCell ref="B31:L31"/>
    <mergeCell ref="B30:I30"/>
    <mergeCell ref="B29:I29"/>
    <mergeCell ref="B28:I28"/>
    <mergeCell ref="B27:L27"/>
    <mergeCell ref="B26:J2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B1:N31"/>
  <sheetViews>
    <sheetView topLeftCell="A3" workbookViewId="0">
      <selection activeCell="C4" sqref="C1:I1048576"/>
    </sheetView>
  </sheetViews>
  <sheetFormatPr defaultColWidth="9" defaultRowHeight="16.5" x14ac:dyDescent="0.3"/>
  <cols>
    <col min="1" max="1" width="0.75" style="37" customWidth="1"/>
    <col min="2" max="3" width="9" style="37"/>
    <col min="4" max="4" width="9.125" style="37" hidden="1" customWidth="1"/>
    <col min="5" max="6" width="10.625" style="37" hidden="1" customWidth="1"/>
    <col min="7" max="7" width="7.25" style="37" hidden="1" customWidth="1"/>
    <col min="8" max="8" width="10" style="37" customWidth="1"/>
    <col min="9" max="9" width="11.75" style="37" customWidth="1"/>
    <col min="10" max="10" width="12.625" style="37" customWidth="1"/>
    <col min="11" max="11" width="13.25" style="37" customWidth="1"/>
    <col min="12" max="12" width="12.875" style="37" customWidth="1"/>
    <col min="13" max="16384" width="9" style="37"/>
  </cols>
  <sheetData>
    <row r="1" spans="2:12" ht="17.100000000000001" hidden="1" x14ac:dyDescent="0.45"/>
    <row r="2" spans="2:12" ht="17.100000000000001" hidden="1" x14ac:dyDescent="0.45"/>
    <row r="3" spans="2:12" ht="26.25" x14ac:dyDescent="0.3">
      <c r="B3" s="167" t="s">
        <v>119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</row>
    <row r="4" spans="2:12" s="10" customFormat="1" ht="12.95" customHeight="1" x14ac:dyDescent="0.3">
      <c r="B4" s="48" t="s">
        <v>93</v>
      </c>
      <c r="C4" s="48" t="s">
        <v>94</v>
      </c>
      <c r="D4" s="49" t="s">
        <v>95</v>
      </c>
      <c r="E4" s="49" t="s">
        <v>96</v>
      </c>
      <c r="F4" s="49" t="s">
        <v>97</v>
      </c>
      <c r="G4" s="49" t="s">
        <v>98</v>
      </c>
      <c r="H4" s="113" t="s">
        <v>120</v>
      </c>
      <c r="I4" s="113" t="s">
        <v>121</v>
      </c>
      <c r="J4" s="113" t="s">
        <v>122</v>
      </c>
      <c r="K4" s="113" t="s">
        <v>123</v>
      </c>
      <c r="L4" s="113" t="s">
        <v>124</v>
      </c>
    </row>
    <row r="5" spans="2:12" s="10" customFormat="1" ht="12.95" customHeight="1" x14ac:dyDescent="0.3">
      <c r="B5" s="51" t="s">
        <v>144</v>
      </c>
      <c r="C5" s="51" t="s">
        <v>111</v>
      </c>
      <c r="D5" s="51">
        <v>1</v>
      </c>
      <c r="E5" s="58">
        <v>2000000</v>
      </c>
      <c r="F5" s="58">
        <v>320000</v>
      </c>
      <c r="G5" s="58">
        <v>9000000</v>
      </c>
      <c r="H5" s="114" t="str">
        <f t="shared" ref="H5:H24" si="0">IF(D5=1,"남성","여성")</f>
        <v>남성</v>
      </c>
      <c r="I5" s="54">
        <f t="shared" ref="I5:I24" si="1">E5-F5</f>
        <v>1680000</v>
      </c>
      <c r="J5" s="54">
        <f t="shared" ref="J5:J24" si="2">G5*10%</f>
        <v>900000</v>
      </c>
      <c r="K5" s="54">
        <f t="shared" ref="K5:K24" si="3">I5-G5</f>
        <v>-7320000</v>
      </c>
      <c r="L5" s="114" t="str">
        <f t="shared" ref="L5:L24" si="4">IF(K5&gt;1000000,"우수고객",IF(K5&lt;500000,"불량고객",""))</f>
        <v>불량고객</v>
      </c>
    </row>
    <row r="6" spans="2:12" s="10" customFormat="1" ht="12.95" customHeight="1" x14ac:dyDescent="0.3">
      <c r="B6" s="52" t="s">
        <v>140</v>
      </c>
      <c r="C6" s="52" t="s">
        <v>115</v>
      </c>
      <c r="D6" s="52">
        <v>0</v>
      </c>
      <c r="E6" s="59">
        <v>2200000</v>
      </c>
      <c r="F6" s="59">
        <v>530000</v>
      </c>
      <c r="G6" s="59">
        <v>870000</v>
      </c>
      <c r="H6" s="117" t="str">
        <f t="shared" si="0"/>
        <v>여성</v>
      </c>
      <c r="I6" s="55">
        <f t="shared" si="1"/>
        <v>1670000</v>
      </c>
      <c r="J6" s="55">
        <f t="shared" si="2"/>
        <v>87000</v>
      </c>
      <c r="K6" s="55">
        <f t="shared" si="3"/>
        <v>800000</v>
      </c>
      <c r="L6" s="117" t="str">
        <f t="shared" si="4"/>
        <v/>
      </c>
    </row>
    <row r="7" spans="2:12" s="10" customFormat="1" ht="12.95" customHeight="1" x14ac:dyDescent="0.3">
      <c r="B7" s="52" t="s">
        <v>143</v>
      </c>
      <c r="C7" s="52" t="s">
        <v>108</v>
      </c>
      <c r="D7" s="52">
        <v>0</v>
      </c>
      <c r="E7" s="59">
        <v>5200000</v>
      </c>
      <c r="F7" s="59">
        <v>1500000</v>
      </c>
      <c r="G7" s="59">
        <v>2800000</v>
      </c>
      <c r="H7" s="117" t="str">
        <f t="shared" si="0"/>
        <v>여성</v>
      </c>
      <c r="I7" s="55">
        <f t="shared" si="1"/>
        <v>3700000</v>
      </c>
      <c r="J7" s="55">
        <f t="shared" si="2"/>
        <v>280000</v>
      </c>
      <c r="K7" s="55">
        <f t="shared" si="3"/>
        <v>900000</v>
      </c>
      <c r="L7" s="117" t="str">
        <f t="shared" si="4"/>
        <v/>
      </c>
    </row>
    <row r="8" spans="2:12" s="10" customFormat="1" ht="12.95" customHeight="1" x14ac:dyDescent="0.3">
      <c r="B8" s="52" t="s">
        <v>140</v>
      </c>
      <c r="C8" s="52" t="s">
        <v>101</v>
      </c>
      <c r="D8" s="52">
        <v>1</v>
      </c>
      <c r="E8" s="59">
        <v>1850000</v>
      </c>
      <c r="F8" s="59">
        <v>250000</v>
      </c>
      <c r="G8" s="59">
        <v>520000</v>
      </c>
      <c r="H8" s="117" t="str">
        <f t="shared" si="0"/>
        <v>남성</v>
      </c>
      <c r="I8" s="55">
        <f t="shared" si="1"/>
        <v>1600000</v>
      </c>
      <c r="J8" s="55">
        <f t="shared" si="2"/>
        <v>52000</v>
      </c>
      <c r="K8" s="55">
        <f t="shared" si="3"/>
        <v>1080000</v>
      </c>
      <c r="L8" s="117" t="str">
        <f t="shared" si="4"/>
        <v>우수고객</v>
      </c>
    </row>
    <row r="9" spans="2:12" s="10" customFormat="1" ht="12.95" customHeight="1" x14ac:dyDescent="0.3">
      <c r="B9" s="52" t="s">
        <v>140</v>
      </c>
      <c r="C9" s="52" t="s">
        <v>103</v>
      </c>
      <c r="D9" s="52">
        <v>1</v>
      </c>
      <c r="E9" s="59">
        <v>2180000</v>
      </c>
      <c r="F9" s="59">
        <v>580000</v>
      </c>
      <c r="G9" s="59">
        <v>500000</v>
      </c>
      <c r="H9" s="117" t="str">
        <f t="shared" si="0"/>
        <v>남성</v>
      </c>
      <c r="I9" s="55">
        <f t="shared" si="1"/>
        <v>1600000</v>
      </c>
      <c r="J9" s="55">
        <f t="shared" si="2"/>
        <v>50000</v>
      </c>
      <c r="K9" s="55">
        <f t="shared" si="3"/>
        <v>1100000</v>
      </c>
      <c r="L9" s="117" t="str">
        <f t="shared" si="4"/>
        <v>우수고객</v>
      </c>
    </row>
    <row r="10" spans="2:12" s="10" customFormat="1" ht="12.95" customHeight="1" x14ac:dyDescent="0.3">
      <c r="B10" s="52" t="s">
        <v>140</v>
      </c>
      <c r="C10" s="52" t="s">
        <v>118</v>
      </c>
      <c r="D10" s="52">
        <v>1</v>
      </c>
      <c r="E10" s="59">
        <v>2640000</v>
      </c>
      <c r="F10" s="59">
        <v>220000</v>
      </c>
      <c r="G10" s="59">
        <v>640000</v>
      </c>
      <c r="H10" s="117" t="str">
        <f t="shared" si="0"/>
        <v>남성</v>
      </c>
      <c r="I10" s="55">
        <f t="shared" si="1"/>
        <v>2420000</v>
      </c>
      <c r="J10" s="55">
        <f t="shared" si="2"/>
        <v>64000</v>
      </c>
      <c r="K10" s="55">
        <f t="shared" si="3"/>
        <v>1780000</v>
      </c>
      <c r="L10" s="117" t="str">
        <f t="shared" si="4"/>
        <v>우수고객</v>
      </c>
    </row>
    <row r="11" spans="2:12" s="10" customFormat="1" ht="12.95" customHeight="1" x14ac:dyDescent="0.3">
      <c r="B11" s="61" t="s">
        <v>138</v>
      </c>
      <c r="C11" s="61" t="s">
        <v>102</v>
      </c>
      <c r="D11" s="61">
        <v>0</v>
      </c>
      <c r="E11" s="62">
        <v>3500000</v>
      </c>
      <c r="F11" s="62">
        <v>2600000</v>
      </c>
      <c r="G11" s="62">
        <v>900000</v>
      </c>
      <c r="H11" s="63" t="str">
        <f t="shared" si="0"/>
        <v>여성</v>
      </c>
      <c r="I11" s="64">
        <f t="shared" si="1"/>
        <v>900000</v>
      </c>
      <c r="J11" s="64">
        <f t="shared" si="2"/>
        <v>90000</v>
      </c>
      <c r="K11" s="64">
        <f t="shared" si="3"/>
        <v>0</v>
      </c>
      <c r="L11" s="63" t="str">
        <f t="shared" si="4"/>
        <v>불량고객</v>
      </c>
    </row>
    <row r="12" spans="2:12" s="10" customFormat="1" ht="12.95" customHeight="1" x14ac:dyDescent="0.3">
      <c r="B12" s="61" t="s">
        <v>138</v>
      </c>
      <c r="C12" s="61" t="s">
        <v>99</v>
      </c>
      <c r="D12" s="61">
        <v>1</v>
      </c>
      <c r="E12" s="62">
        <v>2200000</v>
      </c>
      <c r="F12" s="62">
        <v>1200000</v>
      </c>
      <c r="G12" s="62">
        <v>300000</v>
      </c>
      <c r="H12" s="63" t="str">
        <f t="shared" si="0"/>
        <v>남성</v>
      </c>
      <c r="I12" s="64">
        <f t="shared" si="1"/>
        <v>1000000</v>
      </c>
      <c r="J12" s="64">
        <f t="shared" si="2"/>
        <v>30000</v>
      </c>
      <c r="K12" s="64">
        <f t="shared" si="3"/>
        <v>700000</v>
      </c>
      <c r="L12" s="63" t="str">
        <f t="shared" si="4"/>
        <v/>
      </c>
    </row>
    <row r="13" spans="2:12" s="10" customFormat="1" ht="12.95" customHeight="1" x14ac:dyDescent="0.3">
      <c r="B13" s="61" t="s">
        <v>141</v>
      </c>
      <c r="C13" s="61" t="s">
        <v>112</v>
      </c>
      <c r="D13" s="61">
        <v>1</v>
      </c>
      <c r="E13" s="62">
        <v>2540000</v>
      </c>
      <c r="F13" s="62">
        <v>280000</v>
      </c>
      <c r="G13" s="62">
        <v>1500000</v>
      </c>
      <c r="H13" s="63" t="str">
        <f t="shared" si="0"/>
        <v>남성</v>
      </c>
      <c r="I13" s="64">
        <f t="shared" si="1"/>
        <v>2260000</v>
      </c>
      <c r="J13" s="64">
        <f t="shared" si="2"/>
        <v>150000</v>
      </c>
      <c r="K13" s="64">
        <f t="shared" si="3"/>
        <v>760000</v>
      </c>
      <c r="L13" s="63" t="str">
        <f t="shared" si="4"/>
        <v/>
      </c>
    </row>
    <row r="14" spans="2:12" s="10" customFormat="1" ht="12.95" customHeight="1" x14ac:dyDescent="0.3">
      <c r="B14" s="61" t="s">
        <v>145</v>
      </c>
      <c r="C14" s="61" t="s">
        <v>114</v>
      </c>
      <c r="D14" s="61">
        <v>1</v>
      </c>
      <c r="E14" s="62">
        <v>1800000</v>
      </c>
      <c r="F14" s="62">
        <v>420000</v>
      </c>
      <c r="G14" s="62">
        <v>620000</v>
      </c>
      <c r="H14" s="63" t="str">
        <f t="shared" si="0"/>
        <v>남성</v>
      </c>
      <c r="I14" s="64">
        <f t="shared" si="1"/>
        <v>1380000</v>
      </c>
      <c r="J14" s="64">
        <f t="shared" si="2"/>
        <v>62000</v>
      </c>
      <c r="K14" s="64">
        <f t="shared" si="3"/>
        <v>760000</v>
      </c>
      <c r="L14" s="63" t="str">
        <f t="shared" si="4"/>
        <v/>
      </c>
    </row>
    <row r="15" spans="2:12" s="10" customFormat="1" ht="12.95" customHeight="1" x14ac:dyDescent="0.3">
      <c r="B15" s="61" t="s">
        <v>141</v>
      </c>
      <c r="C15" s="61" t="s">
        <v>110</v>
      </c>
      <c r="D15" s="61">
        <v>0</v>
      </c>
      <c r="E15" s="62">
        <v>3570000</v>
      </c>
      <c r="F15" s="62">
        <v>210000</v>
      </c>
      <c r="G15" s="62">
        <v>2360000</v>
      </c>
      <c r="H15" s="63" t="str">
        <f t="shared" si="0"/>
        <v>여성</v>
      </c>
      <c r="I15" s="64">
        <f t="shared" si="1"/>
        <v>3360000</v>
      </c>
      <c r="J15" s="64">
        <f t="shared" si="2"/>
        <v>236000</v>
      </c>
      <c r="K15" s="64">
        <f t="shared" si="3"/>
        <v>1000000</v>
      </c>
      <c r="L15" s="63" t="str">
        <f t="shared" si="4"/>
        <v/>
      </c>
    </row>
    <row r="16" spans="2:12" s="10" customFormat="1" ht="12.95" customHeight="1" x14ac:dyDescent="0.3">
      <c r="B16" s="61" t="s">
        <v>141</v>
      </c>
      <c r="C16" s="61" t="s">
        <v>106</v>
      </c>
      <c r="D16" s="61">
        <v>1</v>
      </c>
      <c r="E16" s="62">
        <v>2750000</v>
      </c>
      <c r="F16" s="62">
        <v>800000</v>
      </c>
      <c r="G16" s="62">
        <v>850000</v>
      </c>
      <c r="H16" s="63" t="str">
        <f t="shared" si="0"/>
        <v>남성</v>
      </c>
      <c r="I16" s="64">
        <f t="shared" si="1"/>
        <v>1950000</v>
      </c>
      <c r="J16" s="64">
        <f t="shared" si="2"/>
        <v>85000</v>
      </c>
      <c r="K16" s="64">
        <f t="shared" si="3"/>
        <v>1100000</v>
      </c>
      <c r="L16" s="63" t="str">
        <f t="shared" si="4"/>
        <v>우수고객</v>
      </c>
    </row>
    <row r="17" spans="2:14" s="10" customFormat="1" ht="12.95" customHeight="1" x14ac:dyDescent="0.3">
      <c r="B17" s="61" t="s">
        <v>138</v>
      </c>
      <c r="C17" s="61" t="s">
        <v>105</v>
      </c>
      <c r="D17" s="61">
        <v>1</v>
      </c>
      <c r="E17" s="62">
        <v>2040000</v>
      </c>
      <c r="F17" s="62">
        <v>300000</v>
      </c>
      <c r="G17" s="62">
        <v>570000</v>
      </c>
      <c r="H17" s="63" t="str">
        <f t="shared" si="0"/>
        <v>남성</v>
      </c>
      <c r="I17" s="64">
        <f t="shared" si="1"/>
        <v>1740000</v>
      </c>
      <c r="J17" s="64">
        <f t="shared" si="2"/>
        <v>57000</v>
      </c>
      <c r="K17" s="64">
        <f t="shared" si="3"/>
        <v>1170000</v>
      </c>
      <c r="L17" s="63" t="str">
        <f t="shared" si="4"/>
        <v>우수고객</v>
      </c>
    </row>
    <row r="18" spans="2:14" s="10" customFormat="1" ht="12.95" customHeight="1" x14ac:dyDescent="0.3">
      <c r="B18" s="61" t="s">
        <v>138</v>
      </c>
      <c r="C18" s="61" t="s">
        <v>116</v>
      </c>
      <c r="D18" s="61">
        <v>1</v>
      </c>
      <c r="E18" s="62">
        <v>3100000</v>
      </c>
      <c r="F18" s="62">
        <v>440000</v>
      </c>
      <c r="G18" s="62">
        <v>1040000</v>
      </c>
      <c r="H18" s="63" t="str">
        <f t="shared" si="0"/>
        <v>남성</v>
      </c>
      <c r="I18" s="64">
        <f t="shared" si="1"/>
        <v>2660000</v>
      </c>
      <c r="J18" s="64">
        <f t="shared" si="2"/>
        <v>104000</v>
      </c>
      <c r="K18" s="64">
        <f t="shared" si="3"/>
        <v>1620000</v>
      </c>
      <c r="L18" s="63" t="str">
        <f t="shared" si="4"/>
        <v>우수고객</v>
      </c>
    </row>
    <row r="19" spans="2:14" s="10" customFormat="1" ht="12.95" customHeight="1" x14ac:dyDescent="0.3">
      <c r="B19" s="52" t="s">
        <v>139</v>
      </c>
      <c r="C19" s="52" t="s">
        <v>113</v>
      </c>
      <c r="D19" s="52">
        <v>0</v>
      </c>
      <c r="E19" s="59">
        <v>1600000</v>
      </c>
      <c r="F19" s="59">
        <v>270000</v>
      </c>
      <c r="G19" s="59">
        <v>1800000</v>
      </c>
      <c r="H19" s="117" t="str">
        <f t="shared" si="0"/>
        <v>여성</v>
      </c>
      <c r="I19" s="55">
        <f t="shared" si="1"/>
        <v>1330000</v>
      </c>
      <c r="J19" s="55">
        <f t="shared" si="2"/>
        <v>180000</v>
      </c>
      <c r="K19" s="55">
        <f t="shared" si="3"/>
        <v>-470000</v>
      </c>
      <c r="L19" s="117" t="str">
        <f t="shared" si="4"/>
        <v>불량고객</v>
      </c>
    </row>
    <row r="20" spans="2:14" s="10" customFormat="1" ht="12.95" customHeight="1" x14ac:dyDescent="0.3">
      <c r="B20" s="52" t="s">
        <v>139</v>
      </c>
      <c r="C20" s="52" t="s">
        <v>109</v>
      </c>
      <c r="D20" s="52">
        <v>1</v>
      </c>
      <c r="E20" s="59">
        <v>1175000</v>
      </c>
      <c r="F20" s="59">
        <v>800000</v>
      </c>
      <c r="G20" s="59">
        <v>290000</v>
      </c>
      <c r="H20" s="117" t="str">
        <f t="shared" si="0"/>
        <v>남성</v>
      </c>
      <c r="I20" s="55">
        <f t="shared" si="1"/>
        <v>375000</v>
      </c>
      <c r="J20" s="55">
        <f t="shared" si="2"/>
        <v>29000</v>
      </c>
      <c r="K20" s="55">
        <f t="shared" si="3"/>
        <v>85000</v>
      </c>
      <c r="L20" s="117" t="str">
        <f t="shared" si="4"/>
        <v>불량고객</v>
      </c>
    </row>
    <row r="21" spans="2:14" s="10" customFormat="1" ht="12.95" customHeight="1" x14ac:dyDescent="0.3">
      <c r="B21" s="52" t="s">
        <v>139</v>
      </c>
      <c r="C21" s="52" t="s">
        <v>104</v>
      </c>
      <c r="D21" s="52">
        <v>0</v>
      </c>
      <c r="E21" s="59">
        <v>1087000</v>
      </c>
      <c r="F21" s="59">
        <v>387000</v>
      </c>
      <c r="G21" s="59">
        <v>550000</v>
      </c>
      <c r="H21" s="117" t="str">
        <f t="shared" si="0"/>
        <v>여성</v>
      </c>
      <c r="I21" s="55">
        <f t="shared" si="1"/>
        <v>700000</v>
      </c>
      <c r="J21" s="55">
        <f t="shared" si="2"/>
        <v>55000</v>
      </c>
      <c r="K21" s="55">
        <f t="shared" si="3"/>
        <v>150000</v>
      </c>
      <c r="L21" s="117" t="str">
        <f t="shared" si="4"/>
        <v>불량고객</v>
      </c>
    </row>
    <row r="22" spans="2:14" s="10" customFormat="1" ht="12.95" customHeight="1" x14ac:dyDescent="0.3">
      <c r="B22" s="52" t="s">
        <v>142</v>
      </c>
      <c r="C22" s="52" t="s">
        <v>107</v>
      </c>
      <c r="D22" s="52">
        <v>0</v>
      </c>
      <c r="E22" s="59">
        <v>1580000</v>
      </c>
      <c r="F22" s="59">
        <v>640000</v>
      </c>
      <c r="G22" s="59">
        <v>420000</v>
      </c>
      <c r="H22" s="117" t="str">
        <f t="shared" si="0"/>
        <v>여성</v>
      </c>
      <c r="I22" s="55">
        <f t="shared" si="1"/>
        <v>940000</v>
      </c>
      <c r="J22" s="55">
        <f t="shared" si="2"/>
        <v>42000</v>
      </c>
      <c r="K22" s="55">
        <f t="shared" si="3"/>
        <v>520000</v>
      </c>
      <c r="L22" s="117" t="str">
        <f t="shared" si="4"/>
        <v/>
      </c>
    </row>
    <row r="23" spans="2:14" s="10" customFormat="1" ht="12.95" customHeight="1" x14ac:dyDescent="0.3">
      <c r="B23" s="52" t="s">
        <v>139</v>
      </c>
      <c r="C23" s="52" t="s">
        <v>100</v>
      </c>
      <c r="D23" s="52">
        <v>1</v>
      </c>
      <c r="E23" s="59">
        <v>1775000</v>
      </c>
      <c r="F23" s="59">
        <v>270000</v>
      </c>
      <c r="G23" s="59">
        <v>560000</v>
      </c>
      <c r="H23" s="117" t="str">
        <f t="shared" si="0"/>
        <v>남성</v>
      </c>
      <c r="I23" s="55">
        <f t="shared" si="1"/>
        <v>1505000</v>
      </c>
      <c r="J23" s="55">
        <f t="shared" si="2"/>
        <v>56000</v>
      </c>
      <c r="K23" s="55">
        <f t="shared" si="3"/>
        <v>945000</v>
      </c>
      <c r="L23" s="117" t="str">
        <f t="shared" si="4"/>
        <v/>
      </c>
    </row>
    <row r="24" spans="2:14" s="10" customFormat="1" ht="12.95" customHeight="1" x14ac:dyDescent="0.3">
      <c r="B24" s="53" t="s">
        <v>139</v>
      </c>
      <c r="C24" s="53" t="s">
        <v>117</v>
      </c>
      <c r="D24" s="53">
        <v>0</v>
      </c>
      <c r="E24" s="60">
        <v>2440000</v>
      </c>
      <c r="F24" s="60">
        <v>170000</v>
      </c>
      <c r="G24" s="60">
        <v>380000</v>
      </c>
      <c r="H24" s="115" t="str">
        <f t="shared" si="0"/>
        <v>여성</v>
      </c>
      <c r="I24" s="56">
        <f t="shared" si="1"/>
        <v>2270000</v>
      </c>
      <c r="J24" s="56">
        <f t="shared" si="2"/>
        <v>38000</v>
      </c>
      <c r="K24" s="56">
        <f t="shared" si="3"/>
        <v>1890000</v>
      </c>
      <c r="L24" s="115" t="str">
        <f t="shared" si="4"/>
        <v>우수고객</v>
      </c>
    </row>
    <row r="25" spans="2:14" s="10" customFormat="1" ht="12.95" customHeight="1" x14ac:dyDescent="0.3">
      <c r="B25" s="176" t="s">
        <v>33</v>
      </c>
      <c r="C25" s="176"/>
      <c r="D25" s="176"/>
      <c r="E25" s="176"/>
      <c r="F25" s="176"/>
      <c r="G25" s="176"/>
      <c r="H25" s="176"/>
      <c r="I25" s="57">
        <f>AVERAGE(I5:I24)</f>
        <v>1752000</v>
      </c>
      <c r="J25" s="57">
        <f t="shared" ref="J25:K25" si="5">AVERAGE(J5:J24)</f>
        <v>132350</v>
      </c>
      <c r="K25" s="57">
        <f t="shared" si="5"/>
        <v>428500</v>
      </c>
      <c r="L25" s="177"/>
    </row>
    <row r="26" spans="2:14" s="10" customFormat="1" ht="12.95" customHeight="1" x14ac:dyDescent="0.3">
      <c r="B26" s="179" t="s">
        <v>126</v>
      </c>
      <c r="C26" s="179"/>
      <c r="D26" s="179"/>
      <c r="E26" s="179"/>
      <c r="F26" s="179"/>
      <c r="G26" s="179"/>
      <c r="H26" s="179"/>
      <c r="I26" s="179"/>
      <c r="J26" s="179"/>
      <c r="K26" s="93">
        <f t="array" ref="K26">SUMPRODUCT(ISNUMBER(FIND("전자은행",$B$5:$B$24))+ISNUMBER(FIND("비자은행",$B$5:$B$24)),K5:K24)</f>
        <v>5450000</v>
      </c>
      <c r="L26" s="178"/>
    </row>
    <row r="27" spans="2:14" s="10" customFormat="1" ht="12.95" customHeight="1" x14ac:dyDescent="0.3">
      <c r="B27" s="175" t="s">
        <v>137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</row>
    <row r="28" spans="2:14" s="10" customFormat="1" ht="12.95" customHeight="1" x14ac:dyDescent="0.3">
      <c r="B28" s="179" t="s">
        <v>127</v>
      </c>
      <c r="C28" s="179"/>
      <c r="D28" s="179"/>
      <c r="E28" s="179"/>
      <c r="F28" s="179"/>
      <c r="G28" s="179"/>
      <c r="H28" s="179"/>
      <c r="I28" s="179"/>
      <c r="J28" s="93">
        <f>SUMIFS(J5:J24,$H$5:$H$24,"여성",$C$5:$C$24,"이*",$B$5:$B$24,"학교은행")</f>
        <v>180000</v>
      </c>
      <c r="K28" s="93">
        <f>SUMIFS(K5:K24,$H$5:$H$24,"여성",$C$5:$C$24,"이*",$B$5:$B$24,"학교은행")</f>
        <v>-470000</v>
      </c>
      <c r="L28" s="177"/>
      <c r="N28" s="108" t="s">
        <v>371</v>
      </c>
    </row>
    <row r="29" spans="2:14" s="10" customFormat="1" ht="12.95" customHeight="1" x14ac:dyDescent="0.3">
      <c r="B29" s="179" t="s">
        <v>128</v>
      </c>
      <c r="C29" s="179"/>
      <c r="D29" s="179"/>
      <c r="E29" s="179"/>
      <c r="F29" s="179"/>
      <c r="G29" s="179"/>
      <c r="H29" s="179"/>
      <c r="I29" s="179"/>
      <c r="J29" s="93">
        <f t="array" ref="J29">SUMPRODUCT((LEFT($C$5:$C$24,1)="이")*($L$5:$L$24="우수고객"),J5:J24)</f>
        <v>64000</v>
      </c>
      <c r="K29" s="93">
        <f t="array" ref="K29">SUMPRODUCT((LEFT($C$5:$C$24,1)="이")*($L$5:$L$24="우수고객"),K5:K24)</f>
        <v>1780000</v>
      </c>
      <c r="L29" s="180"/>
    </row>
    <row r="30" spans="2:14" s="10" customFormat="1" ht="12.95" customHeight="1" x14ac:dyDescent="0.3">
      <c r="B30" s="179" t="s">
        <v>146</v>
      </c>
      <c r="C30" s="179"/>
      <c r="D30" s="179"/>
      <c r="E30" s="179"/>
      <c r="F30" s="179"/>
      <c r="G30" s="179"/>
      <c r="H30" s="179"/>
      <c r="I30" s="179"/>
      <c r="J30" s="93">
        <f>SUMIFS(J5:J24,$I$5:$I$24,"&gt;=1500000",$I$5:$I$24,"&lt;2000000")</f>
        <v>1287000</v>
      </c>
      <c r="K30" s="93">
        <f>SUMIFS(K5:K24,$I$5:$I$24,"&gt;=1500000",$I$5:$I$24,"&lt;2000000")</f>
        <v>-1125000</v>
      </c>
      <c r="L30" s="178"/>
    </row>
    <row r="31" spans="2:14" s="10" customFormat="1" ht="12.95" customHeight="1" x14ac:dyDescent="0.3">
      <c r="B31" s="175" t="s">
        <v>147</v>
      </c>
      <c r="C31" s="162"/>
      <c r="D31" s="162"/>
      <c r="E31" s="162"/>
      <c r="F31" s="162"/>
      <c r="G31" s="162"/>
      <c r="H31" s="162"/>
      <c r="I31" s="162"/>
      <c r="J31" s="162"/>
      <c r="K31" s="162"/>
      <c r="L31" s="162"/>
    </row>
  </sheetData>
  <sortState xmlns:xlrd2="http://schemas.microsoft.com/office/spreadsheetml/2017/richdata2" ref="B5:L24">
    <sortCondition ref="B5:B24"/>
    <sortCondition ref="K5:K24"/>
  </sortState>
  <mergeCells count="10">
    <mergeCell ref="B31:L31"/>
    <mergeCell ref="B3:L3"/>
    <mergeCell ref="B25:H25"/>
    <mergeCell ref="L25:L26"/>
    <mergeCell ref="B26:J26"/>
    <mergeCell ref="B27:L27"/>
    <mergeCell ref="B28:I28"/>
    <mergeCell ref="L28:L30"/>
    <mergeCell ref="B29:I29"/>
    <mergeCell ref="B30:I30"/>
  </mergeCells>
  <phoneticPr fontId="1" type="noConversion"/>
  <printOptions horizontalCentered="1"/>
  <pageMargins left="0.70866141732283472" right="0.70866141732283472" top="2.3622047244094491" bottom="0.39370078740157483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3:D23"/>
  <sheetViews>
    <sheetView workbookViewId="0">
      <selection activeCell="K26" sqref="K26"/>
    </sheetView>
  </sheetViews>
  <sheetFormatPr defaultColWidth="9" defaultRowHeight="16.5" x14ac:dyDescent="0.3"/>
  <cols>
    <col min="1" max="16384" width="9" style="37"/>
  </cols>
  <sheetData>
    <row r="3" spans="1:4" x14ac:dyDescent="0.3">
      <c r="A3" s="44" t="s">
        <v>148</v>
      </c>
      <c r="B3" s="44" t="s">
        <v>149</v>
      </c>
      <c r="C3" s="44" t="s">
        <v>150</v>
      </c>
      <c r="D3" s="44" t="s">
        <v>151</v>
      </c>
    </row>
    <row r="4" spans="1:4" x14ac:dyDescent="0.3">
      <c r="A4" s="44" t="s">
        <v>305</v>
      </c>
      <c r="B4" s="44" t="s">
        <v>306</v>
      </c>
      <c r="C4" s="66">
        <v>0.3923611111111111</v>
      </c>
      <c r="D4" s="66">
        <v>0.76388888888888884</v>
      </c>
    </row>
    <row r="5" spans="1:4" x14ac:dyDescent="0.3">
      <c r="A5" s="44" t="s">
        <v>307</v>
      </c>
      <c r="B5" s="44" t="s">
        <v>308</v>
      </c>
      <c r="C5" s="66">
        <v>0.56180555555555556</v>
      </c>
      <c r="D5" s="66">
        <v>0.72916666666666663</v>
      </c>
    </row>
    <row r="6" spans="1:4" x14ac:dyDescent="0.3">
      <c r="A6" s="44" t="s">
        <v>309</v>
      </c>
      <c r="B6" s="44" t="s">
        <v>308</v>
      </c>
      <c r="C6" s="66">
        <v>0.59027777777777779</v>
      </c>
      <c r="D6" s="66">
        <v>0.875</v>
      </c>
    </row>
    <row r="7" spans="1:4" x14ac:dyDescent="0.3">
      <c r="A7" s="44" t="s">
        <v>310</v>
      </c>
      <c r="B7" s="44" t="s">
        <v>311</v>
      </c>
      <c r="C7" s="66">
        <v>0.35069444444444442</v>
      </c>
      <c r="D7" s="66">
        <v>0.51388888888888895</v>
      </c>
    </row>
    <row r="8" spans="1:4" x14ac:dyDescent="0.3">
      <c r="A8" s="44" t="s">
        <v>312</v>
      </c>
      <c r="B8" s="44" t="s">
        <v>306</v>
      </c>
      <c r="C8" s="66">
        <v>0.68402777777777779</v>
      </c>
      <c r="D8" s="66">
        <v>0.98263888888888884</v>
      </c>
    </row>
    <row r="9" spans="1:4" x14ac:dyDescent="0.3">
      <c r="A9" s="44" t="s">
        <v>313</v>
      </c>
      <c r="B9" s="44" t="s">
        <v>314</v>
      </c>
      <c r="C9" s="66">
        <v>0.40069444444444446</v>
      </c>
      <c r="D9" s="66">
        <v>0.59722222222222221</v>
      </c>
    </row>
    <row r="10" spans="1:4" x14ac:dyDescent="0.3">
      <c r="A10" s="44" t="s">
        <v>315</v>
      </c>
      <c r="B10" s="44" t="s">
        <v>316</v>
      </c>
      <c r="C10" s="66">
        <v>0.73263888888888884</v>
      </c>
      <c r="D10" s="66">
        <v>0.90277777777777779</v>
      </c>
    </row>
    <row r="11" spans="1:4" x14ac:dyDescent="0.3">
      <c r="A11" s="44" t="s">
        <v>317</v>
      </c>
      <c r="B11" s="44" t="s">
        <v>318</v>
      </c>
      <c r="C11" s="66">
        <v>0.3444444444444445</v>
      </c>
      <c r="D11" s="66">
        <v>0.67222222222222217</v>
      </c>
    </row>
    <row r="12" spans="1:4" x14ac:dyDescent="0.3">
      <c r="A12" s="44" t="s">
        <v>319</v>
      </c>
      <c r="B12" s="44" t="s">
        <v>320</v>
      </c>
      <c r="C12" s="66">
        <v>0.72777777777777775</v>
      </c>
      <c r="D12" s="66">
        <v>0.98611111111111116</v>
      </c>
    </row>
    <row r="13" spans="1:4" x14ac:dyDescent="0.3">
      <c r="A13" s="44" t="s">
        <v>321</v>
      </c>
      <c r="B13" s="44" t="s">
        <v>316</v>
      </c>
      <c r="C13" s="66">
        <v>0.68055555555555547</v>
      </c>
      <c r="D13" s="66">
        <v>0.83750000000000002</v>
      </c>
    </row>
    <row r="14" spans="1:4" x14ac:dyDescent="0.3">
      <c r="A14" s="44" t="s">
        <v>322</v>
      </c>
      <c r="B14" s="44" t="s">
        <v>314</v>
      </c>
      <c r="C14" s="66">
        <v>0.36805555555555558</v>
      </c>
      <c r="D14" s="66">
        <v>0.68055555555555547</v>
      </c>
    </row>
    <row r="15" spans="1:4" x14ac:dyDescent="0.3">
      <c r="A15" s="44" t="s">
        <v>323</v>
      </c>
      <c r="B15" s="44" t="s">
        <v>311</v>
      </c>
      <c r="C15" s="66">
        <v>0.34722222222222227</v>
      </c>
      <c r="D15" s="66">
        <v>0.72222222222222221</v>
      </c>
    </row>
    <row r="16" spans="1:4" x14ac:dyDescent="0.3">
      <c r="A16" s="44" t="s">
        <v>324</v>
      </c>
      <c r="B16" s="44" t="s">
        <v>308</v>
      </c>
      <c r="C16" s="66">
        <v>0.37847222222222227</v>
      </c>
      <c r="D16" s="66">
        <v>0.69444444444444453</v>
      </c>
    </row>
    <row r="17" spans="1:4" x14ac:dyDescent="0.3">
      <c r="A17" s="44" t="s">
        <v>325</v>
      </c>
      <c r="B17" s="44" t="s">
        <v>316</v>
      </c>
      <c r="C17" s="66">
        <v>0.36458333333333331</v>
      </c>
      <c r="D17" s="66">
        <v>0.68055555555555547</v>
      </c>
    </row>
    <row r="18" spans="1:4" x14ac:dyDescent="0.3">
      <c r="A18" s="44" t="s">
        <v>326</v>
      </c>
      <c r="B18" s="44" t="s">
        <v>306</v>
      </c>
      <c r="C18" s="66">
        <v>0.37152777777777773</v>
      </c>
      <c r="D18" s="66">
        <v>0.71527777777777779</v>
      </c>
    </row>
    <row r="19" spans="1:4" x14ac:dyDescent="0.3">
      <c r="A19" s="44" t="s">
        <v>327</v>
      </c>
      <c r="B19" s="44" t="s">
        <v>328</v>
      </c>
      <c r="C19" s="66">
        <v>0.3888888888888889</v>
      </c>
      <c r="D19" s="66">
        <v>0.69097222222222221</v>
      </c>
    </row>
    <row r="20" spans="1:4" x14ac:dyDescent="0.3">
      <c r="A20" s="44" t="s">
        <v>329</v>
      </c>
      <c r="B20" s="44" t="s">
        <v>316</v>
      </c>
      <c r="C20" s="66">
        <v>0.54861111111111105</v>
      </c>
      <c r="D20" s="66">
        <v>0.84722222222222221</v>
      </c>
    </row>
    <row r="21" spans="1:4" x14ac:dyDescent="0.3">
      <c r="A21" s="44" t="s">
        <v>330</v>
      </c>
      <c r="B21" s="44" t="s">
        <v>320</v>
      </c>
      <c r="C21" s="66">
        <v>0.55555555555555558</v>
      </c>
      <c r="D21" s="66">
        <v>0.84027777777777779</v>
      </c>
    </row>
    <row r="22" spans="1:4" x14ac:dyDescent="0.3">
      <c r="A22" s="44" t="s">
        <v>331</v>
      </c>
      <c r="B22" s="44" t="s">
        <v>316</v>
      </c>
      <c r="C22" s="66">
        <v>0.56944444444444442</v>
      </c>
      <c r="D22" s="66">
        <v>0.84722222222222221</v>
      </c>
    </row>
    <row r="23" spans="1:4" x14ac:dyDescent="0.3">
      <c r="A23" s="44" t="s">
        <v>332</v>
      </c>
      <c r="B23" s="44" t="s">
        <v>306</v>
      </c>
      <c r="C23" s="66">
        <v>0.55208333333333337</v>
      </c>
      <c r="D23" s="66">
        <v>0.86805555555555547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I30"/>
  <sheetViews>
    <sheetView workbookViewId="0">
      <selection activeCell="F21" sqref="F21"/>
    </sheetView>
  </sheetViews>
  <sheetFormatPr defaultRowHeight="16.5" x14ac:dyDescent="0.3"/>
  <sheetData>
    <row r="3" spans="1:9" x14ac:dyDescent="0.3">
      <c r="A3" s="44" t="s">
        <v>148</v>
      </c>
      <c r="B3" s="44" t="s">
        <v>172</v>
      </c>
      <c r="C3" s="44" t="s">
        <v>149</v>
      </c>
      <c r="D3" s="44" t="s">
        <v>150</v>
      </c>
      <c r="E3" s="44" t="s">
        <v>151</v>
      </c>
      <c r="F3" s="45" t="s">
        <v>173</v>
      </c>
      <c r="G3" s="45" t="s">
        <v>174</v>
      </c>
      <c r="H3" s="45" t="s">
        <v>175</v>
      </c>
      <c r="I3" s="45" t="s">
        <v>176</v>
      </c>
    </row>
    <row r="4" spans="1:9" x14ac:dyDescent="0.3">
      <c r="A4" s="44" t="s">
        <v>305</v>
      </c>
      <c r="B4" s="44" t="s">
        <v>40</v>
      </c>
      <c r="C4" s="44" t="s">
        <v>306</v>
      </c>
      <c r="D4" s="66">
        <v>0.3923611111111111</v>
      </c>
      <c r="E4" s="66">
        <v>0.76388888888888884</v>
      </c>
      <c r="F4" s="45" t="s">
        <v>41</v>
      </c>
      <c r="G4" s="45" t="s">
        <v>42</v>
      </c>
      <c r="H4" s="45" t="s">
        <v>43</v>
      </c>
      <c r="I4" s="45" t="s">
        <v>44</v>
      </c>
    </row>
    <row r="5" spans="1:9" x14ac:dyDescent="0.3">
      <c r="A5" s="44" t="s">
        <v>307</v>
      </c>
      <c r="B5" s="44"/>
      <c r="C5" s="44" t="s">
        <v>308</v>
      </c>
      <c r="D5" s="66">
        <v>0.56180555555555556</v>
      </c>
      <c r="E5" s="66">
        <v>0.72916666666666663</v>
      </c>
      <c r="F5" s="2"/>
      <c r="G5" s="2"/>
      <c r="H5" s="2"/>
      <c r="I5" s="2"/>
    </row>
    <row r="6" spans="1:9" x14ac:dyDescent="0.3">
      <c r="A6" s="44" t="s">
        <v>309</v>
      </c>
      <c r="B6" s="44"/>
      <c r="C6" s="44" t="s">
        <v>308</v>
      </c>
      <c r="D6" s="66">
        <v>0.59027777777777779</v>
      </c>
      <c r="E6" s="66">
        <v>0.875</v>
      </c>
      <c r="F6" s="2"/>
      <c r="G6" s="2"/>
      <c r="H6" s="2"/>
      <c r="I6" s="2"/>
    </row>
    <row r="7" spans="1:9" x14ac:dyDescent="0.3">
      <c r="A7" s="44" t="s">
        <v>310</v>
      </c>
      <c r="B7" s="44"/>
      <c r="C7" s="44" t="s">
        <v>311</v>
      </c>
      <c r="D7" s="66">
        <v>0.35069444444444442</v>
      </c>
      <c r="E7" s="66">
        <v>0.51388888888888895</v>
      </c>
      <c r="F7" s="2"/>
      <c r="G7" s="2"/>
      <c r="H7" s="2"/>
      <c r="I7" s="2"/>
    </row>
    <row r="8" spans="1:9" x14ac:dyDescent="0.3">
      <c r="A8" s="44" t="s">
        <v>312</v>
      </c>
      <c r="B8" s="44"/>
      <c r="C8" s="44" t="s">
        <v>306</v>
      </c>
      <c r="D8" s="66">
        <v>0.68402777777777779</v>
      </c>
      <c r="E8" s="66">
        <v>0.98263888888888884</v>
      </c>
      <c r="F8" s="2"/>
      <c r="G8" s="2"/>
      <c r="H8" s="2"/>
      <c r="I8" s="2"/>
    </row>
    <row r="9" spans="1:9" x14ac:dyDescent="0.3">
      <c r="A9" s="44" t="s">
        <v>313</v>
      </c>
      <c r="B9" s="44"/>
      <c r="C9" s="44" t="s">
        <v>314</v>
      </c>
      <c r="D9" s="66">
        <v>0.40069444444444446</v>
      </c>
      <c r="E9" s="66">
        <v>0.59722222222222221</v>
      </c>
      <c r="F9" s="2"/>
      <c r="G9" s="2"/>
      <c r="H9" s="2"/>
      <c r="I9" s="2"/>
    </row>
    <row r="10" spans="1:9" x14ac:dyDescent="0.3">
      <c r="A10" s="44" t="s">
        <v>315</v>
      </c>
      <c r="B10" s="44"/>
      <c r="C10" s="44" t="s">
        <v>316</v>
      </c>
      <c r="D10" s="66">
        <v>0.73263888888888884</v>
      </c>
      <c r="E10" s="66">
        <v>0.90277777777777779</v>
      </c>
      <c r="F10" s="2"/>
      <c r="G10" s="2"/>
      <c r="H10" s="2"/>
      <c r="I10" s="2"/>
    </row>
    <row r="11" spans="1:9" x14ac:dyDescent="0.3">
      <c r="A11" s="44" t="s">
        <v>317</v>
      </c>
      <c r="B11" s="44"/>
      <c r="C11" s="44" t="s">
        <v>318</v>
      </c>
      <c r="D11" s="66">
        <v>0.3444444444444445</v>
      </c>
      <c r="E11" s="66">
        <v>0.67222222222222217</v>
      </c>
      <c r="F11" s="2"/>
      <c r="G11" s="2"/>
      <c r="H11" s="2"/>
      <c r="I11" s="2"/>
    </row>
    <row r="12" spans="1:9" x14ac:dyDescent="0.3">
      <c r="A12" s="44" t="s">
        <v>319</v>
      </c>
      <c r="B12" s="44"/>
      <c r="C12" s="44" t="s">
        <v>320</v>
      </c>
      <c r="D12" s="66">
        <v>0.72777777777777775</v>
      </c>
      <c r="E12" s="66">
        <v>0.98611111111111116</v>
      </c>
      <c r="F12" s="2"/>
      <c r="G12" s="2"/>
      <c r="H12" s="2"/>
      <c r="I12" s="2"/>
    </row>
    <row r="13" spans="1:9" x14ac:dyDescent="0.3">
      <c r="A13" s="44" t="s">
        <v>321</v>
      </c>
      <c r="B13" s="44"/>
      <c r="C13" s="44" t="s">
        <v>316</v>
      </c>
      <c r="D13" s="66">
        <v>0.68055555555555547</v>
      </c>
      <c r="E13" s="66">
        <v>0.83750000000000002</v>
      </c>
      <c r="F13" s="2"/>
      <c r="G13" s="2"/>
      <c r="H13" s="2"/>
      <c r="I13" s="2"/>
    </row>
    <row r="14" spans="1:9" x14ac:dyDescent="0.3">
      <c r="A14" s="44" t="s">
        <v>322</v>
      </c>
      <c r="B14" s="44"/>
      <c r="C14" s="44" t="s">
        <v>314</v>
      </c>
      <c r="D14" s="66">
        <v>0.36805555555555558</v>
      </c>
      <c r="E14" s="66">
        <v>0.68055555555555547</v>
      </c>
      <c r="F14" s="2"/>
      <c r="G14" s="2"/>
      <c r="H14" s="2"/>
      <c r="I14" s="2"/>
    </row>
    <row r="15" spans="1:9" x14ac:dyDescent="0.3">
      <c r="A15" s="44" t="s">
        <v>323</v>
      </c>
      <c r="B15" s="44"/>
      <c r="C15" s="44" t="s">
        <v>311</v>
      </c>
      <c r="D15" s="66">
        <v>0.34722222222222227</v>
      </c>
      <c r="E15" s="66">
        <v>0.72222222222222221</v>
      </c>
      <c r="F15" s="2"/>
      <c r="G15" s="2"/>
      <c r="H15" s="2"/>
      <c r="I15" s="2"/>
    </row>
    <row r="16" spans="1:9" x14ac:dyDescent="0.3">
      <c r="A16" s="44" t="s">
        <v>324</v>
      </c>
      <c r="B16" s="44"/>
      <c r="C16" s="44" t="s">
        <v>308</v>
      </c>
      <c r="D16" s="66">
        <v>0.37847222222222227</v>
      </c>
      <c r="E16" s="66">
        <v>0.69444444444444453</v>
      </c>
      <c r="F16" s="2"/>
      <c r="G16" s="2"/>
      <c r="H16" s="2"/>
      <c r="I16" s="2"/>
    </row>
    <row r="17" spans="1:9" x14ac:dyDescent="0.3">
      <c r="A17" s="44" t="s">
        <v>325</v>
      </c>
      <c r="B17" s="44"/>
      <c r="C17" s="44" t="s">
        <v>316</v>
      </c>
      <c r="D17" s="66">
        <v>0.36458333333333331</v>
      </c>
      <c r="E17" s="66">
        <v>0.68055555555555547</v>
      </c>
      <c r="F17" s="2"/>
      <c r="G17" s="2"/>
      <c r="H17" s="2"/>
      <c r="I17" s="2"/>
    </row>
    <row r="18" spans="1:9" x14ac:dyDescent="0.3">
      <c r="A18" s="44" t="s">
        <v>326</v>
      </c>
      <c r="B18" s="44"/>
      <c r="C18" s="44" t="s">
        <v>306</v>
      </c>
      <c r="D18" s="66">
        <v>0.37152777777777773</v>
      </c>
      <c r="E18" s="66">
        <v>0.71527777777777779</v>
      </c>
      <c r="F18" s="2"/>
      <c r="G18" s="2"/>
      <c r="H18" s="2"/>
      <c r="I18" s="2"/>
    </row>
    <row r="19" spans="1:9" x14ac:dyDescent="0.3">
      <c r="A19" s="44" t="s">
        <v>327</v>
      </c>
      <c r="B19" s="44"/>
      <c r="C19" s="44" t="s">
        <v>328</v>
      </c>
      <c r="D19" s="66">
        <v>0.3888888888888889</v>
      </c>
      <c r="E19" s="66">
        <v>0.69097222222222221</v>
      </c>
      <c r="F19" s="2"/>
      <c r="G19" s="2"/>
      <c r="H19" s="2"/>
      <c r="I19" s="2"/>
    </row>
    <row r="20" spans="1:9" x14ac:dyDescent="0.3">
      <c r="A20" s="44" t="s">
        <v>329</v>
      </c>
      <c r="B20" s="44"/>
      <c r="C20" s="44" t="s">
        <v>316</v>
      </c>
      <c r="D20" s="66">
        <v>0.54861111111111105</v>
      </c>
      <c r="E20" s="66">
        <v>0.84722222222222221</v>
      </c>
      <c r="F20" s="2"/>
      <c r="G20" s="2"/>
      <c r="H20" s="2"/>
      <c r="I20" s="2"/>
    </row>
    <row r="21" spans="1:9" x14ac:dyDescent="0.3">
      <c r="A21" s="44" t="s">
        <v>330</v>
      </c>
      <c r="B21" s="44"/>
      <c r="C21" s="44" t="s">
        <v>320</v>
      </c>
      <c r="D21" s="66">
        <v>0.55555555555555558</v>
      </c>
      <c r="E21" s="66">
        <v>0.84027777777777779</v>
      </c>
      <c r="F21" s="2"/>
      <c r="G21" s="2"/>
      <c r="H21" s="2"/>
      <c r="I21" s="2"/>
    </row>
    <row r="22" spans="1:9" x14ac:dyDescent="0.3">
      <c r="A22" s="44" t="s">
        <v>331</v>
      </c>
      <c r="B22" s="44"/>
      <c r="C22" s="44" t="s">
        <v>316</v>
      </c>
      <c r="D22" s="66">
        <v>0.56944444444444442</v>
      </c>
      <c r="E22" s="66">
        <v>0.84722222222222221</v>
      </c>
      <c r="F22" s="2"/>
      <c r="G22" s="2"/>
      <c r="H22" s="2"/>
      <c r="I22" s="2"/>
    </row>
    <row r="23" spans="1:9" x14ac:dyDescent="0.3">
      <c r="A23" s="44" t="s">
        <v>332</v>
      </c>
      <c r="B23" s="44"/>
      <c r="C23" s="44" t="s">
        <v>306</v>
      </c>
      <c r="D23" s="66">
        <v>0.55208333333333337</v>
      </c>
      <c r="E23" s="66">
        <v>0.86805555555555547</v>
      </c>
      <c r="F23" s="2"/>
      <c r="G23" s="2"/>
      <c r="H23" s="2"/>
      <c r="I23" s="2"/>
    </row>
    <row r="24" spans="1:9" x14ac:dyDescent="0.3">
      <c r="A24" s="168" t="s">
        <v>177</v>
      </c>
      <c r="B24" s="168"/>
      <c r="C24" s="168"/>
      <c r="D24" s="127" t="s">
        <v>178</v>
      </c>
      <c r="E24" s="128"/>
      <c r="F24" s="129"/>
      <c r="G24" s="2" t="s">
        <v>45</v>
      </c>
      <c r="H24" s="2"/>
      <c r="I24" s="2"/>
    </row>
    <row r="25" spans="1:9" x14ac:dyDescent="0.3">
      <c r="A25" s="168"/>
      <c r="B25" s="168"/>
      <c r="C25" s="168"/>
      <c r="D25" s="127" t="s">
        <v>179</v>
      </c>
      <c r="E25" s="128"/>
      <c r="F25" s="129"/>
      <c r="G25" s="2" t="s">
        <v>46</v>
      </c>
      <c r="H25" s="2"/>
      <c r="I25" s="2"/>
    </row>
    <row r="26" spans="1:9" x14ac:dyDescent="0.3">
      <c r="A26" s="168"/>
      <c r="B26" s="168"/>
      <c r="C26" s="168"/>
      <c r="D26" s="127" t="s">
        <v>180</v>
      </c>
      <c r="E26" s="128"/>
      <c r="F26" s="129"/>
      <c r="G26" s="2" t="s">
        <v>47</v>
      </c>
      <c r="H26" s="2"/>
      <c r="I26" s="2"/>
    </row>
    <row r="27" spans="1:9" x14ac:dyDescent="0.3">
      <c r="A27" s="168" t="s">
        <v>181</v>
      </c>
      <c r="B27" s="168"/>
      <c r="C27" s="168"/>
      <c r="D27" s="168"/>
      <c r="E27" s="168"/>
      <c r="F27" s="168"/>
      <c r="G27" s="2" t="s">
        <v>48</v>
      </c>
      <c r="H27" s="2"/>
      <c r="I27" s="2"/>
    </row>
    <row r="28" spans="1:9" ht="16.5" customHeight="1" x14ac:dyDescent="0.3">
      <c r="A28" s="181" t="s">
        <v>182</v>
      </c>
      <c r="B28" s="182"/>
      <c r="C28" s="182"/>
      <c r="D28" s="182"/>
      <c r="E28" s="182"/>
      <c r="F28" s="182"/>
      <c r="G28" s="182"/>
      <c r="H28" s="183"/>
      <c r="I28" s="2" t="s">
        <v>52</v>
      </c>
    </row>
    <row r="29" spans="1:9" x14ac:dyDescent="0.3">
      <c r="A29" s="142" t="s">
        <v>91</v>
      </c>
      <c r="B29" s="142"/>
      <c r="C29" s="142"/>
      <c r="D29" s="142"/>
      <c r="E29" s="142"/>
      <c r="F29" s="142"/>
      <c r="G29" s="142"/>
      <c r="H29" s="142"/>
      <c r="I29" s="142"/>
    </row>
    <row r="30" spans="1:9" x14ac:dyDescent="0.3">
      <c r="A30" s="142" t="s">
        <v>50</v>
      </c>
      <c r="B30" s="142"/>
      <c r="C30" s="142"/>
      <c r="D30" s="142"/>
      <c r="E30" s="142"/>
      <c r="F30" s="142"/>
      <c r="G30" s="142"/>
      <c r="H30" s="142"/>
      <c r="I30" s="142"/>
    </row>
  </sheetData>
  <mergeCells count="8">
    <mergeCell ref="A24:C26"/>
    <mergeCell ref="A30:I30"/>
    <mergeCell ref="A29:I29"/>
    <mergeCell ref="A27:F27"/>
    <mergeCell ref="D24:F24"/>
    <mergeCell ref="D25:F25"/>
    <mergeCell ref="D26:F26"/>
    <mergeCell ref="A28:H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K36"/>
  <sheetViews>
    <sheetView topLeftCell="A2" workbookViewId="0">
      <selection activeCell="D4" sqref="D4:F23"/>
    </sheetView>
  </sheetViews>
  <sheetFormatPr defaultRowHeight="16.5" x14ac:dyDescent="0.3"/>
  <cols>
    <col min="1" max="1" width="8.125" customWidth="1"/>
    <col min="2" max="2" width="8.375" customWidth="1"/>
    <col min="3" max="3" width="7.875" customWidth="1"/>
    <col min="5" max="5" width="9.75" customWidth="1"/>
    <col min="6" max="6" width="10.375" customWidth="1"/>
    <col min="7" max="7" width="12.25" customWidth="1"/>
    <col min="8" max="8" width="10.25" customWidth="1"/>
    <col min="9" max="9" width="11.875" customWidth="1"/>
  </cols>
  <sheetData>
    <row r="1" spans="1:11" ht="17.100000000000001" hidden="1" x14ac:dyDescent="0.45"/>
    <row r="2" spans="1:11" ht="31.5" x14ac:dyDescent="0.3">
      <c r="A2" s="184" t="s">
        <v>183</v>
      </c>
      <c r="B2" s="184"/>
      <c r="C2" s="184"/>
      <c r="D2" s="184"/>
      <c r="E2" s="184"/>
      <c r="F2" s="184"/>
      <c r="G2" s="184"/>
      <c r="H2" s="184"/>
      <c r="I2" s="184"/>
    </row>
    <row r="3" spans="1:11" s="10" customFormat="1" ht="12.95" customHeight="1" x14ac:dyDescent="0.3">
      <c r="A3" s="48" t="s">
        <v>148</v>
      </c>
      <c r="B3" s="49" t="s">
        <v>149</v>
      </c>
      <c r="C3" s="48" t="s">
        <v>172</v>
      </c>
      <c r="D3" s="48" t="s">
        <v>150</v>
      </c>
      <c r="E3" s="48" t="s">
        <v>151</v>
      </c>
      <c r="F3" s="50" t="s">
        <v>173</v>
      </c>
      <c r="G3" s="50" t="s">
        <v>174</v>
      </c>
      <c r="H3" s="50" t="s">
        <v>175</v>
      </c>
      <c r="I3" s="50" t="s">
        <v>176</v>
      </c>
    </row>
    <row r="4" spans="1:11" s="10" customFormat="1" ht="12.95" customHeight="1" x14ac:dyDescent="0.3">
      <c r="A4" s="51" t="s">
        <v>152</v>
      </c>
      <c r="B4" s="51" t="s">
        <v>372</v>
      </c>
      <c r="C4" s="51" t="str">
        <f t="shared" ref="C4:C23" si="0">IF(LEFT(B4,1)="A","재무과",IF(LEFT(B4,1)="B","관리과",IF(LEFT(B4,1)="C","시설과")))</f>
        <v>관리과</v>
      </c>
      <c r="D4" s="70">
        <v>0.3923611111111111</v>
      </c>
      <c r="E4" s="70">
        <v>0.76388888888888884</v>
      </c>
      <c r="F4" s="71">
        <f t="shared" ref="F4:F23" si="1">E4-D4</f>
        <v>0.37152777777777773</v>
      </c>
      <c r="G4" s="106">
        <f t="shared" ref="G4:G23" si="2">(HOUR(F4)*4800)+(MINUTE(F4)*80)</f>
        <v>42800</v>
      </c>
      <c r="H4" s="76">
        <f t="shared" ref="H4:H23" si="3">IF(HOUR(F4)&gt;=6,10000,2000)</f>
        <v>10000</v>
      </c>
      <c r="I4" s="76">
        <f t="shared" ref="I4:I23" si="4">G4+H4</f>
        <v>52800</v>
      </c>
      <c r="K4" s="107"/>
    </row>
    <row r="5" spans="1:11" s="10" customFormat="1" ht="12.95" customHeight="1" x14ac:dyDescent="0.3">
      <c r="A5" s="52" t="s">
        <v>167</v>
      </c>
      <c r="B5" s="52" t="s">
        <v>373</v>
      </c>
      <c r="C5" s="52" t="str">
        <f t="shared" si="0"/>
        <v>관리과</v>
      </c>
      <c r="D5" s="72">
        <v>0.3888888888888889</v>
      </c>
      <c r="E5" s="72">
        <v>0.69097222222222221</v>
      </c>
      <c r="F5" s="73">
        <f t="shared" si="1"/>
        <v>0.30208333333333331</v>
      </c>
      <c r="G5" s="77">
        <f t="shared" si="2"/>
        <v>34800</v>
      </c>
      <c r="H5" s="77">
        <f t="shared" si="3"/>
        <v>10000</v>
      </c>
      <c r="I5" s="77">
        <f t="shared" si="4"/>
        <v>44800</v>
      </c>
    </row>
    <row r="6" spans="1:11" s="10" customFormat="1" ht="12.95" customHeight="1" x14ac:dyDescent="0.3">
      <c r="A6" s="52" t="s">
        <v>153</v>
      </c>
      <c r="B6" s="52" t="s">
        <v>374</v>
      </c>
      <c r="C6" s="52" t="str">
        <f t="shared" si="0"/>
        <v>관리과</v>
      </c>
      <c r="D6" s="72">
        <v>0.56180555555555556</v>
      </c>
      <c r="E6" s="72">
        <v>0.72916666666666663</v>
      </c>
      <c r="F6" s="73">
        <f t="shared" si="1"/>
        <v>0.16736111111111107</v>
      </c>
      <c r="G6" s="77">
        <f t="shared" si="2"/>
        <v>19280</v>
      </c>
      <c r="H6" s="77">
        <f t="shared" si="3"/>
        <v>2000</v>
      </c>
      <c r="I6" s="77">
        <f t="shared" si="4"/>
        <v>21280</v>
      </c>
    </row>
    <row r="7" spans="1:11" s="10" customFormat="1" ht="12.95" customHeight="1" x14ac:dyDescent="0.3">
      <c r="A7" s="52" t="s">
        <v>168</v>
      </c>
      <c r="B7" s="52" t="s">
        <v>375</v>
      </c>
      <c r="C7" s="52" t="str">
        <f t="shared" si="0"/>
        <v>재무과</v>
      </c>
      <c r="D7" s="72">
        <v>0.54861111111111105</v>
      </c>
      <c r="E7" s="72">
        <v>0.84722222222222221</v>
      </c>
      <c r="F7" s="73">
        <f t="shared" si="1"/>
        <v>0.29861111111111116</v>
      </c>
      <c r="G7" s="77">
        <f t="shared" si="2"/>
        <v>34400</v>
      </c>
      <c r="H7" s="77">
        <f t="shared" si="3"/>
        <v>10000</v>
      </c>
      <c r="I7" s="77">
        <f t="shared" si="4"/>
        <v>44400</v>
      </c>
    </row>
    <row r="8" spans="1:11" s="10" customFormat="1" ht="12.95" customHeight="1" x14ac:dyDescent="0.3">
      <c r="A8" s="52" t="s">
        <v>154</v>
      </c>
      <c r="B8" s="52" t="s">
        <v>374</v>
      </c>
      <c r="C8" s="52" t="str">
        <f t="shared" si="0"/>
        <v>관리과</v>
      </c>
      <c r="D8" s="72">
        <v>0.59027777777777779</v>
      </c>
      <c r="E8" s="72">
        <v>0.875</v>
      </c>
      <c r="F8" s="73">
        <f t="shared" si="1"/>
        <v>0.28472222222222221</v>
      </c>
      <c r="G8" s="77">
        <f t="shared" si="2"/>
        <v>32800</v>
      </c>
      <c r="H8" s="77">
        <f t="shared" si="3"/>
        <v>10000</v>
      </c>
      <c r="I8" s="77">
        <f t="shared" si="4"/>
        <v>42800</v>
      </c>
    </row>
    <row r="9" spans="1:11" s="10" customFormat="1" ht="12.95" customHeight="1" x14ac:dyDescent="0.3">
      <c r="A9" s="52" t="s">
        <v>155</v>
      </c>
      <c r="B9" s="52" t="s">
        <v>376</v>
      </c>
      <c r="C9" s="52" t="str">
        <f t="shared" si="0"/>
        <v>시설과</v>
      </c>
      <c r="D9" s="72">
        <v>0.35069444444444442</v>
      </c>
      <c r="E9" s="72">
        <v>0.51388888888888895</v>
      </c>
      <c r="F9" s="73">
        <f t="shared" si="1"/>
        <v>0.16319444444444453</v>
      </c>
      <c r="G9" s="77">
        <f t="shared" si="2"/>
        <v>18800</v>
      </c>
      <c r="H9" s="77">
        <f t="shared" si="3"/>
        <v>2000</v>
      </c>
      <c r="I9" s="77">
        <f t="shared" si="4"/>
        <v>20800</v>
      </c>
    </row>
    <row r="10" spans="1:11" s="10" customFormat="1" ht="12.95" customHeight="1" x14ac:dyDescent="0.3">
      <c r="A10" s="52" t="s">
        <v>156</v>
      </c>
      <c r="B10" s="52" t="s">
        <v>372</v>
      </c>
      <c r="C10" s="52" t="str">
        <f t="shared" si="0"/>
        <v>관리과</v>
      </c>
      <c r="D10" s="72">
        <v>0.68402777777777779</v>
      </c>
      <c r="E10" s="72">
        <v>0.98263888888888884</v>
      </c>
      <c r="F10" s="73">
        <f t="shared" si="1"/>
        <v>0.29861111111111105</v>
      </c>
      <c r="G10" s="77">
        <f t="shared" si="2"/>
        <v>34400</v>
      </c>
      <c r="H10" s="77">
        <f t="shared" si="3"/>
        <v>10000</v>
      </c>
      <c r="I10" s="77">
        <f t="shared" si="4"/>
        <v>44400</v>
      </c>
    </row>
    <row r="11" spans="1:11" s="10" customFormat="1" ht="12.95" customHeight="1" x14ac:dyDescent="0.3">
      <c r="A11" s="52" t="s">
        <v>165</v>
      </c>
      <c r="B11" s="52" t="s">
        <v>375</v>
      </c>
      <c r="C11" s="52" t="str">
        <f t="shared" si="0"/>
        <v>재무과</v>
      </c>
      <c r="D11" s="72">
        <v>0.36458333333333331</v>
      </c>
      <c r="E11" s="72">
        <v>0.68055555555555547</v>
      </c>
      <c r="F11" s="73">
        <f t="shared" si="1"/>
        <v>0.31597222222222215</v>
      </c>
      <c r="G11" s="77">
        <f t="shared" si="2"/>
        <v>36400</v>
      </c>
      <c r="H11" s="77">
        <f t="shared" si="3"/>
        <v>10000</v>
      </c>
      <c r="I11" s="77">
        <f t="shared" si="4"/>
        <v>46400</v>
      </c>
    </row>
    <row r="12" spans="1:11" s="10" customFormat="1" ht="12.95" customHeight="1" x14ac:dyDescent="0.3">
      <c r="A12" s="52" t="s">
        <v>162</v>
      </c>
      <c r="B12" s="52" t="s">
        <v>377</v>
      </c>
      <c r="C12" s="52" t="str">
        <f t="shared" si="0"/>
        <v>시설과</v>
      </c>
      <c r="D12" s="72">
        <v>0.36805555555555558</v>
      </c>
      <c r="E12" s="72">
        <v>0.68055555555555547</v>
      </c>
      <c r="F12" s="73">
        <f t="shared" si="1"/>
        <v>0.31249999999999989</v>
      </c>
      <c r="G12" s="77">
        <f t="shared" si="2"/>
        <v>36000</v>
      </c>
      <c r="H12" s="77">
        <f t="shared" si="3"/>
        <v>10000</v>
      </c>
      <c r="I12" s="77">
        <f t="shared" si="4"/>
        <v>46000</v>
      </c>
    </row>
    <row r="13" spans="1:11" s="10" customFormat="1" ht="12.95" customHeight="1" x14ac:dyDescent="0.3">
      <c r="A13" s="52" t="s">
        <v>157</v>
      </c>
      <c r="B13" s="52" t="s">
        <v>377</v>
      </c>
      <c r="C13" s="52" t="str">
        <f t="shared" si="0"/>
        <v>시설과</v>
      </c>
      <c r="D13" s="72">
        <v>0.40069444444444446</v>
      </c>
      <c r="E13" s="72">
        <v>0.59722222222222221</v>
      </c>
      <c r="F13" s="73">
        <f t="shared" si="1"/>
        <v>0.19652777777777775</v>
      </c>
      <c r="G13" s="77">
        <f t="shared" si="2"/>
        <v>22640</v>
      </c>
      <c r="H13" s="77">
        <f t="shared" si="3"/>
        <v>2000</v>
      </c>
      <c r="I13" s="77">
        <f t="shared" si="4"/>
        <v>24640</v>
      </c>
    </row>
    <row r="14" spans="1:11" s="10" customFormat="1" ht="12.95" customHeight="1" x14ac:dyDescent="0.3">
      <c r="A14" s="52" t="s">
        <v>158</v>
      </c>
      <c r="B14" s="52" t="s">
        <v>375</v>
      </c>
      <c r="C14" s="52" t="str">
        <f t="shared" si="0"/>
        <v>재무과</v>
      </c>
      <c r="D14" s="72">
        <v>0.73263888888888884</v>
      </c>
      <c r="E14" s="72">
        <v>0.90277777777777779</v>
      </c>
      <c r="F14" s="73">
        <f t="shared" si="1"/>
        <v>0.17013888888888895</v>
      </c>
      <c r="G14" s="77">
        <f t="shared" si="2"/>
        <v>19600</v>
      </c>
      <c r="H14" s="77">
        <f t="shared" si="3"/>
        <v>2000</v>
      </c>
      <c r="I14" s="77">
        <f t="shared" si="4"/>
        <v>21600</v>
      </c>
    </row>
    <row r="15" spans="1:11" s="10" customFormat="1" ht="12.95" customHeight="1" x14ac:dyDescent="0.3">
      <c r="A15" s="52" t="s">
        <v>164</v>
      </c>
      <c r="B15" s="52" t="s">
        <v>374</v>
      </c>
      <c r="C15" s="52" t="str">
        <f t="shared" si="0"/>
        <v>관리과</v>
      </c>
      <c r="D15" s="72">
        <v>0.37847222222222227</v>
      </c>
      <c r="E15" s="72">
        <v>0.69444444444444453</v>
      </c>
      <c r="F15" s="73">
        <f t="shared" si="1"/>
        <v>0.31597222222222227</v>
      </c>
      <c r="G15" s="77">
        <f t="shared" si="2"/>
        <v>36400</v>
      </c>
      <c r="H15" s="77">
        <f t="shared" si="3"/>
        <v>10000</v>
      </c>
      <c r="I15" s="77">
        <f t="shared" si="4"/>
        <v>46400</v>
      </c>
    </row>
    <row r="16" spans="1:11" s="10" customFormat="1" ht="12.95" customHeight="1" x14ac:dyDescent="0.3">
      <c r="A16" s="52" t="s">
        <v>159</v>
      </c>
      <c r="B16" s="52" t="s">
        <v>378</v>
      </c>
      <c r="C16" s="52" t="str">
        <f t="shared" si="0"/>
        <v>재무과</v>
      </c>
      <c r="D16" s="72">
        <v>0.3444444444444445</v>
      </c>
      <c r="E16" s="72">
        <v>0.67222222222222217</v>
      </c>
      <c r="F16" s="73">
        <f t="shared" si="1"/>
        <v>0.32777777777777767</v>
      </c>
      <c r="G16" s="77">
        <f t="shared" si="2"/>
        <v>37760</v>
      </c>
      <c r="H16" s="77">
        <f t="shared" si="3"/>
        <v>10000</v>
      </c>
      <c r="I16" s="77">
        <f t="shared" si="4"/>
        <v>47760</v>
      </c>
    </row>
    <row r="17" spans="1:9" s="10" customFormat="1" ht="12.95" customHeight="1" x14ac:dyDescent="0.3">
      <c r="A17" s="52" t="s">
        <v>160</v>
      </c>
      <c r="B17" s="52" t="s">
        <v>379</v>
      </c>
      <c r="C17" s="52" t="str">
        <f t="shared" si="0"/>
        <v>재무과</v>
      </c>
      <c r="D17" s="72">
        <v>0.72777777777777775</v>
      </c>
      <c r="E17" s="72">
        <v>0.98611111111111116</v>
      </c>
      <c r="F17" s="73">
        <f t="shared" si="1"/>
        <v>0.25833333333333341</v>
      </c>
      <c r="G17" s="77">
        <f t="shared" si="2"/>
        <v>29760</v>
      </c>
      <c r="H17" s="77">
        <f t="shared" si="3"/>
        <v>10000</v>
      </c>
      <c r="I17" s="77">
        <f t="shared" si="4"/>
        <v>39760</v>
      </c>
    </row>
    <row r="18" spans="1:9" s="10" customFormat="1" ht="12.95" customHeight="1" x14ac:dyDescent="0.3">
      <c r="A18" s="52" t="s">
        <v>170</v>
      </c>
      <c r="B18" s="52" t="s">
        <v>375</v>
      </c>
      <c r="C18" s="52" t="str">
        <f t="shared" si="0"/>
        <v>재무과</v>
      </c>
      <c r="D18" s="72">
        <v>0.56944444444444442</v>
      </c>
      <c r="E18" s="72">
        <v>0.84722222222222221</v>
      </c>
      <c r="F18" s="73">
        <f t="shared" si="1"/>
        <v>0.27777777777777779</v>
      </c>
      <c r="G18" s="77">
        <f t="shared" si="2"/>
        <v>32000</v>
      </c>
      <c r="H18" s="77">
        <f t="shared" si="3"/>
        <v>10000</v>
      </c>
      <c r="I18" s="77">
        <f t="shared" si="4"/>
        <v>42000</v>
      </c>
    </row>
    <row r="19" spans="1:9" s="10" customFormat="1" ht="12.95" customHeight="1" x14ac:dyDescent="0.3">
      <c r="A19" s="52" t="s">
        <v>163</v>
      </c>
      <c r="B19" s="52" t="s">
        <v>376</v>
      </c>
      <c r="C19" s="52" t="str">
        <f t="shared" si="0"/>
        <v>시설과</v>
      </c>
      <c r="D19" s="72">
        <v>0.34722222222222227</v>
      </c>
      <c r="E19" s="72">
        <v>0.72222222222222221</v>
      </c>
      <c r="F19" s="73">
        <f t="shared" si="1"/>
        <v>0.37499999999999994</v>
      </c>
      <c r="G19" s="77">
        <f t="shared" si="2"/>
        <v>43200</v>
      </c>
      <c r="H19" s="77">
        <f t="shared" si="3"/>
        <v>10000</v>
      </c>
      <c r="I19" s="77">
        <f t="shared" si="4"/>
        <v>53200</v>
      </c>
    </row>
    <row r="20" spans="1:9" s="10" customFormat="1" ht="12.95" customHeight="1" x14ac:dyDescent="0.3">
      <c r="A20" s="52" t="s">
        <v>161</v>
      </c>
      <c r="B20" s="52" t="s">
        <v>375</v>
      </c>
      <c r="C20" s="52" t="str">
        <f t="shared" si="0"/>
        <v>재무과</v>
      </c>
      <c r="D20" s="72">
        <v>0.68055555555555547</v>
      </c>
      <c r="E20" s="72">
        <v>0.83750000000000002</v>
      </c>
      <c r="F20" s="73">
        <f t="shared" si="1"/>
        <v>0.15694444444444455</v>
      </c>
      <c r="G20" s="77">
        <f t="shared" si="2"/>
        <v>18080</v>
      </c>
      <c r="H20" s="77">
        <f t="shared" si="3"/>
        <v>2000</v>
      </c>
      <c r="I20" s="77">
        <f t="shared" si="4"/>
        <v>20080</v>
      </c>
    </row>
    <row r="21" spans="1:9" s="10" customFormat="1" ht="12.95" customHeight="1" x14ac:dyDescent="0.3">
      <c r="A21" s="52" t="s">
        <v>166</v>
      </c>
      <c r="B21" s="52" t="s">
        <v>372</v>
      </c>
      <c r="C21" s="52" t="str">
        <f t="shared" si="0"/>
        <v>관리과</v>
      </c>
      <c r="D21" s="72">
        <v>0.37152777777777773</v>
      </c>
      <c r="E21" s="72">
        <v>0.71527777777777779</v>
      </c>
      <c r="F21" s="73">
        <f t="shared" si="1"/>
        <v>0.34375000000000006</v>
      </c>
      <c r="G21" s="77">
        <f t="shared" si="2"/>
        <v>39600</v>
      </c>
      <c r="H21" s="77">
        <f t="shared" si="3"/>
        <v>10000</v>
      </c>
      <c r="I21" s="77">
        <f t="shared" si="4"/>
        <v>49600</v>
      </c>
    </row>
    <row r="22" spans="1:9" s="10" customFormat="1" ht="12.95" customHeight="1" x14ac:dyDescent="0.3">
      <c r="A22" s="52" t="s">
        <v>169</v>
      </c>
      <c r="B22" s="52" t="s">
        <v>379</v>
      </c>
      <c r="C22" s="52" t="str">
        <f t="shared" si="0"/>
        <v>재무과</v>
      </c>
      <c r="D22" s="72">
        <v>0.55555555555555558</v>
      </c>
      <c r="E22" s="72">
        <v>0.84027777777777779</v>
      </c>
      <c r="F22" s="73">
        <f t="shared" si="1"/>
        <v>0.28472222222222221</v>
      </c>
      <c r="G22" s="77">
        <f t="shared" si="2"/>
        <v>32800</v>
      </c>
      <c r="H22" s="77">
        <f t="shared" si="3"/>
        <v>10000</v>
      </c>
      <c r="I22" s="77">
        <f t="shared" si="4"/>
        <v>42800</v>
      </c>
    </row>
    <row r="23" spans="1:9" s="10" customFormat="1" ht="12.95" customHeight="1" x14ac:dyDescent="0.3">
      <c r="A23" s="53" t="s">
        <v>171</v>
      </c>
      <c r="B23" s="53" t="s">
        <v>372</v>
      </c>
      <c r="C23" s="53" t="str">
        <f t="shared" si="0"/>
        <v>관리과</v>
      </c>
      <c r="D23" s="74">
        <v>0.55208333333333337</v>
      </c>
      <c r="E23" s="74">
        <v>0.86805555555555547</v>
      </c>
      <c r="F23" s="75">
        <f t="shared" si="1"/>
        <v>0.3159722222222221</v>
      </c>
      <c r="G23" s="78">
        <f t="shared" si="2"/>
        <v>36400</v>
      </c>
      <c r="H23" s="78">
        <f t="shared" si="3"/>
        <v>10000</v>
      </c>
      <c r="I23" s="78">
        <f t="shared" si="4"/>
        <v>46400</v>
      </c>
    </row>
    <row r="24" spans="1:9" s="10" customFormat="1" ht="12.95" customHeight="1" x14ac:dyDescent="0.3">
      <c r="A24" s="176" t="s">
        <v>177</v>
      </c>
      <c r="B24" s="176"/>
      <c r="C24" s="176"/>
      <c r="D24" s="151" t="s">
        <v>178</v>
      </c>
      <c r="E24" s="147"/>
      <c r="F24" s="148"/>
      <c r="G24" s="79">
        <f t="shared" ref="G24:I26" si="5">SUMIF($C$4:$C$23,$D24,G$4:G$23)</f>
        <v>120640</v>
      </c>
      <c r="H24" s="79">
        <f t="shared" si="5"/>
        <v>24000</v>
      </c>
      <c r="I24" s="79">
        <f t="shared" si="5"/>
        <v>144640</v>
      </c>
    </row>
    <row r="25" spans="1:9" s="10" customFormat="1" ht="12.95" customHeight="1" x14ac:dyDescent="0.3">
      <c r="A25" s="176"/>
      <c r="B25" s="176"/>
      <c r="C25" s="176"/>
      <c r="D25" s="151" t="s">
        <v>179</v>
      </c>
      <c r="E25" s="147"/>
      <c r="F25" s="148"/>
      <c r="G25" s="79">
        <f t="shared" si="5"/>
        <v>276480</v>
      </c>
      <c r="H25" s="79">
        <f t="shared" si="5"/>
        <v>72000</v>
      </c>
      <c r="I25" s="79">
        <f t="shared" si="5"/>
        <v>348480</v>
      </c>
    </row>
    <row r="26" spans="1:9" s="10" customFormat="1" ht="12.95" customHeight="1" x14ac:dyDescent="0.3">
      <c r="A26" s="176"/>
      <c r="B26" s="176"/>
      <c r="C26" s="176"/>
      <c r="D26" s="151" t="s">
        <v>180</v>
      </c>
      <c r="E26" s="147"/>
      <c r="F26" s="148"/>
      <c r="G26" s="79">
        <f t="shared" si="5"/>
        <v>240800</v>
      </c>
      <c r="H26" s="79">
        <f t="shared" si="5"/>
        <v>64000</v>
      </c>
      <c r="I26" s="79">
        <f t="shared" si="5"/>
        <v>304800</v>
      </c>
    </row>
    <row r="27" spans="1:9" s="10" customFormat="1" ht="12.95" customHeight="1" x14ac:dyDescent="0.3">
      <c r="A27" s="176" t="s">
        <v>181</v>
      </c>
      <c r="B27" s="176"/>
      <c r="C27" s="176"/>
      <c r="D27" s="176"/>
      <c r="E27" s="176"/>
      <c r="F27" s="176"/>
      <c r="G27" s="94">
        <f t="array" ref="G27">SUMPRODUCT(ISNUMBER(FIND("1",$B$4:$B$23))+ISNUMBER(FIND("3",$B$4:$B$23)),G4:G23)</f>
        <v>282240</v>
      </c>
      <c r="H27" s="94">
        <f t="array" ref="H27">SUMPRODUCT(ISNUMBER(FIND("1",$B$4:$B$23))+ISNUMBER(FIND("3",$B$4:$B$23)),H4:H23)</f>
        <v>74000</v>
      </c>
      <c r="I27" s="94">
        <f t="array" ref="I27">SUMPRODUCT(ISNUMBER(FIND("1",$B$4:$B$23))+ISNUMBER(FIND("3",$B$4:$B$23)),I4:I23)</f>
        <v>356240</v>
      </c>
    </row>
    <row r="28" spans="1:9" s="10" customFormat="1" ht="12.95" customHeight="1" x14ac:dyDescent="0.3">
      <c r="A28" s="185" t="s">
        <v>182</v>
      </c>
      <c r="B28" s="186"/>
      <c r="C28" s="186"/>
      <c r="D28" s="186"/>
      <c r="E28" s="186"/>
      <c r="F28" s="186"/>
      <c r="G28" s="186"/>
      <c r="H28" s="187"/>
      <c r="I28" s="79">
        <f>SUMIFS(I4:I23,I4:I23,"&gt;=20000",I4:I23,"&lt;40000")</f>
        <v>148160</v>
      </c>
    </row>
    <row r="29" spans="1:9" s="10" customFormat="1" ht="12.95" customHeight="1" x14ac:dyDescent="0.45">
      <c r="A29" s="175" t="s">
        <v>278</v>
      </c>
      <c r="B29" s="162"/>
      <c r="C29" s="162"/>
      <c r="D29" s="162"/>
      <c r="E29" s="162"/>
      <c r="F29" s="162"/>
      <c r="G29" s="162"/>
      <c r="H29" s="162"/>
      <c r="I29" s="162"/>
    </row>
    <row r="30" spans="1:9" s="10" customFormat="1" ht="12.95" customHeight="1" x14ac:dyDescent="0.45">
      <c r="A30" s="175" t="s">
        <v>382</v>
      </c>
      <c r="B30" s="162"/>
      <c r="C30" s="162"/>
      <c r="D30" s="162"/>
      <c r="E30" s="162"/>
      <c r="F30" s="162"/>
      <c r="G30" s="162"/>
      <c r="H30" s="162"/>
      <c r="I30" s="162"/>
    </row>
    <row r="33" spans="4:6" x14ac:dyDescent="0.3">
      <c r="D33" s="68" t="s">
        <v>184</v>
      </c>
      <c r="E33" s="50" t="s">
        <v>174</v>
      </c>
      <c r="F33" s="50" t="s">
        <v>176</v>
      </c>
    </row>
    <row r="34" spans="4:6" x14ac:dyDescent="0.3">
      <c r="D34" s="69" t="s">
        <v>178</v>
      </c>
      <c r="E34" s="67">
        <v>120640</v>
      </c>
      <c r="F34" s="67">
        <v>144640</v>
      </c>
    </row>
    <row r="35" spans="4:6" x14ac:dyDescent="0.3">
      <c r="D35" s="69" t="s">
        <v>179</v>
      </c>
      <c r="E35" s="67">
        <v>276480</v>
      </c>
      <c r="F35" s="67">
        <v>348480</v>
      </c>
    </row>
    <row r="36" spans="4:6" x14ac:dyDescent="0.3">
      <c r="D36" s="69" t="s">
        <v>180</v>
      </c>
      <c r="E36" s="67">
        <v>240800</v>
      </c>
      <c r="F36" s="67">
        <v>304800</v>
      </c>
    </row>
  </sheetData>
  <sortState xmlns:xlrd2="http://schemas.microsoft.com/office/spreadsheetml/2017/richdata2" ref="A4:J23">
    <sortCondition ref="A4:A23"/>
    <sortCondition ref="D4:D23"/>
  </sortState>
  <mergeCells count="9">
    <mergeCell ref="A29:I29"/>
    <mergeCell ref="A30:I30"/>
    <mergeCell ref="A2:I2"/>
    <mergeCell ref="A24:C26"/>
    <mergeCell ref="D24:F24"/>
    <mergeCell ref="D25:F25"/>
    <mergeCell ref="D26:F26"/>
    <mergeCell ref="A27:F27"/>
    <mergeCell ref="A28:H28"/>
  </mergeCells>
  <phoneticPr fontId="1" type="noConversion"/>
  <printOptions horizontalCentered="1"/>
  <pageMargins left="0.59055118110236227" right="0.59055118110236227" top="2.3622047244094491" bottom="0.39370078740157483" header="0.31496062992125984" footer="0.3149606299212598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2:D23"/>
  <sheetViews>
    <sheetView workbookViewId="0">
      <selection activeCell="K8" sqref="K8"/>
    </sheetView>
  </sheetViews>
  <sheetFormatPr defaultColWidth="9" defaultRowHeight="16.5" x14ac:dyDescent="0.3"/>
  <cols>
    <col min="1" max="1" width="9" style="37"/>
    <col min="2" max="4" width="10.625" style="37" bestFit="1" customWidth="1"/>
    <col min="5" max="16384" width="9" style="37"/>
  </cols>
  <sheetData>
    <row r="2" spans="1:4" x14ac:dyDescent="0.3">
      <c r="A2" s="37" t="s">
        <v>384</v>
      </c>
    </row>
    <row r="3" spans="1:4" ht="15.75" customHeight="1" x14ac:dyDescent="0.3">
      <c r="A3" s="38" t="s">
        <v>185</v>
      </c>
      <c r="B3" s="38" t="s">
        <v>186</v>
      </c>
      <c r="C3" s="38" t="s">
        <v>97</v>
      </c>
      <c r="D3" s="38" t="s">
        <v>187</v>
      </c>
    </row>
    <row r="4" spans="1:4" ht="15.75" customHeight="1" x14ac:dyDescent="0.3">
      <c r="A4" s="38" t="s">
        <v>333</v>
      </c>
      <c r="B4" s="39">
        <v>1550000</v>
      </c>
      <c r="C4" s="39">
        <v>950000</v>
      </c>
      <c r="D4" s="39">
        <v>450000</v>
      </c>
    </row>
    <row r="5" spans="1:4" x14ac:dyDescent="0.3">
      <c r="A5" s="38" t="s">
        <v>334</v>
      </c>
      <c r="B5" s="39">
        <v>1900000</v>
      </c>
      <c r="C5" s="39">
        <v>1270000</v>
      </c>
      <c r="D5" s="39">
        <v>700000</v>
      </c>
    </row>
    <row r="6" spans="1:4" x14ac:dyDescent="0.3">
      <c r="A6" s="38" t="s">
        <v>335</v>
      </c>
      <c r="B6" s="39">
        <v>3800000</v>
      </c>
      <c r="C6" s="39">
        <v>1150000</v>
      </c>
      <c r="D6" s="39">
        <v>900000</v>
      </c>
    </row>
    <row r="7" spans="1:4" x14ac:dyDescent="0.3">
      <c r="A7" s="38" t="s">
        <v>336</v>
      </c>
      <c r="B7" s="39">
        <v>2700000</v>
      </c>
      <c r="C7" s="39">
        <v>1200000</v>
      </c>
      <c r="D7" s="39">
        <v>850000</v>
      </c>
    </row>
    <row r="8" spans="1:4" x14ac:dyDescent="0.3">
      <c r="A8" s="38" t="s">
        <v>333</v>
      </c>
      <c r="B8" s="39">
        <v>2450000</v>
      </c>
      <c r="C8" s="39">
        <v>1400000</v>
      </c>
      <c r="D8" s="39">
        <v>1140000</v>
      </c>
    </row>
    <row r="9" spans="1:4" x14ac:dyDescent="0.3">
      <c r="A9" s="38" t="s">
        <v>333</v>
      </c>
      <c r="B9" s="39">
        <v>1850000</v>
      </c>
      <c r="C9" s="39">
        <v>1250000</v>
      </c>
      <c r="D9" s="39">
        <v>750000</v>
      </c>
    </row>
    <row r="10" spans="1:4" x14ac:dyDescent="0.3">
      <c r="A10" s="38" t="s">
        <v>333</v>
      </c>
      <c r="B10" s="39">
        <v>1200000</v>
      </c>
      <c r="C10" s="39">
        <v>770000</v>
      </c>
      <c r="D10" s="39">
        <v>490000</v>
      </c>
    </row>
    <row r="11" spans="1:4" x14ac:dyDescent="0.3">
      <c r="A11" s="38" t="s">
        <v>333</v>
      </c>
      <c r="B11" s="39">
        <v>1800000</v>
      </c>
      <c r="C11" s="39">
        <v>1600000</v>
      </c>
      <c r="D11" s="39">
        <v>900000</v>
      </c>
    </row>
    <row r="12" spans="1:4" x14ac:dyDescent="0.3">
      <c r="A12" s="38" t="s">
        <v>333</v>
      </c>
      <c r="B12" s="39">
        <v>1200000</v>
      </c>
      <c r="C12" s="39">
        <v>1000000</v>
      </c>
      <c r="D12" s="39">
        <v>700000</v>
      </c>
    </row>
    <row r="13" spans="1:4" x14ac:dyDescent="0.3">
      <c r="A13" s="38" t="s">
        <v>336</v>
      </c>
      <c r="B13" s="39">
        <v>800000</v>
      </c>
      <c r="C13" s="39">
        <v>200000</v>
      </c>
      <c r="D13" s="39">
        <v>100000</v>
      </c>
    </row>
    <row r="14" spans="1:4" x14ac:dyDescent="0.3">
      <c r="A14" s="38" t="s">
        <v>335</v>
      </c>
      <c r="B14" s="39">
        <v>1500000</v>
      </c>
      <c r="C14" s="39">
        <v>1200000</v>
      </c>
      <c r="D14" s="39">
        <v>200000</v>
      </c>
    </row>
    <row r="15" spans="1:4" x14ac:dyDescent="0.3">
      <c r="A15" s="38" t="s">
        <v>337</v>
      </c>
      <c r="B15" s="39">
        <v>1700000</v>
      </c>
      <c r="C15" s="39">
        <v>1100000</v>
      </c>
      <c r="D15" s="39">
        <v>400000</v>
      </c>
    </row>
    <row r="16" spans="1:4" x14ac:dyDescent="0.3">
      <c r="A16" s="38" t="s">
        <v>333</v>
      </c>
      <c r="B16" s="39">
        <v>1600000</v>
      </c>
      <c r="C16" s="39">
        <v>1200000</v>
      </c>
      <c r="D16" s="39">
        <v>200000</v>
      </c>
    </row>
    <row r="17" spans="1:4" x14ac:dyDescent="0.3">
      <c r="A17" s="38" t="s">
        <v>338</v>
      </c>
      <c r="B17" s="39">
        <v>1900000</v>
      </c>
      <c r="C17" s="39">
        <v>1100000</v>
      </c>
      <c r="D17" s="39">
        <v>300000</v>
      </c>
    </row>
    <row r="18" spans="1:4" x14ac:dyDescent="0.3">
      <c r="A18" s="38" t="s">
        <v>338</v>
      </c>
      <c r="B18" s="39">
        <v>1300000</v>
      </c>
      <c r="C18" s="39">
        <v>900000</v>
      </c>
      <c r="D18" s="39">
        <v>100000</v>
      </c>
    </row>
    <row r="19" spans="1:4" x14ac:dyDescent="0.3">
      <c r="A19" s="38" t="s">
        <v>333</v>
      </c>
      <c r="B19" s="39">
        <v>1500000</v>
      </c>
      <c r="C19" s="39">
        <v>1000000</v>
      </c>
      <c r="D19" s="39">
        <v>500000</v>
      </c>
    </row>
    <row r="20" spans="1:4" x14ac:dyDescent="0.3">
      <c r="A20" s="38" t="s">
        <v>337</v>
      </c>
      <c r="B20" s="39">
        <v>1200000</v>
      </c>
      <c r="C20" s="39">
        <v>1100000</v>
      </c>
      <c r="D20" s="39">
        <v>600000</v>
      </c>
    </row>
    <row r="21" spans="1:4" x14ac:dyDescent="0.3">
      <c r="A21" s="38" t="s">
        <v>338</v>
      </c>
      <c r="B21" s="39">
        <v>1300000</v>
      </c>
      <c r="C21" s="39">
        <v>1000000</v>
      </c>
      <c r="D21" s="39">
        <v>400000</v>
      </c>
    </row>
    <row r="22" spans="1:4" x14ac:dyDescent="0.3">
      <c r="A22" s="38" t="s">
        <v>335</v>
      </c>
      <c r="B22" s="39">
        <v>1800000</v>
      </c>
      <c r="C22" s="39">
        <v>1300000</v>
      </c>
      <c r="D22" s="39">
        <v>200000</v>
      </c>
    </row>
    <row r="23" spans="1:4" x14ac:dyDescent="0.3">
      <c r="A23" s="38" t="s">
        <v>338</v>
      </c>
      <c r="B23" s="39">
        <v>1200000</v>
      </c>
      <c r="C23" s="39">
        <v>800000</v>
      </c>
      <c r="D23" s="39">
        <v>600000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1"/>
  <sheetViews>
    <sheetView workbookViewId="0">
      <selection activeCell="D8" sqref="D8"/>
    </sheetView>
  </sheetViews>
  <sheetFormatPr defaultRowHeight="16.5" x14ac:dyDescent="0.3"/>
  <cols>
    <col min="1" max="1" width="10.625" customWidth="1"/>
    <col min="2" max="6" width="11.375" bestFit="1" customWidth="1"/>
    <col min="7" max="7" width="10.125" customWidth="1"/>
    <col min="8" max="8" width="6.875" customWidth="1"/>
  </cols>
  <sheetData>
    <row r="1" spans="1:8" ht="17.100000000000001" x14ac:dyDescent="0.45"/>
    <row r="2" spans="1:8" x14ac:dyDescent="0.3">
      <c r="A2" s="189" t="s">
        <v>188</v>
      </c>
      <c r="B2" s="189"/>
      <c r="C2" s="189"/>
      <c r="D2" s="189"/>
      <c r="E2" s="189"/>
      <c r="F2" s="189"/>
      <c r="G2" s="189"/>
      <c r="H2" s="189"/>
    </row>
    <row r="3" spans="1:8" x14ac:dyDescent="0.3">
      <c r="A3" s="44" t="s">
        <v>185</v>
      </c>
      <c r="B3" s="44" t="s">
        <v>186</v>
      </c>
      <c r="C3" s="44" t="s">
        <v>97</v>
      </c>
      <c r="D3" s="44" t="s">
        <v>187</v>
      </c>
      <c r="E3" s="45" t="s">
        <v>189</v>
      </c>
      <c r="F3" s="45" t="s">
        <v>190</v>
      </c>
      <c r="G3" s="45" t="s">
        <v>191</v>
      </c>
      <c r="H3" s="45" t="s">
        <v>192</v>
      </c>
    </row>
    <row r="4" spans="1:8" x14ac:dyDescent="0.3">
      <c r="A4" s="44" t="s">
        <v>199</v>
      </c>
      <c r="B4" s="81">
        <v>1550000</v>
      </c>
      <c r="C4" s="81">
        <v>950000</v>
      </c>
      <c r="D4" s="81">
        <v>450000</v>
      </c>
      <c r="E4" s="89" t="s">
        <v>40</v>
      </c>
      <c r="F4" s="89" t="s">
        <v>41</v>
      </c>
      <c r="G4" s="87" t="s">
        <v>42</v>
      </c>
      <c r="H4" s="47" t="s">
        <v>43</v>
      </c>
    </row>
    <row r="5" spans="1:8" x14ac:dyDescent="0.3">
      <c r="A5" s="44" t="s">
        <v>200</v>
      </c>
      <c r="B5" s="81">
        <v>1900000</v>
      </c>
      <c r="C5" s="81">
        <v>1270000</v>
      </c>
      <c r="D5" s="81">
        <v>700000</v>
      </c>
      <c r="E5" s="86"/>
      <c r="F5" s="86"/>
      <c r="G5" s="87"/>
      <c r="H5" s="47"/>
    </row>
    <row r="6" spans="1:8" x14ac:dyDescent="0.3">
      <c r="A6" s="44" t="s">
        <v>201</v>
      </c>
      <c r="B6" s="81">
        <v>3800000</v>
      </c>
      <c r="C6" s="81">
        <v>1150000</v>
      </c>
      <c r="D6" s="81">
        <v>900000</v>
      </c>
      <c r="E6" s="86"/>
      <c r="F6" s="86"/>
      <c r="G6" s="87"/>
      <c r="H6" s="47"/>
    </row>
    <row r="7" spans="1:8" x14ac:dyDescent="0.3">
      <c r="A7" s="44" t="s">
        <v>202</v>
      </c>
      <c r="B7" s="81">
        <v>2700000</v>
      </c>
      <c r="C7" s="81">
        <v>1200000</v>
      </c>
      <c r="D7" s="81">
        <v>850000</v>
      </c>
      <c r="E7" s="86"/>
      <c r="F7" s="86"/>
      <c r="G7" s="87"/>
      <c r="H7" s="47"/>
    </row>
    <row r="8" spans="1:8" x14ac:dyDescent="0.3">
      <c r="A8" s="44" t="s">
        <v>199</v>
      </c>
      <c r="B8" s="81">
        <v>2450000</v>
      </c>
      <c r="C8" s="81">
        <v>1400000</v>
      </c>
      <c r="D8" s="81">
        <v>1140000</v>
      </c>
      <c r="E8" s="86"/>
      <c r="F8" s="86"/>
      <c r="G8" s="87"/>
      <c r="H8" s="47"/>
    </row>
    <row r="9" spans="1:8" x14ac:dyDescent="0.3">
      <c r="A9" s="44" t="s">
        <v>199</v>
      </c>
      <c r="B9" s="81">
        <v>1850000</v>
      </c>
      <c r="C9" s="81">
        <v>1250000</v>
      </c>
      <c r="D9" s="81">
        <v>750000</v>
      </c>
      <c r="E9" s="86"/>
      <c r="F9" s="86"/>
      <c r="G9" s="87"/>
      <c r="H9" s="47"/>
    </row>
    <row r="10" spans="1:8" x14ac:dyDescent="0.3">
      <c r="A10" s="44" t="s">
        <v>199</v>
      </c>
      <c r="B10" s="81">
        <v>1200000</v>
      </c>
      <c r="C10" s="81">
        <v>770000</v>
      </c>
      <c r="D10" s="81">
        <v>490000</v>
      </c>
      <c r="E10" s="86"/>
      <c r="F10" s="86"/>
      <c r="G10" s="87"/>
      <c r="H10" s="47"/>
    </row>
    <row r="11" spans="1:8" x14ac:dyDescent="0.3">
      <c r="A11" s="44" t="s">
        <v>199</v>
      </c>
      <c r="B11" s="81">
        <v>1800000</v>
      </c>
      <c r="C11" s="81">
        <v>1600000</v>
      </c>
      <c r="D11" s="81">
        <v>900000</v>
      </c>
      <c r="E11" s="86"/>
      <c r="F11" s="86"/>
      <c r="G11" s="87"/>
      <c r="H11" s="47"/>
    </row>
    <row r="12" spans="1:8" x14ac:dyDescent="0.3">
      <c r="A12" s="44" t="s">
        <v>199</v>
      </c>
      <c r="B12" s="81">
        <v>1200000</v>
      </c>
      <c r="C12" s="81">
        <v>1000000</v>
      </c>
      <c r="D12" s="81">
        <v>700000</v>
      </c>
      <c r="E12" s="86"/>
      <c r="F12" s="86"/>
      <c r="G12" s="87"/>
      <c r="H12" s="47"/>
    </row>
    <row r="13" spans="1:8" x14ac:dyDescent="0.3">
      <c r="A13" s="44" t="s">
        <v>202</v>
      </c>
      <c r="B13" s="81">
        <v>800000</v>
      </c>
      <c r="C13" s="81">
        <v>200000</v>
      </c>
      <c r="D13" s="81">
        <v>100000</v>
      </c>
      <c r="E13" s="86"/>
      <c r="F13" s="86"/>
      <c r="G13" s="87"/>
      <c r="H13" s="47"/>
    </row>
    <row r="14" spans="1:8" x14ac:dyDescent="0.3">
      <c r="A14" s="44" t="s">
        <v>201</v>
      </c>
      <c r="B14" s="81">
        <v>1500000</v>
      </c>
      <c r="C14" s="81">
        <v>1200000</v>
      </c>
      <c r="D14" s="81">
        <v>200000</v>
      </c>
      <c r="E14" s="86"/>
      <c r="F14" s="86"/>
      <c r="G14" s="87"/>
      <c r="H14" s="47"/>
    </row>
    <row r="15" spans="1:8" x14ac:dyDescent="0.3">
      <c r="A15" s="44" t="s">
        <v>203</v>
      </c>
      <c r="B15" s="81">
        <v>1700000</v>
      </c>
      <c r="C15" s="81">
        <v>1100000</v>
      </c>
      <c r="D15" s="81">
        <v>400000</v>
      </c>
      <c r="E15" s="86"/>
      <c r="F15" s="86"/>
      <c r="G15" s="87"/>
      <c r="H15" s="47"/>
    </row>
    <row r="16" spans="1:8" x14ac:dyDescent="0.3">
      <c r="A16" s="44" t="s">
        <v>199</v>
      </c>
      <c r="B16" s="81">
        <v>1600000</v>
      </c>
      <c r="C16" s="81">
        <v>1200000</v>
      </c>
      <c r="D16" s="81">
        <v>200000</v>
      </c>
      <c r="E16" s="86"/>
      <c r="F16" s="86"/>
      <c r="G16" s="87"/>
      <c r="H16" s="47"/>
    </row>
    <row r="17" spans="1:8" x14ac:dyDescent="0.3">
      <c r="A17" s="44" t="s">
        <v>204</v>
      </c>
      <c r="B17" s="81">
        <v>1900000</v>
      </c>
      <c r="C17" s="81">
        <v>1100000</v>
      </c>
      <c r="D17" s="81">
        <v>300000</v>
      </c>
      <c r="E17" s="86"/>
      <c r="F17" s="86"/>
      <c r="G17" s="87"/>
      <c r="H17" s="47"/>
    </row>
    <row r="18" spans="1:8" x14ac:dyDescent="0.3">
      <c r="A18" s="44" t="s">
        <v>204</v>
      </c>
      <c r="B18" s="81">
        <v>1300000</v>
      </c>
      <c r="C18" s="81">
        <v>900000</v>
      </c>
      <c r="D18" s="81">
        <v>100000</v>
      </c>
      <c r="E18" s="86"/>
      <c r="F18" s="86"/>
      <c r="G18" s="87"/>
      <c r="H18" s="47"/>
    </row>
    <row r="19" spans="1:8" x14ac:dyDescent="0.3">
      <c r="A19" s="44" t="s">
        <v>199</v>
      </c>
      <c r="B19" s="81">
        <v>1500000</v>
      </c>
      <c r="C19" s="81">
        <v>1000000</v>
      </c>
      <c r="D19" s="81">
        <v>500000</v>
      </c>
      <c r="E19" s="86"/>
      <c r="F19" s="86"/>
      <c r="G19" s="87"/>
      <c r="H19" s="47"/>
    </row>
    <row r="20" spans="1:8" x14ac:dyDescent="0.3">
      <c r="A20" s="44" t="s">
        <v>203</v>
      </c>
      <c r="B20" s="81">
        <v>1200000</v>
      </c>
      <c r="C20" s="81">
        <v>1100000</v>
      </c>
      <c r="D20" s="81">
        <v>600000</v>
      </c>
      <c r="E20" s="86"/>
      <c r="F20" s="86"/>
      <c r="G20" s="87"/>
      <c r="H20" s="47"/>
    </row>
    <row r="21" spans="1:8" x14ac:dyDescent="0.3">
      <c r="A21" s="44" t="s">
        <v>204</v>
      </c>
      <c r="B21" s="81">
        <v>1300000</v>
      </c>
      <c r="C21" s="81">
        <v>1000000</v>
      </c>
      <c r="D21" s="81">
        <v>400000</v>
      </c>
      <c r="E21" s="86"/>
      <c r="F21" s="86"/>
      <c r="G21" s="87"/>
      <c r="H21" s="47"/>
    </row>
    <row r="22" spans="1:8" x14ac:dyDescent="0.3">
      <c r="A22" s="44" t="s">
        <v>201</v>
      </c>
      <c r="B22" s="81">
        <v>1800000</v>
      </c>
      <c r="C22" s="81">
        <v>1300000</v>
      </c>
      <c r="D22" s="81">
        <v>200000</v>
      </c>
      <c r="E22" s="86"/>
      <c r="F22" s="86"/>
      <c r="G22" s="87"/>
      <c r="H22" s="47"/>
    </row>
    <row r="23" spans="1:8" x14ac:dyDescent="0.3">
      <c r="A23" s="44" t="s">
        <v>204</v>
      </c>
      <c r="B23" s="81">
        <v>1200000</v>
      </c>
      <c r="C23" s="81">
        <v>800000</v>
      </c>
      <c r="D23" s="81">
        <v>600000</v>
      </c>
      <c r="E23" s="86"/>
      <c r="F23" s="86"/>
      <c r="G23" s="87"/>
      <c r="H23" s="47"/>
    </row>
    <row r="24" spans="1:8" x14ac:dyDescent="0.3">
      <c r="A24" s="80" t="s">
        <v>193</v>
      </c>
      <c r="B24" s="88" t="s">
        <v>130</v>
      </c>
      <c r="C24" s="88" t="s">
        <v>130</v>
      </c>
      <c r="D24" s="88" t="s">
        <v>130</v>
      </c>
      <c r="E24" s="88" t="s">
        <v>130</v>
      </c>
      <c r="F24" s="88" t="s">
        <v>130</v>
      </c>
      <c r="G24" s="170"/>
      <c r="H24" s="190"/>
    </row>
    <row r="25" spans="1:8" x14ac:dyDescent="0.3">
      <c r="A25" s="80" t="s">
        <v>194</v>
      </c>
      <c r="B25" s="88" t="s">
        <v>131</v>
      </c>
      <c r="C25" s="88" t="s">
        <v>131</v>
      </c>
      <c r="D25" s="88" t="s">
        <v>131</v>
      </c>
      <c r="E25" s="88" t="s">
        <v>131</v>
      </c>
      <c r="F25" s="88" t="s">
        <v>131</v>
      </c>
      <c r="G25" s="172"/>
      <c r="H25" s="191"/>
    </row>
    <row r="26" spans="1:8" x14ac:dyDescent="0.3">
      <c r="A26" s="80" t="s">
        <v>195</v>
      </c>
      <c r="B26" s="88" t="s">
        <v>132</v>
      </c>
      <c r="C26" s="88" t="s">
        <v>132</v>
      </c>
      <c r="D26" s="88" t="s">
        <v>132</v>
      </c>
      <c r="E26" s="88" t="s">
        <v>132</v>
      </c>
      <c r="F26" s="88" t="s">
        <v>132</v>
      </c>
      <c r="G26" s="172"/>
      <c r="H26" s="191"/>
    </row>
    <row r="27" spans="1:8" x14ac:dyDescent="0.3">
      <c r="A27" s="80" t="s">
        <v>196</v>
      </c>
      <c r="B27" s="88" t="s">
        <v>133</v>
      </c>
      <c r="C27" s="88" t="s">
        <v>133</v>
      </c>
      <c r="D27" s="88" t="s">
        <v>133</v>
      </c>
      <c r="E27" s="88" t="s">
        <v>133</v>
      </c>
      <c r="F27" s="88" t="s">
        <v>133</v>
      </c>
      <c r="G27" s="172"/>
      <c r="H27" s="191"/>
    </row>
    <row r="28" spans="1:8" s="65" customFormat="1" x14ac:dyDescent="0.3">
      <c r="A28" s="193" t="s">
        <v>197</v>
      </c>
      <c r="B28" s="194"/>
      <c r="C28" s="194"/>
      <c r="D28" s="195"/>
      <c r="E28" s="88" t="s">
        <v>134</v>
      </c>
      <c r="F28" s="88" t="s">
        <v>134</v>
      </c>
      <c r="G28" s="172"/>
      <c r="H28" s="191"/>
    </row>
    <row r="29" spans="1:8" s="65" customFormat="1" x14ac:dyDescent="0.3">
      <c r="A29" s="174" t="s">
        <v>198</v>
      </c>
      <c r="B29" s="174"/>
      <c r="C29" s="174"/>
      <c r="D29" s="174"/>
      <c r="E29" s="88" t="s">
        <v>135</v>
      </c>
      <c r="F29" s="88" t="s">
        <v>135</v>
      </c>
      <c r="G29" s="171"/>
      <c r="H29" s="192"/>
    </row>
    <row r="30" spans="1:8" s="65" customFormat="1" x14ac:dyDescent="0.3">
      <c r="A30" s="188" t="s">
        <v>91</v>
      </c>
      <c r="B30" s="173"/>
      <c r="C30" s="173"/>
      <c r="D30" s="173"/>
      <c r="E30" s="173"/>
      <c r="F30" s="173"/>
      <c r="G30" s="173"/>
      <c r="H30" s="173"/>
    </row>
    <row r="31" spans="1:8" s="65" customFormat="1" x14ac:dyDescent="0.3">
      <c r="A31" s="188" t="s">
        <v>50</v>
      </c>
      <c r="B31" s="173"/>
      <c r="C31" s="173"/>
      <c r="D31" s="173"/>
      <c r="E31" s="173"/>
      <c r="F31" s="173"/>
      <c r="G31" s="173"/>
      <c r="H31" s="173"/>
    </row>
  </sheetData>
  <mergeCells count="7">
    <mergeCell ref="A29:D29"/>
    <mergeCell ref="A31:H31"/>
    <mergeCell ref="A30:H30"/>
    <mergeCell ref="A2:H2"/>
    <mergeCell ref="G24:G29"/>
    <mergeCell ref="H24:H29"/>
    <mergeCell ref="A28:D2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I31"/>
  <sheetViews>
    <sheetView topLeftCell="A2" workbookViewId="0">
      <selection activeCell="K33" sqref="K33"/>
    </sheetView>
  </sheetViews>
  <sheetFormatPr defaultRowHeight="16.5" x14ac:dyDescent="0.3"/>
  <cols>
    <col min="1" max="1" width="10.625" customWidth="1"/>
    <col min="2" max="6" width="11.375" bestFit="1" customWidth="1"/>
    <col min="7" max="7" width="8.125" customWidth="1"/>
    <col min="8" max="8" width="6.875" customWidth="1"/>
  </cols>
  <sheetData>
    <row r="1" spans="1:9" ht="17.100000000000001" hidden="1" x14ac:dyDescent="0.45"/>
    <row r="2" spans="1:9" ht="31.5" x14ac:dyDescent="0.3">
      <c r="A2" s="198" t="s">
        <v>188</v>
      </c>
      <c r="B2" s="198"/>
      <c r="C2" s="198"/>
      <c r="D2" s="198"/>
      <c r="E2" s="198"/>
      <c r="F2" s="198"/>
      <c r="G2" s="198"/>
      <c r="H2" s="198"/>
    </row>
    <row r="3" spans="1:9" s="10" customFormat="1" ht="12" x14ac:dyDescent="0.3">
      <c r="A3" s="113" t="s">
        <v>185</v>
      </c>
      <c r="B3" s="113" t="s">
        <v>186</v>
      </c>
      <c r="C3" s="113" t="s">
        <v>97</v>
      </c>
      <c r="D3" s="113" t="s">
        <v>187</v>
      </c>
      <c r="E3" s="113" t="s">
        <v>189</v>
      </c>
      <c r="F3" s="113" t="s">
        <v>190</v>
      </c>
      <c r="G3" s="113" t="s">
        <v>191</v>
      </c>
      <c r="H3" s="113" t="s">
        <v>192</v>
      </c>
      <c r="I3" s="10" t="s">
        <v>277</v>
      </c>
    </row>
    <row r="4" spans="1:9" s="10" customFormat="1" ht="12" x14ac:dyDescent="0.3">
      <c r="A4" s="118" t="s">
        <v>199</v>
      </c>
      <c r="B4" s="76">
        <v>2450000</v>
      </c>
      <c r="C4" s="76">
        <v>1400000</v>
      </c>
      <c r="D4" s="76">
        <v>1140000</v>
      </c>
      <c r="E4" s="119">
        <f t="shared" ref="E4:E23" si="0">C4-D4</f>
        <v>260000</v>
      </c>
      <c r="F4" s="119">
        <f t="shared" ref="F4:F23" si="1">B4-C4</f>
        <v>1050000</v>
      </c>
      <c r="G4" s="120">
        <f t="shared" ref="G4:G23" si="2">E4/C4</f>
        <v>0.18571428571428572</v>
      </c>
      <c r="H4" s="121" t="str">
        <f>IF(G4&lt;=30%,"나쁨",IF(G4&lt;=50%,"보통","우수"))</f>
        <v>나쁨</v>
      </c>
      <c r="I4" s="108" t="s">
        <v>276</v>
      </c>
    </row>
    <row r="5" spans="1:9" s="10" customFormat="1" ht="12" x14ac:dyDescent="0.3">
      <c r="A5" s="109" t="s">
        <v>201</v>
      </c>
      <c r="B5" s="77">
        <v>3800000</v>
      </c>
      <c r="C5" s="77">
        <v>1150000</v>
      </c>
      <c r="D5" s="77">
        <v>900000</v>
      </c>
      <c r="E5" s="122">
        <f t="shared" si="0"/>
        <v>250000</v>
      </c>
      <c r="F5" s="122">
        <f t="shared" si="1"/>
        <v>2650000</v>
      </c>
      <c r="G5" s="123">
        <f t="shared" si="2"/>
        <v>0.21739130434782608</v>
      </c>
      <c r="H5" s="121" t="str">
        <f t="shared" ref="H5:H23" si="3">IF(G5&lt;=30%,"나쁨",IF(G5&lt;=50%,"보통","우수"))</f>
        <v>나쁨</v>
      </c>
      <c r="I5" s="108" t="s">
        <v>383</v>
      </c>
    </row>
    <row r="6" spans="1:9" s="10" customFormat="1" ht="12" x14ac:dyDescent="0.3">
      <c r="A6" s="109" t="s">
        <v>204</v>
      </c>
      <c r="B6" s="77">
        <v>1200000</v>
      </c>
      <c r="C6" s="77">
        <v>800000</v>
      </c>
      <c r="D6" s="77">
        <v>600000</v>
      </c>
      <c r="E6" s="122">
        <f t="shared" si="0"/>
        <v>200000</v>
      </c>
      <c r="F6" s="122">
        <f t="shared" si="1"/>
        <v>400000</v>
      </c>
      <c r="G6" s="123">
        <f t="shared" si="2"/>
        <v>0.25</v>
      </c>
      <c r="H6" s="121" t="str">
        <f t="shared" si="3"/>
        <v>나쁨</v>
      </c>
      <c r="I6" s="108"/>
    </row>
    <row r="7" spans="1:9" s="10" customFormat="1" ht="12" x14ac:dyDescent="0.3">
      <c r="A7" s="109" t="s">
        <v>202</v>
      </c>
      <c r="B7" s="77">
        <v>2700000</v>
      </c>
      <c r="C7" s="77">
        <v>1200000</v>
      </c>
      <c r="D7" s="77">
        <v>850000</v>
      </c>
      <c r="E7" s="122">
        <f t="shared" si="0"/>
        <v>350000</v>
      </c>
      <c r="F7" s="122">
        <f t="shared" si="1"/>
        <v>1500000</v>
      </c>
      <c r="G7" s="123">
        <f t="shared" si="2"/>
        <v>0.29166666666666669</v>
      </c>
      <c r="H7" s="121" t="str">
        <f t="shared" si="3"/>
        <v>나쁨</v>
      </c>
      <c r="I7" s="108"/>
    </row>
    <row r="8" spans="1:9" s="10" customFormat="1" ht="12" x14ac:dyDescent="0.3">
      <c r="A8" s="109" t="s">
        <v>199</v>
      </c>
      <c r="B8" s="77">
        <v>1200000</v>
      </c>
      <c r="C8" s="77">
        <v>1000000</v>
      </c>
      <c r="D8" s="77">
        <v>700000</v>
      </c>
      <c r="E8" s="122">
        <f t="shared" si="0"/>
        <v>300000</v>
      </c>
      <c r="F8" s="122">
        <f t="shared" si="1"/>
        <v>200000</v>
      </c>
      <c r="G8" s="123">
        <f t="shared" si="2"/>
        <v>0.3</v>
      </c>
      <c r="H8" s="121" t="str">
        <f t="shared" si="3"/>
        <v>나쁨</v>
      </c>
      <c r="I8" s="108"/>
    </row>
    <row r="9" spans="1:9" s="10" customFormat="1" ht="12" x14ac:dyDescent="0.3">
      <c r="A9" s="109" t="s">
        <v>199</v>
      </c>
      <c r="B9" s="77">
        <v>1200000</v>
      </c>
      <c r="C9" s="77">
        <v>770000</v>
      </c>
      <c r="D9" s="77">
        <v>490000</v>
      </c>
      <c r="E9" s="122">
        <f t="shared" si="0"/>
        <v>280000</v>
      </c>
      <c r="F9" s="122">
        <f t="shared" si="1"/>
        <v>430000</v>
      </c>
      <c r="G9" s="123">
        <f t="shared" si="2"/>
        <v>0.36363636363636365</v>
      </c>
      <c r="H9" s="121" t="str">
        <f t="shared" si="3"/>
        <v>보통</v>
      </c>
      <c r="I9" s="108"/>
    </row>
    <row r="10" spans="1:9" s="10" customFormat="1" ht="12" x14ac:dyDescent="0.3">
      <c r="A10" s="109" t="s">
        <v>199</v>
      </c>
      <c r="B10" s="77">
        <v>1850000</v>
      </c>
      <c r="C10" s="77">
        <v>1250000</v>
      </c>
      <c r="D10" s="77">
        <v>750000</v>
      </c>
      <c r="E10" s="122">
        <f t="shared" si="0"/>
        <v>500000</v>
      </c>
      <c r="F10" s="122">
        <f t="shared" si="1"/>
        <v>600000</v>
      </c>
      <c r="G10" s="123">
        <f t="shared" si="2"/>
        <v>0.4</v>
      </c>
      <c r="H10" s="121" t="str">
        <f t="shared" si="3"/>
        <v>보통</v>
      </c>
      <c r="I10" s="108"/>
    </row>
    <row r="11" spans="1:9" s="10" customFormat="1" ht="12" x14ac:dyDescent="0.3">
      <c r="A11" s="109" t="s">
        <v>199</v>
      </c>
      <c r="B11" s="77">
        <v>1800000</v>
      </c>
      <c r="C11" s="77">
        <v>1600000</v>
      </c>
      <c r="D11" s="77">
        <v>900000</v>
      </c>
      <c r="E11" s="122">
        <f t="shared" si="0"/>
        <v>700000</v>
      </c>
      <c r="F11" s="122">
        <f t="shared" si="1"/>
        <v>200000</v>
      </c>
      <c r="G11" s="123">
        <f t="shared" si="2"/>
        <v>0.4375</v>
      </c>
      <c r="H11" s="121" t="str">
        <f t="shared" si="3"/>
        <v>보통</v>
      </c>
      <c r="I11" s="108"/>
    </row>
    <row r="12" spans="1:9" s="10" customFormat="1" ht="12" x14ac:dyDescent="0.3">
      <c r="A12" s="109" t="s">
        <v>200</v>
      </c>
      <c r="B12" s="77">
        <v>1900000</v>
      </c>
      <c r="C12" s="77">
        <v>1270000</v>
      </c>
      <c r="D12" s="77">
        <v>700000</v>
      </c>
      <c r="E12" s="122">
        <f t="shared" si="0"/>
        <v>570000</v>
      </c>
      <c r="F12" s="122">
        <f t="shared" si="1"/>
        <v>630000</v>
      </c>
      <c r="G12" s="123">
        <f t="shared" si="2"/>
        <v>0.44881889763779526</v>
      </c>
      <c r="H12" s="121" t="str">
        <f t="shared" si="3"/>
        <v>보통</v>
      </c>
      <c r="I12" s="108"/>
    </row>
    <row r="13" spans="1:9" s="10" customFormat="1" ht="12" x14ac:dyDescent="0.3">
      <c r="A13" s="109" t="s">
        <v>203</v>
      </c>
      <c r="B13" s="77">
        <v>1200000</v>
      </c>
      <c r="C13" s="77">
        <v>1100000</v>
      </c>
      <c r="D13" s="77">
        <v>600000</v>
      </c>
      <c r="E13" s="122">
        <f t="shared" si="0"/>
        <v>500000</v>
      </c>
      <c r="F13" s="122">
        <f t="shared" si="1"/>
        <v>100000</v>
      </c>
      <c r="G13" s="123">
        <f t="shared" si="2"/>
        <v>0.45454545454545453</v>
      </c>
      <c r="H13" s="121" t="str">
        <f t="shared" si="3"/>
        <v>보통</v>
      </c>
      <c r="I13" s="108"/>
    </row>
    <row r="14" spans="1:9" s="10" customFormat="1" ht="12" x14ac:dyDescent="0.3">
      <c r="A14" s="109" t="s">
        <v>199</v>
      </c>
      <c r="B14" s="77">
        <v>1500000</v>
      </c>
      <c r="C14" s="77">
        <v>1000000</v>
      </c>
      <c r="D14" s="77">
        <v>500000</v>
      </c>
      <c r="E14" s="122">
        <f t="shared" si="0"/>
        <v>500000</v>
      </c>
      <c r="F14" s="122">
        <f t="shared" si="1"/>
        <v>500000</v>
      </c>
      <c r="G14" s="123">
        <f t="shared" si="2"/>
        <v>0.5</v>
      </c>
      <c r="H14" s="121" t="str">
        <f t="shared" si="3"/>
        <v>보통</v>
      </c>
      <c r="I14" s="108"/>
    </row>
    <row r="15" spans="1:9" s="10" customFormat="1" ht="12" x14ac:dyDescent="0.3">
      <c r="A15" s="109" t="s">
        <v>202</v>
      </c>
      <c r="B15" s="77">
        <v>800000</v>
      </c>
      <c r="C15" s="77">
        <v>200000</v>
      </c>
      <c r="D15" s="77">
        <v>100000</v>
      </c>
      <c r="E15" s="122">
        <f t="shared" si="0"/>
        <v>100000</v>
      </c>
      <c r="F15" s="122">
        <f t="shared" si="1"/>
        <v>600000</v>
      </c>
      <c r="G15" s="123">
        <f t="shared" si="2"/>
        <v>0.5</v>
      </c>
      <c r="H15" s="121" t="str">
        <f t="shared" si="3"/>
        <v>보통</v>
      </c>
      <c r="I15" s="108"/>
    </row>
    <row r="16" spans="1:9" s="10" customFormat="1" ht="12" x14ac:dyDescent="0.3">
      <c r="A16" s="109" t="s">
        <v>199</v>
      </c>
      <c r="B16" s="77">
        <v>1550000</v>
      </c>
      <c r="C16" s="77">
        <v>950000</v>
      </c>
      <c r="D16" s="77">
        <v>450000</v>
      </c>
      <c r="E16" s="122">
        <f t="shared" si="0"/>
        <v>500000</v>
      </c>
      <c r="F16" s="122">
        <f t="shared" si="1"/>
        <v>600000</v>
      </c>
      <c r="G16" s="123">
        <f t="shared" si="2"/>
        <v>0.52631578947368418</v>
      </c>
      <c r="H16" s="121" t="str">
        <f t="shared" si="3"/>
        <v>우수</v>
      </c>
      <c r="I16" s="108"/>
    </row>
    <row r="17" spans="1:9" s="10" customFormat="1" ht="12" x14ac:dyDescent="0.3">
      <c r="A17" s="109" t="s">
        <v>204</v>
      </c>
      <c r="B17" s="77">
        <v>1300000</v>
      </c>
      <c r="C17" s="77">
        <v>1000000</v>
      </c>
      <c r="D17" s="77">
        <v>400000</v>
      </c>
      <c r="E17" s="122">
        <f t="shared" si="0"/>
        <v>600000</v>
      </c>
      <c r="F17" s="122">
        <f t="shared" si="1"/>
        <v>300000</v>
      </c>
      <c r="G17" s="123">
        <f t="shared" si="2"/>
        <v>0.6</v>
      </c>
      <c r="H17" s="121" t="str">
        <f>IF(G17&lt;=30%,"나쁨",IF(G17&lt;=50%,"보통","우수"))</f>
        <v>우수</v>
      </c>
      <c r="I17" s="108"/>
    </row>
    <row r="18" spans="1:9" s="10" customFormat="1" ht="12" x14ac:dyDescent="0.3">
      <c r="A18" s="109" t="s">
        <v>203</v>
      </c>
      <c r="B18" s="77">
        <v>1700000</v>
      </c>
      <c r="C18" s="77">
        <v>1100000</v>
      </c>
      <c r="D18" s="77">
        <v>400000</v>
      </c>
      <c r="E18" s="122">
        <f t="shared" si="0"/>
        <v>700000</v>
      </c>
      <c r="F18" s="122">
        <f t="shared" si="1"/>
        <v>600000</v>
      </c>
      <c r="G18" s="123">
        <f t="shared" si="2"/>
        <v>0.63636363636363635</v>
      </c>
      <c r="H18" s="121" t="str">
        <f t="shared" si="3"/>
        <v>우수</v>
      </c>
      <c r="I18" s="108"/>
    </row>
    <row r="19" spans="1:9" s="10" customFormat="1" ht="12" x14ac:dyDescent="0.3">
      <c r="A19" s="109" t="s">
        <v>204</v>
      </c>
      <c r="B19" s="77">
        <v>1900000</v>
      </c>
      <c r="C19" s="77">
        <v>1100000</v>
      </c>
      <c r="D19" s="77">
        <v>300000</v>
      </c>
      <c r="E19" s="122">
        <f t="shared" si="0"/>
        <v>800000</v>
      </c>
      <c r="F19" s="122">
        <f t="shared" si="1"/>
        <v>800000</v>
      </c>
      <c r="G19" s="123">
        <f t="shared" si="2"/>
        <v>0.72727272727272729</v>
      </c>
      <c r="H19" s="121" t="str">
        <f t="shared" si="3"/>
        <v>우수</v>
      </c>
      <c r="I19" s="108"/>
    </row>
    <row r="20" spans="1:9" s="10" customFormat="1" ht="12" x14ac:dyDescent="0.3">
      <c r="A20" s="109" t="s">
        <v>201</v>
      </c>
      <c r="B20" s="77">
        <v>1500000</v>
      </c>
      <c r="C20" s="77">
        <v>1200000</v>
      </c>
      <c r="D20" s="77">
        <v>200000</v>
      </c>
      <c r="E20" s="122">
        <f t="shared" si="0"/>
        <v>1000000</v>
      </c>
      <c r="F20" s="122">
        <f t="shared" si="1"/>
        <v>300000</v>
      </c>
      <c r="G20" s="123">
        <f t="shared" si="2"/>
        <v>0.83333333333333337</v>
      </c>
      <c r="H20" s="121" t="str">
        <f t="shared" si="3"/>
        <v>우수</v>
      </c>
      <c r="I20" s="108"/>
    </row>
    <row r="21" spans="1:9" s="10" customFormat="1" ht="12" x14ac:dyDescent="0.3">
      <c r="A21" s="109" t="s">
        <v>199</v>
      </c>
      <c r="B21" s="77">
        <v>1600000</v>
      </c>
      <c r="C21" s="77">
        <v>1200000</v>
      </c>
      <c r="D21" s="77">
        <v>200000</v>
      </c>
      <c r="E21" s="122">
        <f t="shared" si="0"/>
        <v>1000000</v>
      </c>
      <c r="F21" s="122">
        <f t="shared" si="1"/>
        <v>400000</v>
      </c>
      <c r="G21" s="123">
        <f t="shared" si="2"/>
        <v>0.83333333333333337</v>
      </c>
      <c r="H21" s="121" t="str">
        <f t="shared" si="3"/>
        <v>우수</v>
      </c>
      <c r="I21" s="108"/>
    </row>
    <row r="22" spans="1:9" s="10" customFormat="1" ht="12" x14ac:dyDescent="0.3">
      <c r="A22" s="109" t="s">
        <v>201</v>
      </c>
      <c r="B22" s="77">
        <v>1800000</v>
      </c>
      <c r="C22" s="77">
        <v>1300000</v>
      </c>
      <c r="D22" s="77">
        <v>200000</v>
      </c>
      <c r="E22" s="122">
        <f t="shared" si="0"/>
        <v>1100000</v>
      </c>
      <c r="F22" s="122">
        <f t="shared" si="1"/>
        <v>500000</v>
      </c>
      <c r="G22" s="123">
        <f t="shared" si="2"/>
        <v>0.84615384615384615</v>
      </c>
      <c r="H22" s="121" t="str">
        <f t="shared" si="3"/>
        <v>우수</v>
      </c>
      <c r="I22" s="108"/>
    </row>
    <row r="23" spans="1:9" s="10" customFormat="1" ht="12" x14ac:dyDescent="0.3">
      <c r="A23" s="124" t="s">
        <v>204</v>
      </c>
      <c r="B23" s="78">
        <v>1300000</v>
      </c>
      <c r="C23" s="78">
        <v>900000</v>
      </c>
      <c r="D23" s="78">
        <v>100000</v>
      </c>
      <c r="E23" s="125">
        <f t="shared" si="0"/>
        <v>800000</v>
      </c>
      <c r="F23" s="125">
        <f t="shared" si="1"/>
        <v>400000</v>
      </c>
      <c r="G23" s="126">
        <f t="shared" si="2"/>
        <v>0.88888888888888884</v>
      </c>
      <c r="H23" s="121" t="str">
        <f t="shared" si="3"/>
        <v>우수</v>
      </c>
      <c r="I23" s="108"/>
    </row>
    <row r="24" spans="1:9" s="10" customFormat="1" ht="12" x14ac:dyDescent="0.3">
      <c r="A24" s="116" t="s">
        <v>193</v>
      </c>
      <c r="B24" s="101">
        <f t="shared" ref="B24:E24" si="4">AVERAGE(B4:B23)</f>
        <v>1712500</v>
      </c>
      <c r="C24" s="101">
        <f t="shared" si="4"/>
        <v>1074500</v>
      </c>
      <c r="D24" s="101">
        <f t="shared" si="4"/>
        <v>524000</v>
      </c>
      <c r="E24" s="101">
        <f t="shared" si="4"/>
        <v>550500</v>
      </c>
      <c r="F24" s="101">
        <f>AVERAGE(F4:F23)</f>
        <v>638000</v>
      </c>
      <c r="G24" s="199"/>
      <c r="H24" s="202"/>
    </row>
    <row r="25" spans="1:9" s="10" customFormat="1" ht="12" x14ac:dyDescent="0.3">
      <c r="A25" s="116" t="s">
        <v>194</v>
      </c>
      <c r="B25" s="101">
        <f>SUMIF($H$4:$H$23,"우수",B4:B23)/COUNTIF($H$4:$H$23,"우수")</f>
        <v>1581250</v>
      </c>
      <c r="C25" s="101">
        <f t="shared" ref="C25:F25" si="5">SUMIF($H$4:$H$23,"우수",C4:C23)/COUNTIF($H$4:$H$23,"우수")</f>
        <v>1093750</v>
      </c>
      <c r="D25" s="101">
        <f t="shared" si="5"/>
        <v>281250</v>
      </c>
      <c r="E25" s="101">
        <f t="shared" si="5"/>
        <v>812500</v>
      </c>
      <c r="F25" s="101">
        <f t="shared" si="5"/>
        <v>487500</v>
      </c>
      <c r="G25" s="200"/>
      <c r="H25" s="203"/>
    </row>
    <row r="26" spans="1:9" s="10" customFormat="1" ht="12" x14ac:dyDescent="0.3">
      <c r="A26" s="116" t="s">
        <v>195</v>
      </c>
      <c r="B26" s="101">
        <f>SUMIF($H$4:$H$23,"보통",B$4:B$23)/COUNTIF($H$4:$H$23,"보통")</f>
        <v>1464285.7142857143</v>
      </c>
      <c r="C26" s="101">
        <f t="shared" ref="C26:F26" si="6">SUMIF($H$4:$H$23,"보통",C$4:C$23)/COUNTIF($H$4:$H$23,"보통")</f>
        <v>1027142.8571428572</v>
      </c>
      <c r="D26" s="101">
        <f t="shared" si="6"/>
        <v>577142.85714285716</v>
      </c>
      <c r="E26" s="101">
        <f t="shared" si="6"/>
        <v>450000</v>
      </c>
      <c r="F26" s="101">
        <f t="shared" si="6"/>
        <v>437142.85714285716</v>
      </c>
      <c r="G26" s="200"/>
      <c r="H26" s="203"/>
    </row>
    <row r="27" spans="1:9" s="10" customFormat="1" ht="12" x14ac:dyDescent="0.3">
      <c r="A27" s="116" t="s">
        <v>196</v>
      </c>
      <c r="B27" s="101">
        <f>SUMIF($H$4:$H$23,"나쁨",B$4:B$23)/COUNTIF($H$4:$H$23,"나쁨")</f>
        <v>2270000</v>
      </c>
      <c r="C27" s="101">
        <f t="shared" ref="C27:F27" si="7">SUMIF($H$4:$H$23,"나쁨",C$4:C$23)/COUNTIF($H$4:$H$23,"나쁨")</f>
        <v>1110000</v>
      </c>
      <c r="D27" s="101">
        <f t="shared" si="7"/>
        <v>838000</v>
      </c>
      <c r="E27" s="101">
        <f t="shared" si="7"/>
        <v>272000</v>
      </c>
      <c r="F27" s="101">
        <f t="shared" si="7"/>
        <v>1160000</v>
      </c>
      <c r="G27" s="200"/>
      <c r="H27" s="203"/>
    </row>
    <row r="28" spans="1:9" s="10" customFormat="1" ht="12" x14ac:dyDescent="0.3">
      <c r="A28" s="205" t="s">
        <v>197</v>
      </c>
      <c r="B28" s="206"/>
      <c r="C28" s="206"/>
      <c r="D28" s="207"/>
      <c r="E28" s="101">
        <f t="array" ref="E28">SUMPRODUCT(($A$4:$A$23="부산")*($H$4:$H$23="보통"),E4:E23)</f>
        <v>1980000</v>
      </c>
      <c r="F28" s="101">
        <f t="array" ref="F28">SUMPRODUCT(($A$4:$A$23="부산")*($H$4:$H$23="보통"),F4:F23)</f>
        <v>1730000</v>
      </c>
      <c r="G28" s="200"/>
      <c r="H28" s="203"/>
    </row>
    <row r="29" spans="1:9" s="10" customFormat="1" ht="12" x14ac:dyDescent="0.3">
      <c r="A29" s="179" t="s">
        <v>198</v>
      </c>
      <c r="B29" s="179"/>
      <c r="C29" s="179"/>
      <c r="D29" s="179"/>
      <c r="E29" s="101">
        <f>SUMIF($H$4:$H$23,"나쁨",E4:E23)</f>
        <v>1360000</v>
      </c>
      <c r="F29" s="101">
        <f>SUMIF($H$4:$H$23,"나쁨",F4:F23)</f>
        <v>5800000</v>
      </c>
      <c r="G29" s="201"/>
      <c r="H29" s="204"/>
    </row>
    <row r="30" spans="1:9" s="10" customFormat="1" ht="12" x14ac:dyDescent="0.3">
      <c r="A30" s="196" t="s">
        <v>380</v>
      </c>
      <c r="B30" s="197"/>
      <c r="C30" s="197"/>
      <c r="D30" s="197"/>
      <c r="E30" s="197"/>
      <c r="F30" s="197"/>
      <c r="G30" s="197"/>
      <c r="H30" s="197"/>
    </row>
    <row r="31" spans="1:9" s="10" customFormat="1" ht="12" x14ac:dyDescent="0.3">
      <c r="A31" s="196" t="s">
        <v>381</v>
      </c>
      <c r="B31" s="197"/>
      <c r="C31" s="197"/>
      <c r="D31" s="197"/>
      <c r="E31" s="197"/>
      <c r="F31" s="197"/>
      <c r="G31" s="197"/>
      <c r="H31" s="197"/>
    </row>
  </sheetData>
  <sortState xmlns:xlrd2="http://schemas.microsoft.com/office/spreadsheetml/2017/richdata2" ref="A5:H24">
    <sortCondition ref="G5:G24"/>
    <sortCondition descending="1" ref="A5:A24"/>
  </sortState>
  <mergeCells count="7">
    <mergeCell ref="A31:H31"/>
    <mergeCell ref="A2:H2"/>
    <mergeCell ref="G24:G29"/>
    <mergeCell ref="H24:H29"/>
    <mergeCell ref="A28:D28"/>
    <mergeCell ref="A29:D29"/>
    <mergeCell ref="A30:H30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</sheetPr>
  <dimension ref="A3:D23"/>
  <sheetViews>
    <sheetView workbookViewId="0">
      <selection activeCell="G27" sqref="G27"/>
    </sheetView>
  </sheetViews>
  <sheetFormatPr defaultColWidth="9" defaultRowHeight="16.5" x14ac:dyDescent="0.3"/>
  <cols>
    <col min="1" max="2" width="9" style="37"/>
    <col min="3" max="3" width="9.875" style="37" bestFit="1" customWidth="1"/>
    <col min="4" max="4" width="12" style="37" customWidth="1"/>
    <col min="5" max="16384" width="9" style="37"/>
  </cols>
  <sheetData>
    <row r="3" spans="1:4" x14ac:dyDescent="0.3">
      <c r="A3" s="38" t="s">
        <v>205</v>
      </c>
      <c r="B3" s="38" t="s">
        <v>206</v>
      </c>
      <c r="C3" s="38" t="s">
        <v>207</v>
      </c>
      <c r="D3" s="38" t="s">
        <v>208</v>
      </c>
    </row>
    <row r="4" spans="1:4" x14ac:dyDescent="0.3">
      <c r="A4" s="38" t="s">
        <v>339</v>
      </c>
      <c r="B4" s="38" t="s">
        <v>340</v>
      </c>
      <c r="C4" s="90">
        <v>43229</v>
      </c>
      <c r="D4" s="90">
        <v>43248</v>
      </c>
    </row>
    <row r="5" spans="1:4" x14ac:dyDescent="0.3">
      <c r="A5" s="38" t="s">
        <v>341</v>
      </c>
      <c r="B5" s="38" t="s">
        <v>342</v>
      </c>
      <c r="C5" s="90">
        <v>43379</v>
      </c>
      <c r="D5" s="90">
        <v>43387</v>
      </c>
    </row>
    <row r="6" spans="1:4" x14ac:dyDescent="0.3">
      <c r="A6" s="38" t="s">
        <v>343</v>
      </c>
      <c r="B6" s="38" t="s">
        <v>314</v>
      </c>
      <c r="C6" s="90">
        <v>43289</v>
      </c>
      <c r="D6" s="90">
        <v>43309</v>
      </c>
    </row>
    <row r="7" spans="1:4" x14ac:dyDescent="0.3">
      <c r="A7" s="38" t="s">
        <v>344</v>
      </c>
      <c r="B7" s="38" t="s">
        <v>311</v>
      </c>
      <c r="C7" s="90">
        <v>43240</v>
      </c>
      <c r="D7" s="90">
        <v>43249</v>
      </c>
    </row>
    <row r="8" spans="1:4" x14ac:dyDescent="0.3">
      <c r="A8" s="38" t="s">
        <v>345</v>
      </c>
      <c r="B8" s="38" t="s">
        <v>328</v>
      </c>
      <c r="C8" s="90">
        <v>43214</v>
      </c>
      <c r="D8" s="90">
        <v>43219</v>
      </c>
    </row>
    <row r="9" spans="1:4" x14ac:dyDescent="0.3">
      <c r="A9" s="38" t="s">
        <v>346</v>
      </c>
      <c r="B9" s="38" t="s">
        <v>347</v>
      </c>
      <c r="C9" s="90">
        <v>43236</v>
      </c>
      <c r="D9" s="90">
        <v>43245</v>
      </c>
    </row>
    <row r="10" spans="1:4" x14ac:dyDescent="0.3">
      <c r="A10" s="38" t="s">
        <v>348</v>
      </c>
      <c r="B10" s="38" t="s">
        <v>306</v>
      </c>
      <c r="C10" s="90">
        <v>43170</v>
      </c>
      <c r="D10" s="90">
        <v>43178</v>
      </c>
    </row>
    <row r="11" spans="1:4" x14ac:dyDescent="0.3">
      <c r="A11" s="38" t="s">
        <v>349</v>
      </c>
      <c r="B11" s="38" t="s">
        <v>308</v>
      </c>
      <c r="C11" s="90">
        <v>43194</v>
      </c>
      <c r="D11" s="90">
        <v>43205</v>
      </c>
    </row>
    <row r="12" spans="1:4" x14ac:dyDescent="0.3">
      <c r="A12" s="38" t="s">
        <v>350</v>
      </c>
      <c r="B12" s="38" t="s">
        <v>316</v>
      </c>
      <c r="C12" s="90">
        <v>43330</v>
      </c>
      <c r="D12" s="90">
        <v>43341</v>
      </c>
    </row>
    <row r="13" spans="1:4" x14ac:dyDescent="0.3">
      <c r="A13" s="38" t="s">
        <v>351</v>
      </c>
      <c r="B13" s="38" t="s">
        <v>318</v>
      </c>
      <c r="C13" s="90">
        <v>43359</v>
      </c>
      <c r="D13" s="90">
        <v>43363</v>
      </c>
    </row>
    <row r="14" spans="1:4" x14ac:dyDescent="0.3">
      <c r="A14" s="38" t="s">
        <v>352</v>
      </c>
      <c r="B14" s="38" t="s">
        <v>353</v>
      </c>
      <c r="C14" s="90">
        <v>43325</v>
      </c>
      <c r="D14" s="90">
        <v>43327</v>
      </c>
    </row>
    <row r="15" spans="1:4" x14ac:dyDescent="0.3">
      <c r="A15" s="38" t="s">
        <v>354</v>
      </c>
      <c r="B15" s="38" t="s">
        <v>355</v>
      </c>
      <c r="C15" s="90">
        <v>43360</v>
      </c>
      <c r="D15" s="90">
        <v>43368</v>
      </c>
    </row>
    <row r="16" spans="1:4" x14ac:dyDescent="0.3">
      <c r="A16" s="38" t="s">
        <v>356</v>
      </c>
      <c r="B16" s="38" t="s">
        <v>357</v>
      </c>
      <c r="C16" s="90">
        <v>43329</v>
      </c>
      <c r="D16" s="90">
        <v>43335</v>
      </c>
    </row>
    <row r="17" spans="1:4" x14ac:dyDescent="0.3">
      <c r="A17" s="38" t="s">
        <v>358</v>
      </c>
      <c r="B17" s="38" t="s">
        <v>328</v>
      </c>
      <c r="C17" s="90">
        <v>43359</v>
      </c>
      <c r="D17" s="90">
        <v>43361</v>
      </c>
    </row>
    <row r="18" spans="1:4" x14ac:dyDescent="0.3">
      <c r="A18" s="38" t="s">
        <v>359</v>
      </c>
      <c r="B18" s="38" t="s">
        <v>360</v>
      </c>
      <c r="C18" s="90">
        <v>43367</v>
      </c>
      <c r="D18" s="90">
        <v>43370</v>
      </c>
    </row>
    <row r="19" spans="1:4" x14ac:dyDescent="0.3">
      <c r="A19" s="38" t="s">
        <v>361</v>
      </c>
      <c r="B19" s="38" t="s">
        <v>362</v>
      </c>
      <c r="C19" s="90">
        <v>43287</v>
      </c>
      <c r="D19" s="90">
        <v>43294</v>
      </c>
    </row>
    <row r="20" spans="1:4" x14ac:dyDescent="0.3">
      <c r="A20" s="38" t="s">
        <v>363</v>
      </c>
      <c r="B20" s="38" t="s">
        <v>364</v>
      </c>
      <c r="C20" s="90">
        <v>43288</v>
      </c>
      <c r="D20" s="90">
        <v>43291</v>
      </c>
    </row>
    <row r="21" spans="1:4" x14ac:dyDescent="0.3">
      <c r="A21" s="38" t="s">
        <v>365</v>
      </c>
      <c r="B21" s="38" t="s">
        <v>366</v>
      </c>
      <c r="C21" s="90">
        <v>43359</v>
      </c>
      <c r="D21" s="90">
        <v>43363</v>
      </c>
    </row>
    <row r="22" spans="1:4" x14ac:dyDescent="0.3">
      <c r="A22" s="38" t="s">
        <v>367</v>
      </c>
      <c r="B22" s="38" t="s">
        <v>368</v>
      </c>
      <c r="C22" s="90">
        <v>43258</v>
      </c>
      <c r="D22" s="90">
        <v>43262</v>
      </c>
    </row>
    <row r="23" spans="1:4" x14ac:dyDescent="0.3">
      <c r="A23" s="38" t="s">
        <v>369</v>
      </c>
      <c r="B23" s="38" t="s">
        <v>370</v>
      </c>
      <c r="C23" s="90">
        <v>43267</v>
      </c>
      <c r="D23" s="90">
        <v>43272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J30"/>
  <sheetViews>
    <sheetView workbookViewId="0">
      <selection activeCell="F22" sqref="F22:G22"/>
    </sheetView>
  </sheetViews>
  <sheetFormatPr defaultColWidth="9" defaultRowHeight="16.5" x14ac:dyDescent="0.3"/>
  <cols>
    <col min="1" max="2" width="9" style="37"/>
    <col min="3" max="3" width="11.125" style="37" customWidth="1"/>
    <col min="4" max="4" width="10.875" style="37" customWidth="1"/>
    <col min="5" max="5" width="9.875" style="37" bestFit="1" customWidth="1"/>
    <col min="6" max="16384" width="9" style="37"/>
  </cols>
  <sheetData>
    <row r="3" spans="1:10" x14ac:dyDescent="0.3">
      <c r="A3" s="44" t="s">
        <v>205</v>
      </c>
      <c r="B3" s="44" t="s">
        <v>206</v>
      </c>
      <c r="C3" s="45" t="s">
        <v>229</v>
      </c>
      <c r="D3" s="46" t="s">
        <v>207</v>
      </c>
      <c r="E3" s="46" t="s">
        <v>208</v>
      </c>
      <c r="F3" s="45" t="s">
        <v>230</v>
      </c>
      <c r="G3" s="45" t="s">
        <v>231</v>
      </c>
      <c r="H3" s="45" t="s">
        <v>232</v>
      </c>
      <c r="I3" s="45" t="s">
        <v>233</v>
      </c>
      <c r="J3" s="45" t="s">
        <v>234</v>
      </c>
    </row>
    <row r="4" spans="1:10" x14ac:dyDescent="0.3">
      <c r="A4" s="38" t="s">
        <v>339</v>
      </c>
      <c r="B4" s="38" t="s">
        <v>340</v>
      </c>
      <c r="C4" s="44" t="s">
        <v>242</v>
      </c>
      <c r="D4" s="91">
        <v>43229</v>
      </c>
      <c r="E4" s="91">
        <v>43248</v>
      </c>
      <c r="F4" s="44" t="s">
        <v>243</v>
      </c>
      <c r="G4" s="44" t="s">
        <v>244</v>
      </c>
      <c r="H4" s="44" t="s">
        <v>245</v>
      </c>
      <c r="I4" s="44" t="s">
        <v>246</v>
      </c>
      <c r="J4" s="44" t="s">
        <v>131</v>
      </c>
    </row>
    <row r="5" spans="1:10" x14ac:dyDescent="0.3">
      <c r="A5" s="38" t="s">
        <v>341</v>
      </c>
      <c r="B5" s="38" t="s">
        <v>342</v>
      </c>
      <c r="C5" s="47"/>
      <c r="D5" s="91">
        <v>43379</v>
      </c>
      <c r="E5" s="91">
        <v>43387</v>
      </c>
      <c r="F5" s="47"/>
      <c r="G5" s="47"/>
      <c r="H5" s="47"/>
      <c r="I5" s="47"/>
      <c r="J5" s="47"/>
    </row>
    <row r="6" spans="1:10" x14ac:dyDescent="0.3">
      <c r="A6" s="38" t="s">
        <v>343</v>
      </c>
      <c r="B6" s="38" t="s">
        <v>314</v>
      </c>
      <c r="C6" s="47"/>
      <c r="D6" s="91">
        <v>43289</v>
      </c>
      <c r="E6" s="91">
        <v>43309</v>
      </c>
      <c r="F6" s="47"/>
      <c r="G6" s="47"/>
      <c r="H6" s="47"/>
      <c r="I6" s="47"/>
      <c r="J6" s="47"/>
    </row>
    <row r="7" spans="1:10" x14ac:dyDescent="0.3">
      <c r="A7" s="38" t="s">
        <v>344</v>
      </c>
      <c r="B7" s="38" t="s">
        <v>311</v>
      </c>
      <c r="C7" s="47"/>
      <c r="D7" s="91">
        <v>43240</v>
      </c>
      <c r="E7" s="91">
        <v>43249</v>
      </c>
      <c r="F7" s="47"/>
      <c r="G7" s="47"/>
      <c r="H7" s="47"/>
      <c r="I7" s="47"/>
      <c r="J7" s="47"/>
    </row>
    <row r="8" spans="1:10" x14ac:dyDescent="0.3">
      <c r="A8" s="38" t="s">
        <v>345</v>
      </c>
      <c r="B8" s="38" t="s">
        <v>328</v>
      </c>
      <c r="C8" s="47"/>
      <c r="D8" s="91">
        <v>43214</v>
      </c>
      <c r="E8" s="91">
        <v>43219</v>
      </c>
      <c r="F8" s="47"/>
      <c r="G8" s="47"/>
      <c r="H8" s="47"/>
      <c r="I8" s="47"/>
      <c r="J8" s="47"/>
    </row>
    <row r="9" spans="1:10" x14ac:dyDescent="0.3">
      <c r="A9" s="38" t="s">
        <v>346</v>
      </c>
      <c r="B9" s="38" t="s">
        <v>347</v>
      </c>
      <c r="C9" s="47"/>
      <c r="D9" s="91">
        <v>43236</v>
      </c>
      <c r="E9" s="91">
        <v>43245</v>
      </c>
      <c r="F9" s="47"/>
      <c r="G9" s="47"/>
      <c r="H9" s="47"/>
      <c r="I9" s="47"/>
      <c r="J9" s="47"/>
    </row>
    <row r="10" spans="1:10" x14ac:dyDescent="0.3">
      <c r="A10" s="38" t="s">
        <v>348</v>
      </c>
      <c r="B10" s="38" t="s">
        <v>306</v>
      </c>
      <c r="C10" s="47"/>
      <c r="D10" s="91">
        <v>43170</v>
      </c>
      <c r="E10" s="91">
        <v>43178</v>
      </c>
      <c r="F10" s="47"/>
      <c r="G10" s="47"/>
      <c r="H10" s="47"/>
      <c r="I10" s="47"/>
      <c r="J10" s="47"/>
    </row>
    <row r="11" spans="1:10" x14ac:dyDescent="0.3">
      <c r="A11" s="38" t="s">
        <v>349</v>
      </c>
      <c r="B11" s="38" t="s">
        <v>308</v>
      </c>
      <c r="C11" s="47"/>
      <c r="D11" s="91">
        <v>43194</v>
      </c>
      <c r="E11" s="91">
        <v>43205</v>
      </c>
      <c r="F11" s="47"/>
      <c r="G11" s="47"/>
      <c r="H11" s="47"/>
      <c r="I11" s="47"/>
      <c r="J11" s="47"/>
    </row>
    <row r="12" spans="1:10" x14ac:dyDescent="0.3">
      <c r="A12" s="38" t="s">
        <v>350</v>
      </c>
      <c r="B12" s="38" t="s">
        <v>316</v>
      </c>
      <c r="C12" s="47"/>
      <c r="D12" s="91">
        <v>43330</v>
      </c>
      <c r="E12" s="91">
        <v>43341</v>
      </c>
      <c r="F12" s="47"/>
      <c r="G12" s="47"/>
      <c r="H12" s="47"/>
      <c r="I12" s="47"/>
      <c r="J12" s="47"/>
    </row>
    <row r="13" spans="1:10" x14ac:dyDescent="0.3">
      <c r="A13" s="38" t="s">
        <v>351</v>
      </c>
      <c r="B13" s="38" t="s">
        <v>318</v>
      </c>
      <c r="C13" s="47"/>
      <c r="D13" s="91">
        <v>43359</v>
      </c>
      <c r="E13" s="91">
        <v>43363</v>
      </c>
      <c r="F13" s="47"/>
      <c r="G13" s="47"/>
      <c r="H13" s="47"/>
      <c r="I13" s="47"/>
      <c r="J13" s="47"/>
    </row>
    <row r="14" spans="1:10" x14ac:dyDescent="0.3">
      <c r="A14" s="38" t="s">
        <v>352</v>
      </c>
      <c r="B14" s="38" t="s">
        <v>353</v>
      </c>
      <c r="C14" s="47"/>
      <c r="D14" s="91">
        <v>43325</v>
      </c>
      <c r="E14" s="91">
        <v>43327</v>
      </c>
      <c r="F14" s="47"/>
      <c r="G14" s="47"/>
      <c r="H14" s="47"/>
      <c r="I14" s="47"/>
      <c r="J14" s="47"/>
    </row>
    <row r="15" spans="1:10" x14ac:dyDescent="0.3">
      <c r="A15" s="38" t="s">
        <v>354</v>
      </c>
      <c r="B15" s="38" t="s">
        <v>355</v>
      </c>
      <c r="C15" s="47"/>
      <c r="D15" s="91">
        <v>43360</v>
      </c>
      <c r="E15" s="91">
        <v>43368</v>
      </c>
      <c r="F15" s="47"/>
      <c r="G15" s="47"/>
      <c r="H15" s="47"/>
      <c r="I15" s="47"/>
      <c r="J15" s="47"/>
    </row>
    <row r="16" spans="1:10" x14ac:dyDescent="0.3">
      <c r="A16" s="38" t="s">
        <v>356</v>
      </c>
      <c r="B16" s="38" t="s">
        <v>357</v>
      </c>
      <c r="C16" s="47"/>
      <c r="D16" s="91">
        <v>43329</v>
      </c>
      <c r="E16" s="91">
        <v>43335</v>
      </c>
      <c r="F16" s="47"/>
      <c r="G16" s="47"/>
      <c r="H16" s="47"/>
      <c r="I16" s="47"/>
      <c r="J16" s="47"/>
    </row>
    <row r="17" spans="1:10" x14ac:dyDescent="0.3">
      <c r="A17" s="38" t="s">
        <v>358</v>
      </c>
      <c r="B17" s="38" t="s">
        <v>328</v>
      </c>
      <c r="C17" s="47"/>
      <c r="D17" s="91">
        <v>43359</v>
      </c>
      <c r="E17" s="91">
        <v>43361</v>
      </c>
      <c r="F17" s="47"/>
      <c r="G17" s="47"/>
      <c r="H17" s="47"/>
      <c r="I17" s="47"/>
      <c r="J17" s="47"/>
    </row>
    <row r="18" spans="1:10" x14ac:dyDescent="0.3">
      <c r="A18" s="38" t="s">
        <v>359</v>
      </c>
      <c r="B18" s="38" t="s">
        <v>360</v>
      </c>
      <c r="C18" s="47"/>
      <c r="D18" s="91">
        <v>43367</v>
      </c>
      <c r="E18" s="91">
        <v>43370</v>
      </c>
      <c r="F18" s="47"/>
      <c r="G18" s="47"/>
      <c r="H18" s="47"/>
      <c r="I18" s="47"/>
      <c r="J18" s="47"/>
    </row>
    <row r="19" spans="1:10" x14ac:dyDescent="0.3">
      <c r="A19" s="38" t="s">
        <v>361</v>
      </c>
      <c r="B19" s="38" t="s">
        <v>362</v>
      </c>
      <c r="C19" s="47"/>
      <c r="D19" s="91">
        <v>43287</v>
      </c>
      <c r="E19" s="91">
        <v>43294</v>
      </c>
      <c r="F19" s="47"/>
      <c r="G19" s="47"/>
      <c r="H19" s="47"/>
      <c r="I19" s="47"/>
      <c r="J19" s="47"/>
    </row>
    <row r="20" spans="1:10" x14ac:dyDescent="0.3">
      <c r="A20" s="38" t="s">
        <v>363</v>
      </c>
      <c r="B20" s="38" t="s">
        <v>364</v>
      </c>
      <c r="C20" s="47"/>
      <c r="D20" s="91">
        <v>43288</v>
      </c>
      <c r="E20" s="91">
        <v>43291</v>
      </c>
      <c r="F20" s="47"/>
      <c r="G20" s="47"/>
      <c r="H20" s="47"/>
      <c r="I20" s="47"/>
      <c r="J20" s="47"/>
    </row>
    <row r="21" spans="1:10" x14ac:dyDescent="0.3">
      <c r="A21" s="38" t="s">
        <v>365</v>
      </c>
      <c r="B21" s="38" t="s">
        <v>366</v>
      </c>
      <c r="C21" s="47"/>
      <c r="D21" s="91">
        <v>43359</v>
      </c>
      <c r="E21" s="91">
        <v>43363</v>
      </c>
      <c r="F21" s="47"/>
      <c r="G21" s="47"/>
      <c r="H21" s="47"/>
      <c r="I21" s="47"/>
      <c r="J21" s="47"/>
    </row>
    <row r="22" spans="1:10" x14ac:dyDescent="0.3">
      <c r="A22" s="38" t="s">
        <v>367</v>
      </c>
      <c r="B22" s="38" t="s">
        <v>368</v>
      </c>
      <c r="C22" s="47"/>
      <c r="D22" s="91">
        <v>43258</v>
      </c>
      <c r="E22" s="91">
        <v>43262</v>
      </c>
      <c r="F22" s="47"/>
      <c r="G22" s="47"/>
      <c r="H22" s="47"/>
      <c r="I22" s="47"/>
      <c r="J22" s="47"/>
    </row>
    <row r="23" spans="1:10" x14ac:dyDescent="0.3">
      <c r="A23" s="38" t="s">
        <v>369</v>
      </c>
      <c r="B23" s="38" t="s">
        <v>370</v>
      </c>
      <c r="C23" s="47"/>
      <c r="D23" s="91">
        <v>43267</v>
      </c>
      <c r="E23" s="91">
        <v>43272</v>
      </c>
      <c r="F23" s="47"/>
      <c r="G23" s="47"/>
      <c r="H23" s="47"/>
      <c r="I23" s="47"/>
      <c r="J23" s="47"/>
    </row>
    <row r="24" spans="1:10" x14ac:dyDescent="0.3">
      <c r="A24" s="168" t="s">
        <v>235</v>
      </c>
      <c r="B24" s="168"/>
      <c r="C24" s="47" t="s">
        <v>236</v>
      </c>
      <c r="D24" s="47"/>
      <c r="E24" s="47"/>
      <c r="F24" s="44" t="s">
        <v>247</v>
      </c>
      <c r="G24" s="44" t="s">
        <v>247</v>
      </c>
      <c r="H24" s="44" t="s">
        <v>247</v>
      </c>
      <c r="I24" s="44" t="s">
        <v>132</v>
      </c>
      <c r="J24" s="173"/>
    </row>
    <row r="25" spans="1:10" x14ac:dyDescent="0.3">
      <c r="A25" s="168"/>
      <c r="B25" s="168"/>
      <c r="C25" s="47" t="s">
        <v>237</v>
      </c>
      <c r="D25" s="47"/>
      <c r="E25" s="47"/>
      <c r="F25" s="44" t="s">
        <v>247</v>
      </c>
      <c r="G25" s="44" t="s">
        <v>247</v>
      </c>
      <c r="H25" s="44" t="s">
        <v>247</v>
      </c>
      <c r="I25" s="44" t="s">
        <v>132</v>
      </c>
      <c r="J25" s="173"/>
    </row>
    <row r="26" spans="1:10" x14ac:dyDescent="0.3">
      <c r="A26" s="168"/>
      <c r="B26" s="168"/>
      <c r="C26" s="47" t="s">
        <v>238</v>
      </c>
      <c r="D26" s="47"/>
      <c r="E26" s="47"/>
      <c r="F26" s="44" t="s">
        <v>247</v>
      </c>
      <c r="G26" s="44" t="s">
        <v>247</v>
      </c>
      <c r="H26" s="44" t="s">
        <v>247</v>
      </c>
      <c r="I26" s="44" t="s">
        <v>132</v>
      </c>
      <c r="J26" s="173"/>
    </row>
    <row r="27" spans="1:10" x14ac:dyDescent="0.3">
      <c r="A27" s="211" t="s">
        <v>239</v>
      </c>
      <c r="B27" s="212"/>
      <c r="C27" s="212"/>
      <c r="D27" s="212"/>
      <c r="E27" s="212"/>
      <c r="F27" s="212"/>
      <c r="G27" s="213"/>
      <c r="H27" s="44" t="s">
        <v>248</v>
      </c>
      <c r="I27" s="44" t="s">
        <v>135</v>
      </c>
      <c r="J27" s="173"/>
    </row>
    <row r="28" spans="1:10" x14ac:dyDescent="0.3">
      <c r="A28" s="211" t="s">
        <v>240</v>
      </c>
      <c r="B28" s="212"/>
      <c r="C28" s="212"/>
      <c r="D28" s="212"/>
      <c r="E28" s="212"/>
      <c r="F28" s="212"/>
      <c r="G28" s="213"/>
      <c r="H28" s="44" t="s">
        <v>249</v>
      </c>
      <c r="I28" s="44" t="s">
        <v>136</v>
      </c>
      <c r="J28" s="173"/>
    </row>
    <row r="29" spans="1:10" x14ac:dyDescent="0.3">
      <c r="A29" s="211" t="s">
        <v>241</v>
      </c>
      <c r="B29" s="212"/>
      <c r="C29" s="212"/>
      <c r="D29" s="212"/>
      <c r="E29" s="212"/>
      <c r="F29" s="212"/>
      <c r="G29" s="213"/>
      <c r="H29" s="211" t="s">
        <v>50</v>
      </c>
      <c r="I29" s="212"/>
      <c r="J29" s="213"/>
    </row>
    <row r="30" spans="1:10" x14ac:dyDescent="0.3">
      <c r="A30" s="208" t="s">
        <v>51</v>
      </c>
      <c r="B30" s="209"/>
      <c r="C30" s="209"/>
      <c r="D30" s="209"/>
      <c r="E30" s="209"/>
      <c r="F30" s="209"/>
      <c r="G30" s="209"/>
      <c r="H30" s="209"/>
      <c r="I30" s="209"/>
      <c r="J30" s="210"/>
    </row>
  </sheetData>
  <mergeCells count="7">
    <mergeCell ref="A30:J30"/>
    <mergeCell ref="A24:B26"/>
    <mergeCell ref="J24:J28"/>
    <mergeCell ref="H29:J29"/>
    <mergeCell ref="A29:G29"/>
    <mergeCell ref="A27:G27"/>
    <mergeCell ref="A28:G28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F0"/>
  </sheetPr>
  <dimension ref="A1:K30"/>
  <sheetViews>
    <sheetView topLeftCell="A2" workbookViewId="0">
      <selection activeCell="P28" sqref="P28"/>
    </sheetView>
  </sheetViews>
  <sheetFormatPr defaultColWidth="9" defaultRowHeight="16.5" x14ac:dyDescent="0.3"/>
  <cols>
    <col min="1" max="1" width="9" style="37"/>
    <col min="2" max="2" width="7.625" style="37" customWidth="1"/>
    <col min="3" max="3" width="9.5" style="37" customWidth="1"/>
    <col min="4" max="4" width="10.875" style="37" hidden="1" customWidth="1"/>
    <col min="5" max="5" width="9.875" style="37" hidden="1" customWidth="1"/>
    <col min="6" max="6" width="7" style="37" customWidth="1"/>
    <col min="7" max="7" width="9.5" style="37" bestFit="1" customWidth="1"/>
    <col min="8" max="8" width="11.5" style="37" customWidth="1"/>
    <col min="9" max="9" width="13.125" style="37" customWidth="1"/>
    <col min="10" max="10" width="17.75" style="37" bestFit="1" customWidth="1"/>
    <col min="11" max="16384" width="9" style="37"/>
  </cols>
  <sheetData>
    <row r="1" spans="1:10" ht="17.100000000000001" hidden="1" x14ac:dyDescent="0.45"/>
    <row r="2" spans="1:10" ht="31.5" x14ac:dyDescent="0.3">
      <c r="A2" s="198" t="s">
        <v>250</v>
      </c>
      <c r="B2" s="198"/>
      <c r="C2" s="198"/>
      <c r="D2" s="198"/>
      <c r="E2" s="198"/>
      <c r="F2" s="198"/>
      <c r="G2" s="198"/>
      <c r="H2" s="198"/>
      <c r="I2" s="198"/>
      <c r="J2" s="198"/>
    </row>
    <row r="3" spans="1:10" s="10" customFormat="1" ht="12" x14ac:dyDescent="0.3">
      <c r="A3" s="48" t="s">
        <v>205</v>
      </c>
      <c r="B3" s="48" t="s">
        <v>206</v>
      </c>
      <c r="C3" s="50" t="s">
        <v>229</v>
      </c>
      <c r="D3" s="49" t="s">
        <v>207</v>
      </c>
      <c r="E3" s="49" t="s">
        <v>208</v>
      </c>
      <c r="F3" s="50" t="s">
        <v>230</v>
      </c>
      <c r="G3" s="50" t="s">
        <v>231</v>
      </c>
      <c r="H3" s="50" t="s">
        <v>232</v>
      </c>
      <c r="I3" s="50" t="s">
        <v>233</v>
      </c>
      <c r="J3" s="50" t="s">
        <v>234</v>
      </c>
    </row>
    <row r="4" spans="1:10" s="10" customFormat="1" ht="12" x14ac:dyDescent="0.3">
      <c r="A4" s="51" t="s">
        <v>222</v>
      </c>
      <c r="B4" s="51" t="s">
        <v>255</v>
      </c>
      <c r="C4" s="51" t="str">
        <f t="shared" ref="C4:C23" si="0">IF(LEFT(B4,1)="A","버스",IF(LEFT(B4,1)="B","승합차","승용차"))</f>
        <v>승합차</v>
      </c>
      <c r="D4" s="95">
        <v>43359</v>
      </c>
      <c r="E4" s="95">
        <v>43361</v>
      </c>
      <c r="F4" s="51">
        <f t="shared" ref="F4:F23" si="1">E4-D4+1</f>
        <v>3</v>
      </c>
      <c r="G4" s="83">
        <f t="shared" ref="G4:G23" si="2">IF(C4="승용차",150000,IF(C4="승합차",200000,400000))</f>
        <v>200000</v>
      </c>
      <c r="H4" s="83">
        <f t="shared" ref="H4:H23" si="3">F4*IF(C4="승용차",10000,IF(C4="승합차",50000,80000))</f>
        <v>150000</v>
      </c>
      <c r="I4" s="83">
        <f t="shared" ref="I4:I23" si="4">G4+H4</f>
        <v>350000</v>
      </c>
      <c r="J4" s="51" t="str">
        <f t="shared" ref="J4:J23" si="5">CONCATENATE(A4,":",LEFT(B4,1),":",F4,"일")</f>
        <v>이승엽 :B:3일</v>
      </c>
    </row>
    <row r="5" spans="1:10" s="10" customFormat="1" ht="12" x14ac:dyDescent="0.3">
      <c r="A5" s="52" t="s">
        <v>219</v>
      </c>
      <c r="B5" s="52" t="s">
        <v>261</v>
      </c>
      <c r="C5" s="52" t="str">
        <f t="shared" si="0"/>
        <v>버스</v>
      </c>
      <c r="D5" s="96">
        <v>43325</v>
      </c>
      <c r="E5" s="96">
        <v>43327</v>
      </c>
      <c r="F5" s="52">
        <f t="shared" si="1"/>
        <v>3</v>
      </c>
      <c r="G5" s="84">
        <f t="shared" si="2"/>
        <v>400000</v>
      </c>
      <c r="H5" s="84">
        <f t="shared" si="3"/>
        <v>240000</v>
      </c>
      <c r="I5" s="84">
        <f t="shared" si="4"/>
        <v>640000</v>
      </c>
      <c r="J5" s="52" t="str">
        <f t="shared" si="5"/>
        <v>김재해 :A:3일</v>
      </c>
    </row>
    <row r="6" spans="1:10" s="10" customFormat="1" ht="12" x14ac:dyDescent="0.3">
      <c r="A6" s="52" t="s">
        <v>225</v>
      </c>
      <c r="B6" s="52" t="s">
        <v>266</v>
      </c>
      <c r="C6" s="52" t="str">
        <f t="shared" si="0"/>
        <v>승용차</v>
      </c>
      <c r="D6" s="96">
        <v>43288</v>
      </c>
      <c r="E6" s="96">
        <v>43291</v>
      </c>
      <c r="F6" s="52">
        <f t="shared" si="1"/>
        <v>4</v>
      </c>
      <c r="G6" s="84">
        <f t="shared" si="2"/>
        <v>150000</v>
      </c>
      <c r="H6" s="84">
        <f t="shared" si="3"/>
        <v>40000</v>
      </c>
      <c r="I6" s="84">
        <f t="shared" si="4"/>
        <v>190000</v>
      </c>
      <c r="J6" s="52" t="str">
        <f t="shared" si="5"/>
        <v>최경주 :C:4일</v>
      </c>
    </row>
    <row r="7" spans="1:10" s="10" customFormat="1" ht="12" x14ac:dyDescent="0.3">
      <c r="A7" s="52" t="s">
        <v>223</v>
      </c>
      <c r="B7" s="52" t="s">
        <v>264</v>
      </c>
      <c r="C7" s="52" t="str">
        <f t="shared" si="0"/>
        <v>버스</v>
      </c>
      <c r="D7" s="96">
        <v>43367</v>
      </c>
      <c r="E7" s="96">
        <v>43370</v>
      </c>
      <c r="F7" s="52">
        <f t="shared" si="1"/>
        <v>4</v>
      </c>
      <c r="G7" s="84">
        <f t="shared" si="2"/>
        <v>400000</v>
      </c>
      <c r="H7" s="84">
        <f t="shared" si="3"/>
        <v>320000</v>
      </c>
      <c r="I7" s="84">
        <f t="shared" si="4"/>
        <v>720000</v>
      </c>
      <c r="J7" s="109" t="str">
        <f t="shared" si="5"/>
        <v>이종범 :A:4일</v>
      </c>
    </row>
    <row r="8" spans="1:10" s="10" customFormat="1" ht="12" x14ac:dyDescent="0.3">
      <c r="A8" s="52" t="s">
        <v>226</v>
      </c>
      <c r="B8" s="52" t="s">
        <v>267</v>
      </c>
      <c r="C8" s="52" t="str">
        <f t="shared" si="0"/>
        <v>승합차</v>
      </c>
      <c r="D8" s="96">
        <v>43359</v>
      </c>
      <c r="E8" s="96">
        <v>43363</v>
      </c>
      <c r="F8" s="52">
        <f t="shared" si="1"/>
        <v>5</v>
      </c>
      <c r="G8" s="84">
        <f t="shared" si="2"/>
        <v>200000</v>
      </c>
      <c r="H8" s="84">
        <f t="shared" si="3"/>
        <v>250000</v>
      </c>
      <c r="I8" s="84">
        <f t="shared" si="4"/>
        <v>450000</v>
      </c>
      <c r="J8" s="52" t="str">
        <f t="shared" si="5"/>
        <v>이봉주 :B:5일</v>
      </c>
    </row>
    <row r="9" spans="1:10" s="10" customFormat="1" ht="12" x14ac:dyDescent="0.3">
      <c r="A9" s="52" t="s">
        <v>227</v>
      </c>
      <c r="B9" s="52" t="s">
        <v>268</v>
      </c>
      <c r="C9" s="52" t="str">
        <f t="shared" si="0"/>
        <v>버스</v>
      </c>
      <c r="D9" s="96">
        <v>43258</v>
      </c>
      <c r="E9" s="96">
        <v>43262</v>
      </c>
      <c r="F9" s="52">
        <f t="shared" si="1"/>
        <v>5</v>
      </c>
      <c r="G9" s="84">
        <f t="shared" si="2"/>
        <v>400000</v>
      </c>
      <c r="H9" s="84">
        <f t="shared" si="3"/>
        <v>400000</v>
      </c>
      <c r="I9" s="84">
        <f t="shared" si="4"/>
        <v>800000</v>
      </c>
      <c r="J9" s="52" t="str">
        <f t="shared" si="5"/>
        <v>유남규 :A:5일</v>
      </c>
    </row>
    <row r="10" spans="1:10" s="10" customFormat="1" ht="12" x14ac:dyDescent="0.3">
      <c r="A10" s="52" t="s">
        <v>218</v>
      </c>
      <c r="B10" s="52" t="s">
        <v>260</v>
      </c>
      <c r="C10" s="52" t="str">
        <f t="shared" si="0"/>
        <v>버스</v>
      </c>
      <c r="D10" s="96">
        <v>43359</v>
      </c>
      <c r="E10" s="96">
        <v>43363</v>
      </c>
      <c r="F10" s="52">
        <f t="shared" si="1"/>
        <v>5</v>
      </c>
      <c r="G10" s="84">
        <f t="shared" si="2"/>
        <v>400000</v>
      </c>
      <c r="H10" s="84">
        <f t="shared" si="3"/>
        <v>400000</v>
      </c>
      <c r="I10" s="84">
        <f t="shared" si="4"/>
        <v>800000</v>
      </c>
      <c r="J10" s="52" t="str">
        <f t="shared" si="5"/>
        <v>이수경 :A:5일</v>
      </c>
    </row>
    <row r="11" spans="1:10" s="10" customFormat="1" ht="12" x14ac:dyDescent="0.3">
      <c r="A11" s="52" t="s">
        <v>213</v>
      </c>
      <c r="B11" s="52" t="s">
        <v>255</v>
      </c>
      <c r="C11" s="52" t="str">
        <f t="shared" si="0"/>
        <v>승합차</v>
      </c>
      <c r="D11" s="96">
        <v>43214</v>
      </c>
      <c r="E11" s="96">
        <v>43219</v>
      </c>
      <c r="F11" s="52">
        <f t="shared" si="1"/>
        <v>6</v>
      </c>
      <c r="G11" s="84">
        <f t="shared" si="2"/>
        <v>200000</v>
      </c>
      <c r="H11" s="84">
        <f t="shared" si="3"/>
        <v>300000</v>
      </c>
      <c r="I11" s="84">
        <f t="shared" si="4"/>
        <v>500000</v>
      </c>
      <c r="J11" s="52" t="str">
        <f t="shared" si="5"/>
        <v>원미경 :B:6일</v>
      </c>
    </row>
    <row r="12" spans="1:10" s="10" customFormat="1" ht="12" x14ac:dyDescent="0.3">
      <c r="A12" s="52" t="s">
        <v>228</v>
      </c>
      <c r="B12" s="52" t="s">
        <v>269</v>
      </c>
      <c r="C12" s="52" t="str">
        <f t="shared" si="0"/>
        <v>승합차</v>
      </c>
      <c r="D12" s="96">
        <v>43267</v>
      </c>
      <c r="E12" s="96">
        <v>43272</v>
      </c>
      <c r="F12" s="52">
        <f t="shared" si="1"/>
        <v>6</v>
      </c>
      <c r="G12" s="84">
        <f t="shared" si="2"/>
        <v>200000</v>
      </c>
      <c r="H12" s="84">
        <f t="shared" si="3"/>
        <v>300000</v>
      </c>
      <c r="I12" s="84">
        <f t="shared" si="4"/>
        <v>500000</v>
      </c>
      <c r="J12" s="52" t="str">
        <f t="shared" si="5"/>
        <v>한기주 :B:6일</v>
      </c>
    </row>
    <row r="13" spans="1:10" s="10" customFormat="1" ht="12" x14ac:dyDescent="0.3">
      <c r="A13" s="52" t="s">
        <v>221</v>
      </c>
      <c r="B13" s="52" t="s">
        <v>263</v>
      </c>
      <c r="C13" s="52" t="str">
        <f t="shared" si="0"/>
        <v>승용차</v>
      </c>
      <c r="D13" s="96">
        <v>43329</v>
      </c>
      <c r="E13" s="96">
        <v>43335</v>
      </c>
      <c r="F13" s="52">
        <f t="shared" si="1"/>
        <v>7</v>
      </c>
      <c r="G13" s="84">
        <f t="shared" si="2"/>
        <v>150000</v>
      </c>
      <c r="H13" s="84">
        <f t="shared" si="3"/>
        <v>70000</v>
      </c>
      <c r="I13" s="84">
        <f t="shared" si="4"/>
        <v>220000</v>
      </c>
      <c r="J13" s="52" t="str">
        <f t="shared" si="5"/>
        <v>김동렬 :C:7일</v>
      </c>
    </row>
    <row r="14" spans="1:10" s="10" customFormat="1" ht="12" x14ac:dyDescent="0.3">
      <c r="A14" s="52" t="s">
        <v>224</v>
      </c>
      <c r="B14" s="52" t="s">
        <v>265</v>
      </c>
      <c r="C14" s="52" t="str">
        <f t="shared" si="0"/>
        <v>승용차</v>
      </c>
      <c r="D14" s="96">
        <v>43287</v>
      </c>
      <c r="E14" s="96">
        <v>43294</v>
      </c>
      <c r="F14" s="52">
        <f t="shared" si="1"/>
        <v>8</v>
      </c>
      <c r="G14" s="84">
        <f t="shared" si="2"/>
        <v>150000</v>
      </c>
      <c r="H14" s="84">
        <f t="shared" si="3"/>
        <v>80000</v>
      </c>
      <c r="I14" s="84">
        <f t="shared" si="4"/>
        <v>230000</v>
      </c>
      <c r="J14" s="52" t="str">
        <f t="shared" si="5"/>
        <v>박세리 :C:8일</v>
      </c>
    </row>
    <row r="15" spans="1:10" s="10" customFormat="1" ht="12" x14ac:dyDescent="0.3">
      <c r="A15" s="52" t="s">
        <v>220</v>
      </c>
      <c r="B15" s="52" t="s">
        <v>262</v>
      </c>
      <c r="C15" s="52" t="str">
        <f t="shared" si="0"/>
        <v>승용차</v>
      </c>
      <c r="D15" s="96">
        <v>43360</v>
      </c>
      <c r="E15" s="96">
        <v>43368</v>
      </c>
      <c r="F15" s="52">
        <f t="shared" si="1"/>
        <v>9</v>
      </c>
      <c r="G15" s="84">
        <f t="shared" si="2"/>
        <v>150000</v>
      </c>
      <c r="H15" s="84">
        <f t="shared" si="3"/>
        <v>90000</v>
      </c>
      <c r="I15" s="84">
        <f t="shared" si="4"/>
        <v>240000</v>
      </c>
      <c r="J15" s="52" t="str">
        <f t="shared" si="5"/>
        <v>박한상 :C:9일</v>
      </c>
    </row>
    <row r="16" spans="1:10" s="10" customFormat="1" ht="12" x14ac:dyDescent="0.3">
      <c r="A16" s="52" t="s">
        <v>210</v>
      </c>
      <c r="B16" s="52" t="s">
        <v>252</v>
      </c>
      <c r="C16" s="52" t="str">
        <f t="shared" si="0"/>
        <v>승용차</v>
      </c>
      <c r="D16" s="96">
        <v>43379</v>
      </c>
      <c r="E16" s="96">
        <v>43387</v>
      </c>
      <c r="F16" s="52">
        <f t="shared" si="1"/>
        <v>9</v>
      </c>
      <c r="G16" s="84">
        <f t="shared" si="2"/>
        <v>150000</v>
      </c>
      <c r="H16" s="84">
        <f t="shared" si="3"/>
        <v>90000</v>
      </c>
      <c r="I16" s="84">
        <f t="shared" si="4"/>
        <v>240000</v>
      </c>
      <c r="J16" s="52" t="str">
        <f t="shared" si="5"/>
        <v>김명호 :C:9일</v>
      </c>
    </row>
    <row r="17" spans="1:11" s="10" customFormat="1" ht="12" x14ac:dyDescent="0.3">
      <c r="A17" s="52" t="s">
        <v>215</v>
      </c>
      <c r="B17" s="52" t="s">
        <v>257</v>
      </c>
      <c r="C17" s="52" t="str">
        <f t="shared" si="0"/>
        <v>승합차</v>
      </c>
      <c r="D17" s="96">
        <v>43170</v>
      </c>
      <c r="E17" s="96">
        <v>43178</v>
      </c>
      <c r="F17" s="52">
        <f t="shared" si="1"/>
        <v>9</v>
      </c>
      <c r="G17" s="84">
        <f t="shared" si="2"/>
        <v>200000</v>
      </c>
      <c r="H17" s="84">
        <f t="shared" si="3"/>
        <v>450000</v>
      </c>
      <c r="I17" s="84">
        <f t="shared" si="4"/>
        <v>650000</v>
      </c>
      <c r="J17" s="52" t="str">
        <f t="shared" si="5"/>
        <v>이경호 :B:9일</v>
      </c>
    </row>
    <row r="18" spans="1:11" s="10" customFormat="1" ht="12" x14ac:dyDescent="0.3">
      <c r="A18" s="52" t="s">
        <v>212</v>
      </c>
      <c r="B18" s="52" t="s">
        <v>254</v>
      </c>
      <c r="C18" s="52" t="str">
        <f t="shared" si="0"/>
        <v>승용차</v>
      </c>
      <c r="D18" s="96">
        <v>43240</v>
      </c>
      <c r="E18" s="96">
        <v>43249</v>
      </c>
      <c r="F18" s="52">
        <f t="shared" si="1"/>
        <v>10</v>
      </c>
      <c r="G18" s="84">
        <f t="shared" si="2"/>
        <v>150000</v>
      </c>
      <c r="H18" s="84">
        <f t="shared" si="3"/>
        <v>100000</v>
      </c>
      <c r="I18" s="84">
        <f t="shared" si="4"/>
        <v>250000</v>
      </c>
      <c r="J18" s="52" t="str">
        <f t="shared" si="5"/>
        <v>서영준 :C:10일</v>
      </c>
    </row>
    <row r="19" spans="1:11" s="10" customFormat="1" ht="12" x14ac:dyDescent="0.3">
      <c r="A19" s="52" t="s">
        <v>214</v>
      </c>
      <c r="B19" s="52" t="s">
        <v>256</v>
      </c>
      <c r="C19" s="52" t="str">
        <f t="shared" si="0"/>
        <v>승합차</v>
      </c>
      <c r="D19" s="96">
        <v>43236</v>
      </c>
      <c r="E19" s="96">
        <v>43245</v>
      </c>
      <c r="F19" s="52">
        <f t="shared" si="1"/>
        <v>10</v>
      </c>
      <c r="G19" s="84">
        <f t="shared" si="2"/>
        <v>200000</v>
      </c>
      <c r="H19" s="84">
        <f t="shared" si="3"/>
        <v>500000</v>
      </c>
      <c r="I19" s="84">
        <f t="shared" si="4"/>
        <v>700000</v>
      </c>
      <c r="J19" s="52" t="str">
        <f t="shared" si="5"/>
        <v>윤나영 :B:10일</v>
      </c>
    </row>
    <row r="20" spans="1:11" s="10" customFormat="1" ht="12" x14ac:dyDescent="0.3">
      <c r="A20" s="52" t="s">
        <v>216</v>
      </c>
      <c r="B20" s="52" t="s">
        <v>258</v>
      </c>
      <c r="C20" s="52" t="str">
        <f t="shared" si="0"/>
        <v>승합차</v>
      </c>
      <c r="D20" s="96">
        <v>43194</v>
      </c>
      <c r="E20" s="96">
        <v>43205</v>
      </c>
      <c r="F20" s="52">
        <f t="shared" si="1"/>
        <v>12</v>
      </c>
      <c r="G20" s="84">
        <f t="shared" si="2"/>
        <v>200000</v>
      </c>
      <c r="H20" s="84">
        <f t="shared" si="3"/>
        <v>600000</v>
      </c>
      <c r="I20" s="84">
        <f t="shared" si="4"/>
        <v>800000</v>
      </c>
      <c r="J20" s="52" t="str">
        <f t="shared" si="5"/>
        <v>이수현 :B:12일</v>
      </c>
    </row>
    <row r="21" spans="1:11" s="10" customFormat="1" ht="12" x14ac:dyDescent="0.3">
      <c r="A21" s="52" t="s">
        <v>217</v>
      </c>
      <c r="B21" s="52" t="s">
        <v>259</v>
      </c>
      <c r="C21" s="52" t="str">
        <f t="shared" si="0"/>
        <v>버스</v>
      </c>
      <c r="D21" s="96">
        <v>43330</v>
      </c>
      <c r="E21" s="96">
        <v>43341</v>
      </c>
      <c r="F21" s="52">
        <f t="shared" si="1"/>
        <v>12</v>
      </c>
      <c r="G21" s="84">
        <f t="shared" si="2"/>
        <v>400000</v>
      </c>
      <c r="H21" s="84">
        <f t="shared" si="3"/>
        <v>960000</v>
      </c>
      <c r="I21" s="84">
        <f t="shared" si="4"/>
        <v>1360000</v>
      </c>
      <c r="J21" s="52" t="str">
        <f t="shared" si="5"/>
        <v>조성진 :A:12일</v>
      </c>
    </row>
    <row r="22" spans="1:11" s="10" customFormat="1" ht="12" x14ac:dyDescent="0.3">
      <c r="A22" s="52" t="s">
        <v>209</v>
      </c>
      <c r="B22" s="52" t="s">
        <v>251</v>
      </c>
      <c r="C22" s="52" t="str">
        <f t="shared" si="0"/>
        <v>버스</v>
      </c>
      <c r="D22" s="96">
        <v>43229</v>
      </c>
      <c r="E22" s="96">
        <v>43248</v>
      </c>
      <c r="F22" s="52">
        <f t="shared" si="1"/>
        <v>20</v>
      </c>
      <c r="G22" s="84">
        <f t="shared" si="2"/>
        <v>400000</v>
      </c>
      <c r="H22" s="84">
        <f t="shared" si="3"/>
        <v>1600000</v>
      </c>
      <c r="I22" s="84">
        <f t="shared" si="4"/>
        <v>2000000</v>
      </c>
      <c r="J22" s="52" t="str">
        <f t="shared" si="5"/>
        <v>권은경 :A:20일</v>
      </c>
    </row>
    <row r="23" spans="1:11" s="10" customFormat="1" ht="12" x14ac:dyDescent="0.3">
      <c r="A23" s="53" t="s">
        <v>211</v>
      </c>
      <c r="B23" s="53" t="s">
        <v>253</v>
      </c>
      <c r="C23" s="53" t="str">
        <f t="shared" si="0"/>
        <v>승용차</v>
      </c>
      <c r="D23" s="97">
        <v>43289</v>
      </c>
      <c r="E23" s="97">
        <v>43309</v>
      </c>
      <c r="F23" s="53">
        <f t="shared" si="1"/>
        <v>21</v>
      </c>
      <c r="G23" s="85">
        <f t="shared" si="2"/>
        <v>150000</v>
      </c>
      <c r="H23" s="85">
        <f t="shared" si="3"/>
        <v>210000</v>
      </c>
      <c r="I23" s="85">
        <f t="shared" si="4"/>
        <v>360000</v>
      </c>
      <c r="J23" s="53" t="str">
        <f t="shared" si="5"/>
        <v>이명진 :C:21일</v>
      </c>
    </row>
    <row r="24" spans="1:11" s="10" customFormat="1" ht="12" x14ac:dyDescent="0.3">
      <c r="A24" s="176" t="s">
        <v>235</v>
      </c>
      <c r="B24" s="176"/>
      <c r="C24" s="11" t="s">
        <v>236</v>
      </c>
      <c r="D24" s="11"/>
      <c r="E24" s="11"/>
      <c r="F24" s="48">
        <f>SUMIF($C$4:$C$23,$C24,F$4:F$23)</f>
        <v>68</v>
      </c>
      <c r="G24" s="82">
        <f t="shared" ref="G24:I26" si="6">SUMIF($C$4:$C$23,$C24,G$4:G$23)</f>
        <v>1050000</v>
      </c>
      <c r="H24" s="82">
        <f t="shared" si="6"/>
        <v>680000</v>
      </c>
      <c r="I24" s="82">
        <f t="shared" si="6"/>
        <v>1730000</v>
      </c>
      <c r="J24" s="162"/>
    </row>
    <row r="25" spans="1:11" s="10" customFormat="1" ht="12" x14ac:dyDescent="0.3">
      <c r="A25" s="176"/>
      <c r="B25" s="176"/>
      <c r="C25" s="11" t="s">
        <v>237</v>
      </c>
      <c r="D25" s="11"/>
      <c r="E25" s="11"/>
      <c r="F25" s="48">
        <f t="shared" ref="F25:F26" si="7">SUMIF($C$4:$C$23,$C25,F$4:F$23)</f>
        <v>51</v>
      </c>
      <c r="G25" s="82">
        <f t="shared" si="6"/>
        <v>1400000</v>
      </c>
      <c r="H25" s="82">
        <f t="shared" si="6"/>
        <v>2550000</v>
      </c>
      <c r="I25" s="82">
        <f t="shared" si="6"/>
        <v>3950000</v>
      </c>
      <c r="J25" s="162"/>
    </row>
    <row r="26" spans="1:11" s="10" customFormat="1" ht="12" x14ac:dyDescent="0.3">
      <c r="A26" s="176"/>
      <c r="B26" s="176"/>
      <c r="C26" s="11" t="s">
        <v>238</v>
      </c>
      <c r="D26" s="11"/>
      <c r="E26" s="11"/>
      <c r="F26" s="48">
        <f t="shared" si="7"/>
        <v>49</v>
      </c>
      <c r="G26" s="82">
        <f t="shared" si="6"/>
        <v>2400000</v>
      </c>
      <c r="H26" s="82">
        <f t="shared" si="6"/>
        <v>3920000</v>
      </c>
      <c r="I26" s="82">
        <f t="shared" si="6"/>
        <v>6320000</v>
      </c>
      <c r="J26" s="162"/>
    </row>
    <row r="27" spans="1:11" s="10" customFormat="1" ht="12" x14ac:dyDescent="0.3">
      <c r="A27" s="151" t="s">
        <v>239</v>
      </c>
      <c r="B27" s="147"/>
      <c r="C27" s="147"/>
      <c r="D27" s="147"/>
      <c r="E27" s="147"/>
      <c r="F27" s="147"/>
      <c r="G27" s="148"/>
      <c r="H27" s="98">
        <f t="array" ref="H27">SUMPRODUCT((LEFT($A$4:$A$23,1)="이")*(RIGHT($B$4:$B$23,1)="1"),H4:H23)</f>
        <v>760000</v>
      </c>
      <c r="I27" s="98">
        <f t="array" ref="I27">SUMPRODUCT((LEFT($A$4:$A$23,1)="이")*(RIGHT($B$4:$B$23,1)="1"),I4:I23)</f>
        <v>1510000</v>
      </c>
      <c r="J27" s="162"/>
      <c r="K27" s="10">
        <f>SUMIFS(H4:H23,$A$4:$A$23,"이*",$B$4:$B$23,"*1")</f>
        <v>760000</v>
      </c>
    </row>
    <row r="28" spans="1:11" s="10" customFormat="1" ht="12" x14ac:dyDescent="0.3">
      <c r="A28" s="151" t="s">
        <v>240</v>
      </c>
      <c r="B28" s="147"/>
      <c r="C28" s="147"/>
      <c r="D28" s="147"/>
      <c r="E28" s="147"/>
      <c r="F28" s="147"/>
      <c r="G28" s="148"/>
      <c r="H28" s="98">
        <f t="array" ref="H28">SUMPRODUCT((LEFT($A$4:$A$23,1)="김")*(RIGHT($B$4:$B$23,1)="5"),H4:H23)</f>
        <v>310000</v>
      </c>
      <c r="I28" s="98">
        <f t="array" ref="I28">SUMPRODUCT((LEFT($A$4:$A$23,1)="김")*(RIGHT($B$4:$B$23,1)="5"),I4:I23)</f>
        <v>860000</v>
      </c>
      <c r="J28" s="162"/>
    </row>
    <row r="29" spans="1:11" s="10" customFormat="1" ht="12" x14ac:dyDescent="0.3">
      <c r="A29" s="151" t="s">
        <v>241</v>
      </c>
      <c r="B29" s="147"/>
      <c r="C29" s="147"/>
      <c r="D29" s="147"/>
      <c r="E29" s="147"/>
      <c r="F29" s="147"/>
      <c r="G29" s="148"/>
      <c r="H29" s="146" t="s">
        <v>271</v>
      </c>
      <c r="I29" s="147"/>
      <c r="J29" s="148"/>
    </row>
    <row r="30" spans="1:11" s="10" customFormat="1" ht="14.45" x14ac:dyDescent="0.45">
      <c r="A30" s="214" t="s">
        <v>270</v>
      </c>
      <c r="B30" s="215"/>
      <c r="C30" s="215"/>
      <c r="D30" s="215"/>
      <c r="E30" s="215"/>
      <c r="F30" s="215"/>
      <c r="G30" s="215"/>
      <c r="H30" s="215"/>
      <c r="I30" s="215"/>
      <c r="J30" s="216"/>
    </row>
  </sheetData>
  <sortState xmlns:xlrd2="http://schemas.microsoft.com/office/spreadsheetml/2017/richdata2" ref="A4:J23">
    <sortCondition ref="F4:F23"/>
    <sortCondition ref="I4:I23"/>
  </sortState>
  <mergeCells count="8">
    <mergeCell ref="A30:J30"/>
    <mergeCell ref="A2:J2"/>
    <mergeCell ref="A24:B26"/>
    <mergeCell ref="J24:J28"/>
    <mergeCell ref="A27:G27"/>
    <mergeCell ref="A28:G28"/>
    <mergeCell ref="A29:G29"/>
    <mergeCell ref="H29:J29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18</vt:i4>
      </vt:variant>
      <vt:variant>
        <vt:lpstr>이름 지정된 범위</vt:lpstr>
      </vt:variant>
      <vt:variant>
        <vt:i4>3</vt:i4>
      </vt:variant>
    </vt:vector>
  </HeadingPairs>
  <TitlesOfParts>
    <vt:vector size="21" baseType="lpstr">
      <vt:lpstr>SP1</vt:lpstr>
      <vt:lpstr>SP1작업표</vt:lpstr>
      <vt:lpstr>SP1완</vt:lpstr>
      <vt:lpstr>SP2</vt:lpstr>
      <vt:lpstr>SP2작업표</vt:lpstr>
      <vt:lpstr>SP2완</vt:lpstr>
      <vt:lpstr>SP3</vt:lpstr>
      <vt:lpstr>SP3작업표</vt:lpstr>
      <vt:lpstr>SP3완</vt:lpstr>
      <vt:lpstr>SP4</vt:lpstr>
      <vt:lpstr>SP4작업표</vt:lpstr>
      <vt:lpstr>SP4완</vt:lpstr>
      <vt:lpstr>SP5</vt:lpstr>
      <vt:lpstr>SP5작업표</vt:lpstr>
      <vt:lpstr>SP5완료</vt:lpstr>
      <vt:lpstr>SP6</vt:lpstr>
      <vt:lpstr>SP6작업표</vt:lpstr>
      <vt:lpstr>SP6완</vt:lpstr>
      <vt:lpstr>SP1완!Print_Area</vt:lpstr>
      <vt:lpstr>SP2완!Print_Area</vt:lpstr>
      <vt:lpstr>SP6완!Print_Area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면철</cp:lastModifiedBy>
  <cp:lastPrinted>2019-09-29T04:08:29Z</cp:lastPrinted>
  <dcterms:created xsi:type="dcterms:W3CDTF">2018-05-04T00:48:53Z</dcterms:created>
  <dcterms:modified xsi:type="dcterms:W3CDTF">2019-10-10T09:19:37Z</dcterms:modified>
</cp:coreProperties>
</file>