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75" yWindow="6825" windowWidth="20910" windowHeight="11445" tabRatio="901" activeTab="8"/>
  </bookViews>
  <sheets>
    <sheet name="SP7" sheetId="1" r:id="rId1"/>
    <sheet name="SP7작업표" sheetId="2" r:id="rId2"/>
    <sheet name="SP7완" sheetId="4" r:id="rId3"/>
    <sheet name="SP8" sheetId="3" r:id="rId4"/>
    <sheet name="SP8작업표" sheetId="5" r:id="rId5"/>
    <sheet name="SP8완" sheetId="6" r:id="rId6"/>
    <sheet name="SP9" sheetId="7" r:id="rId7"/>
    <sheet name="SP9작업표" sheetId="8" r:id="rId8"/>
    <sheet name="SP9완" sheetId="9" r:id="rId9"/>
    <sheet name="SP10" sheetId="12" r:id="rId10"/>
    <sheet name="SP10작업표" sheetId="11" r:id="rId11"/>
    <sheet name="SP10완" sheetId="13" r:id="rId12"/>
    <sheet name="SP11" sheetId="14" r:id="rId13"/>
    <sheet name="SP11작업표" sheetId="15" r:id="rId14"/>
    <sheet name="SP11완" sheetId="16" r:id="rId15"/>
    <sheet name="SP12" sheetId="17" r:id="rId16"/>
    <sheet name="SP12작업표" sheetId="18" r:id="rId17"/>
    <sheet name="SP12완" sheetId="19" r:id="rId18"/>
  </sheets>
  <definedNames>
    <definedName name="_xlnm.Print_Area" localSheetId="11">SP10완!$A$2:$J$47</definedName>
    <definedName name="_xlnm.Print_Area" localSheetId="14">SP11완!$B$1:$I$47</definedName>
    <definedName name="_xlnm.Print_Area" localSheetId="17">SP12완!$A$1:$J$45</definedName>
    <definedName name="_xlnm.Print_Area" localSheetId="5">SP8완!$B$1:$L$48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9" l="1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4" i="9" l="1"/>
  <c r="E5" i="9" l="1"/>
  <c r="E6" i="9"/>
  <c r="E7" i="9"/>
  <c r="E8" i="9"/>
  <c r="E9" i="9"/>
  <c r="E10" i="9"/>
  <c r="E11" i="9"/>
  <c r="H11" i="9" s="1"/>
  <c r="E12" i="9"/>
  <c r="E13" i="9"/>
  <c r="E14" i="9"/>
  <c r="E15" i="9"/>
  <c r="E16" i="9"/>
  <c r="E17" i="9"/>
  <c r="E18" i="9"/>
  <c r="E19" i="9"/>
  <c r="H19" i="9" s="1"/>
  <c r="E20" i="9"/>
  <c r="E21" i="9"/>
  <c r="E22" i="9"/>
  <c r="E23" i="9"/>
  <c r="E4" i="9"/>
  <c r="H4" i="9" s="1"/>
  <c r="H20" i="9" l="1"/>
  <c r="H12" i="9"/>
  <c r="H18" i="9"/>
  <c r="H10" i="9"/>
  <c r="H17" i="9"/>
  <c r="H9" i="9"/>
  <c r="H16" i="9"/>
  <c r="H8" i="9"/>
  <c r="H23" i="9"/>
  <c r="H15" i="9"/>
  <c r="H7" i="9"/>
  <c r="H22" i="9"/>
  <c r="H14" i="9"/>
  <c r="H6" i="9"/>
  <c r="H21" i="9"/>
  <c r="H13" i="9"/>
  <c r="H5" i="9"/>
  <c r="F6" i="19"/>
  <c r="G6" i="19" s="1"/>
  <c r="F8" i="19"/>
  <c r="H8" i="19" s="1"/>
  <c r="I8" i="19" s="1"/>
  <c r="F13" i="19"/>
  <c r="G13" i="19" s="1"/>
  <c r="F14" i="19"/>
  <c r="G14" i="19" s="1"/>
  <c r="F15" i="19"/>
  <c r="H15" i="19" s="1"/>
  <c r="I15" i="19" s="1"/>
  <c r="F17" i="19"/>
  <c r="H17" i="19" s="1"/>
  <c r="I17" i="19" s="1"/>
  <c r="F4" i="19"/>
  <c r="H4" i="19" s="1"/>
  <c r="I4" i="19" s="1"/>
  <c r="F5" i="19"/>
  <c r="G5" i="19" s="1"/>
  <c r="H5" i="19"/>
  <c r="I5" i="19" s="1"/>
  <c r="F20" i="19"/>
  <c r="H20" i="19" s="1"/>
  <c r="I20" i="19" s="1"/>
  <c r="F19" i="19"/>
  <c r="H19" i="19" s="1"/>
  <c r="I19" i="19" s="1"/>
  <c r="F9" i="19"/>
  <c r="G9" i="19" s="1"/>
  <c r="F10" i="19"/>
  <c r="H10" i="19" s="1"/>
  <c r="I10" i="19" s="1"/>
  <c r="F21" i="19"/>
  <c r="G21" i="19" s="1"/>
  <c r="F23" i="19"/>
  <c r="H23" i="19" s="1"/>
  <c r="I23" i="19" s="1"/>
  <c r="F11" i="19"/>
  <c r="G11" i="19" s="1"/>
  <c r="F16" i="19"/>
  <c r="H16" i="19" s="1"/>
  <c r="I16" i="19" s="1"/>
  <c r="F12" i="19"/>
  <c r="G12" i="19" s="1"/>
  <c r="F22" i="19"/>
  <c r="H22" i="19" s="1"/>
  <c r="I22" i="19" s="1"/>
  <c r="G22" i="19"/>
  <c r="F18" i="19"/>
  <c r="G18" i="19" s="1"/>
  <c r="F7" i="19"/>
  <c r="G7" i="19" s="1"/>
  <c r="D6" i="19"/>
  <c r="D8" i="19"/>
  <c r="D13" i="19"/>
  <c r="D14" i="19"/>
  <c r="D15" i="19"/>
  <c r="D17" i="19"/>
  <c r="D4" i="19"/>
  <c r="D5" i="19"/>
  <c r="D20" i="19"/>
  <c r="D19" i="19"/>
  <c r="D9" i="19"/>
  <c r="D10" i="19"/>
  <c r="D21" i="19"/>
  <c r="D23" i="19"/>
  <c r="D11" i="19"/>
  <c r="D16" i="19"/>
  <c r="D12" i="19"/>
  <c r="D22" i="19"/>
  <c r="D18" i="19"/>
  <c r="D7" i="19"/>
  <c r="F27" i="16"/>
  <c r="F7" i="16"/>
  <c r="G7" i="16" s="1"/>
  <c r="F21" i="16"/>
  <c r="G21" i="16" s="1"/>
  <c r="F10" i="16"/>
  <c r="G10" i="16" s="1"/>
  <c r="F11" i="16"/>
  <c r="G11" i="16" s="1"/>
  <c r="F9" i="16"/>
  <c r="G9" i="16" s="1"/>
  <c r="F15" i="16"/>
  <c r="G15" i="16" s="1"/>
  <c r="F8" i="16"/>
  <c r="G8" i="16" s="1"/>
  <c r="F23" i="16"/>
  <c r="G23" i="16" s="1"/>
  <c r="F22" i="16"/>
  <c r="G22" i="16" s="1"/>
  <c r="F12" i="16"/>
  <c r="G12" i="16" s="1"/>
  <c r="F5" i="16"/>
  <c r="G5" i="16" s="1"/>
  <c r="F17" i="16"/>
  <c r="G17" i="16" s="1"/>
  <c r="F16" i="16"/>
  <c r="G16" i="16" s="1"/>
  <c r="F6" i="16"/>
  <c r="G6" i="16" s="1"/>
  <c r="F19" i="16"/>
  <c r="G19" i="16" s="1"/>
  <c r="F20" i="16"/>
  <c r="G20" i="16" s="1"/>
  <c r="F18" i="16"/>
  <c r="G18" i="16" s="1"/>
  <c r="F4" i="16"/>
  <c r="F13" i="16"/>
  <c r="G13" i="16" s="1"/>
  <c r="F14" i="16"/>
  <c r="G14" i="16" s="1"/>
  <c r="F29" i="13"/>
  <c r="H27" i="13"/>
  <c r="E15" i="13"/>
  <c r="E14" i="13"/>
  <c r="E12" i="13"/>
  <c r="E8" i="13"/>
  <c r="E10" i="13"/>
  <c r="E9" i="13"/>
  <c r="E7" i="13"/>
  <c r="E5" i="13"/>
  <c r="E4" i="13"/>
  <c r="E22" i="13"/>
  <c r="E17" i="13"/>
  <c r="E20" i="13"/>
  <c r="E18" i="13"/>
  <c r="E16" i="13"/>
  <c r="E6" i="13"/>
  <c r="E23" i="13"/>
  <c r="E19" i="13"/>
  <c r="E21" i="13"/>
  <c r="E11" i="13"/>
  <c r="E13" i="13"/>
  <c r="B15" i="13"/>
  <c r="B14" i="13"/>
  <c r="B12" i="13"/>
  <c r="B8" i="13"/>
  <c r="F8" i="13" s="1"/>
  <c r="I8" i="13" s="1"/>
  <c r="J8" i="13" s="1"/>
  <c r="B10" i="13"/>
  <c r="B9" i="13"/>
  <c r="B7" i="13"/>
  <c r="B5" i="13"/>
  <c r="B4" i="13"/>
  <c r="B22" i="13"/>
  <c r="B17" i="13"/>
  <c r="B20" i="13"/>
  <c r="F20" i="13" s="1"/>
  <c r="B18" i="13"/>
  <c r="B16" i="13"/>
  <c r="B6" i="13"/>
  <c r="B23" i="13"/>
  <c r="B19" i="13"/>
  <c r="B21" i="13"/>
  <c r="B11" i="13"/>
  <c r="B13" i="13"/>
  <c r="F13" i="13" s="1"/>
  <c r="F21" i="9"/>
  <c r="F16" i="9"/>
  <c r="F10" i="9"/>
  <c r="F4" i="9"/>
  <c r="F19" i="9"/>
  <c r="F13" i="9"/>
  <c r="F20" i="9"/>
  <c r="F8" i="9"/>
  <c r="F5" i="9"/>
  <c r="F23" i="9"/>
  <c r="F6" i="9"/>
  <c r="F11" i="9"/>
  <c r="F18" i="9"/>
  <c r="F17" i="9"/>
  <c r="F22" i="9"/>
  <c r="F14" i="9"/>
  <c r="F15" i="9"/>
  <c r="F7" i="9"/>
  <c r="F25" i="9" s="1"/>
  <c r="F9" i="9"/>
  <c r="F12" i="9"/>
  <c r="G23" i="19" l="1"/>
  <c r="H12" i="19"/>
  <c r="I12" i="19" s="1"/>
  <c r="F28" i="9"/>
  <c r="F6" i="13"/>
  <c r="F7" i="13"/>
  <c r="I7" i="13" s="1"/>
  <c r="J7" i="13" s="1"/>
  <c r="H17" i="16"/>
  <c r="H16" i="16"/>
  <c r="H11" i="16"/>
  <c r="H19" i="16"/>
  <c r="H6" i="16"/>
  <c r="H9" i="16"/>
  <c r="H14" i="16"/>
  <c r="H13" i="16"/>
  <c r="H12" i="16"/>
  <c r="H21" i="16"/>
  <c r="H7" i="16"/>
  <c r="F19" i="13"/>
  <c r="F18" i="13"/>
  <c r="I18" i="13" s="1"/>
  <c r="J18" i="13" s="1"/>
  <c r="F4" i="13"/>
  <c r="I4" i="13" s="1"/>
  <c r="F15" i="13"/>
  <c r="I15" i="13" s="1"/>
  <c r="J15" i="13" s="1"/>
  <c r="F26" i="9"/>
  <c r="F11" i="13"/>
  <c r="I11" i="13" s="1"/>
  <c r="J11" i="13" s="1"/>
  <c r="F17" i="13"/>
  <c r="I17" i="13" s="1"/>
  <c r="J17" i="13" s="1"/>
  <c r="F12" i="13"/>
  <c r="I12" i="13" s="1"/>
  <c r="J12" i="13" s="1"/>
  <c r="H7" i="19"/>
  <c r="I7" i="19" s="1"/>
  <c r="G16" i="19"/>
  <c r="G10" i="19"/>
  <c r="G20" i="19"/>
  <c r="G15" i="19"/>
  <c r="G8" i="19"/>
  <c r="E26" i="9"/>
  <c r="F21" i="13"/>
  <c r="F25" i="13" s="1"/>
  <c r="F16" i="13"/>
  <c r="F22" i="13"/>
  <c r="F9" i="13"/>
  <c r="I9" i="13" s="1"/>
  <c r="J9" i="13" s="1"/>
  <c r="F14" i="13"/>
  <c r="I14" i="13" s="1"/>
  <c r="J14" i="13" s="1"/>
  <c r="H6" i="19"/>
  <c r="I6" i="19" s="1"/>
  <c r="E28" i="9"/>
  <c r="F27" i="9"/>
  <c r="F10" i="13"/>
  <c r="I10" i="13" s="1"/>
  <c r="J10" i="13" s="1"/>
  <c r="F23" i="13"/>
  <c r="I23" i="13" s="1"/>
  <c r="J23" i="13" s="1"/>
  <c r="F5" i="13"/>
  <c r="F24" i="16"/>
  <c r="H21" i="19"/>
  <c r="I21" i="19" s="1"/>
  <c r="G19" i="19"/>
  <c r="H14" i="19"/>
  <c r="G17" i="19"/>
  <c r="J18" i="19" s="1"/>
  <c r="H11" i="19"/>
  <c r="G4" i="19"/>
  <c r="H18" i="19"/>
  <c r="I18" i="19" s="1"/>
  <c r="H13" i="19"/>
  <c r="I13" i="19" s="1"/>
  <c r="H9" i="19"/>
  <c r="I9" i="19" s="1"/>
  <c r="G27" i="16"/>
  <c r="H15" i="16"/>
  <c r="H18" i="16"/>
  <c r="H22" i="16"/>
  <c r="H20" i="16"/>
  <c r="H23" i="16"/>
  <c r="G4" i="16"/>
  <c r="I4" i="16" s="1"/>
  <c r="H5" i="16"/>
  <c r="H10" i="16"/>
  <c r="H8" i="16"/>
  <c r="I16" i="13"/>
  <c r="J16" i="13"/>
  <c r="I6" i="13"/>
  <c r="J6" i="13" s="1"/>
  <c r="I19" i="13"/>
  <c r="J19" i="13" s="1"/>
  <c r="I13" i="13"/>
  <c r="J13" i="13" s="1"/>
  <c r="I20" i="13"/>
  <c r="J20" i="13" s="1"/>
  <c r="I5" i="13"/>
  <c r="J5" i="13" s="1"/>
  <c r="I22" i="13"/>
  <c r="J22" i="13" s="1"/>
  <c r="H25" i="13"/>
  <c r="H24" i="13"/>
  <c r="H26" i="13"/>
  <c r="F26" i="13"/>
  <c r="E25" i="9"/>
  <c r="E27" i="9"/>
  <c r="J16" i="6"/>
  <c r="J5" i="6"/>
  <c r="J22" i="6"/>
  <c r="J23" i="6"/>
  <c r="J14" i="6"/>
  <c r="J24" i="6"/>
  <c r="J17" i="6"/>
  <c r="J13" i="6"/>
  <c r="J10" i="6"/>
  <c r="J19" i="6"/>
  <c r="J11" i="6"/>
  <c r="J6" i="6"/>
  <c r="J18" i="6"/>
  <c r="J7" i="6"/>
  <c r="J20" i="6"/>
  <c r="J12" i="6"/>
  <c r="J21" i="6"/>
  <c r="J8" i="6"/>
  <c r="J9" i="6"/>
  <c r="J15" i="6"/>
  <c r="I16" i="6"/>
  <c r="K16" i="6" s="1"/>
  <c r="L16" i="6" s="1"/>
  <c r="I5" i="6"/>
  <c r="I22" i="6"/>
  <c r="I23" i="6"/>
  <c r="K23" i="6" s="1"/>
  <c r="L23" i="6" s="1"/>
  <c r="I14" i="6"/>
  <c r="I24" i="6"/>
  <c r="I17" i="6"/>
  <c r="I13" i="6"/>
  <c r="I10" i="6"/>
  <c r="K10" i="6" s="1"/>
  <c r="L10" i="6" s="1"/>
  <c r="I19" i="6"/>
  <c r="I11" i="6"/>
  <c r="I6" i="6"/>
  <c r="K6" i="6" s="1"/>
  <c r="L6" i="6" s="1"/>
  <c r="I18" i="6"/>
  <c r="I7" i="6"/>
  <c r="I20" i="6"/>
  <c r="I12" i="6"/>
  <c r="I21" i="6"/>
  <c r="K21" i="6" s="1"/>
  <c r="L21" i="6" s="1"/>
  <c r="I8" i="6"/>
  <c r="I9" i="6"/>
  <c r="I15" i="6"/>
  <c r="H16" i="6"/>
  <c r="H5" i="6"/>
  <c r="H22" i="6"/>
  <c r="H23" i="6"/>
  <c r="H14" i="6"/>
  <c r="H24" i="6"/>
  <c r="H17" i="6"/>
  <c r="H13" i="6"/>
  <c r="H10" i="6"/>
  <c r="H19" i="6"/>
  <c r="H11" i="6"/>
  <c r="H6" i="6"/>
  <c r="H18" i="6"/>
  <c r="H7" i="6"/>
  <c r="H20" i="6"/>
  <c r="H12" i="6"/>
  <c r="H21" i="6"/>
  <c r="H8" i="6"/>
  <c r="H9" i="6"/>
  <c r="H15" i="6"/>
  <c r="K8" i="6" l="1"/>
  <c r="L8" i="6" s="1"/>
  <c r="K19" i="6"/>
  <c r="L19" i="6" s="1"/>
  <c r="K5" i="6"/>
  <c r="L5" i="6" s="1"/>
  <c r="K20" i="6"/>
  <c r="L20" i="6" s="1"/>
  <c r="K17" i="6"/>
  <c r="L17" i="6" s="1"/>
  <c r="J14" i="19"/>
  <c r="F28" i="13"/>
  <c r="K12" i="6"/>
  <c r="L12" i="6" s="1"/>
  <c r="K13" i="6"/>
  <c r="L13" i="6" s="1"/>
  <c r="K9" i="6"/>
  <c r="L9" i="6" s="1"/>
  <c r="K11" i="6"/>
  <c r="L11" i="6" s="1"/>
  <c r="K22" i="6"/>
  <c r="L22" i="6" s="1"/>
  <c r="J5" i="19"/>
  <c r="G24" i="19"/>
  <c r="J26" i="13"/>
  <c r="J24" i="13"/>
  <c r="J9" i="19"/>
  <c r="I20" i="16"/>
  <c r="I12" i="16"/>
  <c r="I9" i="16"/>
  <c r="I18" i="16"/>
  <c r="I8" i="16"/>
  <c r="I11" i="16"/>
  <c r="I23" i="16"/>
  <c r="I5" i="16"/>
  <c r="I15" i="16"/>
  <c r="I7" i="16"/>
  <c r="I10" i="16"/>
  <c r="I6" i="16"/>
  <c r="I16" i="16"/>
  <c r="I13" i="16"/>
  <c r="I22" i="16"/>
  <c r="I19" i="16"/>
  <c r="I17" i="16"/>
  <c r="I21" i="16"/>
  <c r="I14" i="16"/>
  <c r="J4" i="13"/>
  <c r="J23" i="19"/>
  <c r="J6" i="19"/>
  <c r="I26" i="13"/>
  <c r="I21" i="13"/>
  <c r="J21" i="13" s="1"/>
  <c r="J27" i="13" s="1"/>
  <c r="J11" i="19"/>
  <c r="F24" i="13"/>
  <c r="J16" i="19"/>
  <c r="H26" i="19"/>
  <c r="I11" i="19"/>
  <c r="H24" i="19"/>
  <c r="J10" i="19"/>
  <c r="H28" i="19"/>
  <c r="I14" i="19"/>
  <c r="H25" i="19"/>
  <c r="J4" i="19"/>
  <c r="G25" i="19"/>
  <c r="J20" i="19"/>
  <c r="J17" i="19"/>
  <c r="J12" i="19"/>
  <c r="J15" i="19"/>
  <c r="J22" i="19"/>
  <c r="J8" i="19"/>
  <c r="J21" i="19"/>
  <c r="J7" i="19"/>
  <c r="J13" i="19"/>
  <c r="J19" i="19"/>
  <c r="G24" i="16"/>
  <c r="H4" i="16"/>
  <c r="I24" i="13"/>
  <c r="I27" i="13"/>
  <c r="J25" i="13"/>
  <c r="K7" i="6"/>
  <c r="K18" i="6"/>
  <c r="L18" i="6" s="1"/>
  <c r="K24" i="6"/>
  <c r="L24" i="6" s="1"/>
  <c r="K14" i="6"/>
  <c r="L14" i="6" s="1"/>
  <c r="L30" i="6" s="1"/>
  <c r="J25" i="6"/>
  <c r="I25" i="6"/>
  <c r="K15" i="6"/>
  <c r="K28" i="6" s="1"/>
  <c r="C24" i="4"/>
  <c r="I20" i="4"/>
  <c r="J20" i="4" s="1"/>
  <c r="D20" i="4"/>
  <c r="I9" i="4"/>
  <c r="J9" i="4" s="1"/>
  <c r="D9" i="4"/>
  <c r="I21" i="4"/>
  <c r="J21" i="4" s="1"/>
  <c r="D21" i="4"/>
  <c r="I8" i="4"/>
  <c r="J8" i="4" s="1"/>
  <c r="D8" i="4"/>
  <c r="I13" i="4"/>
  <c r="J13" i="4" s="1"/>
  <c r="D13" i="4"/>
  <c r="I7" i="4"/>
  <c r="J7" i="4" s="1"/>
  <c r="D7" i="4"/>
  <c r="I12" i="4"/>
  <c r="J12" i="4" s="1"/>
  <c r="D12" i="4"/>
  <c r="I22" i="4"/>
  <c r="J22" i="4" s="1"/>
  <c r="D22" i="4"/>
  <c r="I5" i="4"/>
  <c r="J5" i="4" s="1"/>
  <c r="D5" i="4"/>
  <c r="I23" i="4"/>
  <c r="J23" i="4" s="1"/>
  <c r="D23" i="4"/>
  <c r="I6" i="4"/>
  <c r="J6" i="4" s="1"/>
  <c r="D6" i="4"/>
  <c r="I16" i="4"/>
  <c r="J16" i="4" s="1"/>
  <c r="D16" i="4"/>
  <c r="I18" i="4"/>
  <c r="J18" i="4" s="1"/>
  <c r="D18" i="4"/>
  <c r="I11" i="4"/>
  <c r="J11" i="4" s="1"/>
  <c r="D11" i="4"/>
  <c r="I15" i="4"/>
  <c r="J15" i="4" s="1"/>
  <c r="D15" i="4"/>
  <c r="I17" i="4"/>
  <c r="J17" i="4" s="1"/>
  <c r="D17" i="4"/>
  <c r="I19" i="4"/>
  <c r="J19" i="4" s="1"/>
  <c r="D19" i="4"/>
  <c r="I4" i="4"/>
  <c r="J4" i="4" s="1"/>
  <c r="D4" i="4"/>
  <c r="I14" i="4"/>
  <c r="J14" i="4" s="1"/>
  <c r="D14" i="4"/>
  <c r="I10" i="4"/>
  <c r="J10" i="4" s="1"/>
  <c r="D10" i="4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4" i="2"/>
  <c r="I25" i="13" l="1"/>
  <c r="F28" i="16"/>
  <c r="K30" i="6"/>
  <c r="G28" i="16"/>
  <c r="K20" i="4"/>
  <c r="K5" i="4"/>
  <c r="K7" i="4"/>
  <c r="K11" i="4"/>
  <c r="K13" i="4"/>
  <c r="K19" i="4"/>
  <c r="I27" i="4"/>
  <c r="H27" i="19"/>
  <c r="G25" i="16"/>
  <c r="G26" i="16"/>
  <c r="F26" i="16"/>
  <c r="F25" i="16"/>
  <c r="L7" i="6"/>
  <c r="L26" i="6" s="1" a="1"/>
  <c r="L26" i="6" s="1"/>
  <c r="K29" i="6"/>
  <c r="K25" i="6"/>
  <c r="L15" i="6"/>
  <c r="L28" i="6" s="1"/>
  <c r="I24" i="4"/>
  <c r="D24" i="4"/>
  <c r="L10" i="4"/>
  <c r="K18" i="4"/>
  <c r="K6" i="4"/>
  <c r="K14" i="4"/>
  <c r="J27" i="4"/>
  <c r="K17" i="4"/>
  <c r="K23" i="4"/>
  <c r="K12" i="4"/>
  <c r="K21" i="4"/>
  <c r="K22" i="4"/>
  <c r="K9" i="4"/>
  <c r="K4" i="4"/>
  <c r="K15" i="4"/>
  <c r="K16" i="4"/>
  <c r="K8" i="4"/>
  <c r="L19" i="4" l="1"/>
  <c r="L17" i="4"/>
  <c r="L11" i="4"/>
  <c r="K10" i="4"/>
  <c r="K24" i="4" s="1"/>
  <c r="J24" i="4"/>
  <c r="L29" i="6"/>
  <c r="L21" i="4"/>
  <c r="L20" i="4"/>
  <c r="L23" i="4"/>
  <c r="L5" i="4"/>
  <c r="L18" i="4"/>
  <c r="L22" i="4"/>
  <c r="L14" i="4"/>
  <c r="L6" i="4"/>
  <c r="L16" i="4"/>
  <c r="L4" i="4"/>
  <c r="I25" i="4" s="1"/>
  <c r="L15" i="4"/>
  <c r="L12" i="4"/>
  <c r="L13" i="4"/>
  <c r="L9" i="4"/>
  <c r="L7" i="4"/>
  <c r="L8" i="4"/>
  <c r="L25" i="6"/>
  <c r="I28" i="4"/>
  <c r="I26" i="4" l="1"/>
  <c r="J26" i="4"/>
  <c r="J28" i="4"/>
  <c r="J25" i="4"/>
</calcChain>
</file>

<file path=xl/comments1.xml><?xml version="1.0" encoding="utf-8"?>
<comments xmlns="http://schemas.openxmlformats.org/spreadsheetml/2006/main">
  <authors>
    <author>만든 이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D</t>
        </r>
        <r>
          <rPr>
            <b/>
            <sz val="9"/>
            <color indexed="81"/>
            <rFont val="돋움"/>
            <family val="3"/>
            <charset val="129"/>
          </rPr>
          <t>함수사용시</t>
        </r>
        <r>
          <rPr>
            <b/>
            <sz val="9"/>
            <color indexed="81"/>
            <rFont val="Tahoma"/>
            <family val="2"/>
          </rPr>
          <t xml:space="preserve"> h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숨김열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수정해야합니다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B24" authorId="0">
      <text>
        <r>
          <rPr>
            <b/>
            <sz val="9"/>
            <color indexed="81"/>
            <rFont val="Tahoma"/>
            <family val="2"/>
          </rPr>
          <t>A</t>
        </r>
        <r>
          <rPr>
            <b/>
            <sz val="9"/>
            <color indexed="81"/>
            <rFont val="돋움"/>
            <family val="3"/>
            <charset val="129"/>
          </rPr>
          <t>열이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숨겨지는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좌측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테두리가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병합을</t>
        </r>
        <r>
          <rPr>
            <b/>
            <sz val="9"/>
            <color indexed="81"/>
            <rFont val="Tahoma"/>
            <family val="2"/>
          </rPr>
          <t xml:space="preserve"> B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출력됩니다</t>
        </r>
      </text>
    </comment>
  </commentList>
</comments>
</file>

<file path=xl/sharedStrings.xml><?xml version="1.0" encoding="utf-8"?>
<sst xmlns="http://schemas.openxmlformats.org/spreadsheetml/2006/main" count="1045" uniqueCount="364">
  <si>
    <t xml:space="preserve">차종류 </t>
  </si>
  <si>
    <t xml:space="preserve">단가 </t>
  </si>
  <si>
    <t xml:space="preserve">판매계획 </t>
  </si>
  <si>
    <t>판매실적</t>
  </si>
  <si>
    <t xml:space="preserve">수량 </t>
  </si>
  <si>
    <t xml:space="preserve">봄 </t>
  </si>
  <si>
    <t xml:space="preserve">여름 </t>
  </si>
  <si>
    <t xml:space="preserve">가을 </t>
  </si>
  <si>
    <t>겨울</t>
  </si>
  <si>
    <t xml:space="preserve">사과주스 </t>
  </si>
  <si>
    <t xml:space="preserve">녹차 </t>
  </si>
  <si>
    <t xml:space="preserve">맥심커피 </t>
  </si>
  <si>
    <t xml:space="preserve">포도주스 </t>
  </si>
  <si>
    <t xml:space="preserve">옥수수차 </t>
  </si>
  <si>
    <t xml:space="preserve">꿀차 </t>
  </si>
  <si>
    <t xml:space="preserve">에스프레소 </t>
  </si>
  <si>
    <t>금액</t>
    <phoneticPr fontId="3" type="noConversion"/>
  </si>
  <si>
    <t>①</t>
    <phoneticPr fontId="3" type="noConversion"/>
  </si>
  <si>
    <t>수량</t>
    <phoneticPr fontId="3" type="noConversion"/>
  </si>
  <si>
    <t>달성률</t>
    <phoneticPr fontId="3" type="noConversion"/>
  </si>
  <si>
    <t>판매순위</t>
    <phoneticPr fontId="3" type="noConversion"/>
  </si>
  <si>
    <t>②</t>
    <phoneticPr fontId="3" type="noConversion"/>
  </si>
  <si>
    <t>③</t>
    <phoneticPr fontId="3" type="noConversion"/>
  </si>
  <si>
    <t>합계 및 평균</t>
    <phoneticPr fontId="3" type="noConversion"/>
  </si>
  <si>
    <t xml:space="preserve">⑥ </t>
  </si>
  <si>
    <t>⑥</t>
  </si>
  <si>
    <t xml:space="preserve">⑦ </t>
  </si>
  <si>
    <t>⑦</t>
  </si>
  <si>
    <t xml:space="preserve">⑧ </t>
  </si>
  <si>
    <t>⑧</t>
  </si>
  <si>
    <t xml:space="preserve">⑨ </t>
  </si>
  <si>
    <t>⑨</t>
  </si>
  <si>
    <t>⑩</t>
  </si>
  <si>
    <t>⑪</t>
  </si>
  <si>
    <t>④</t>
  </si>
  <si>
    <t>⑤</t>
  </si>
  <si>
    <t xml:space="preserve">판매순위가 10 미만이면서 "차"단어를 포함한 합 </t>
  </si>
  <si>
    <t xml:space="preserve">판매순위가 10 이상이면서 "주스"단어를 포함한 합 </t>
  </si>
  <si>
    <t xml:space="preserve">차종류에 "커피" 단어를 포함한 합 </t>
  </si>
  <si>
    <t xml:space="preserve">판매순위가 10 이상 15 미만인 각 합 </t>
  </si>
  <si>
    <t>=SUMIF($A$4:$A$23,"*커피*",I4:I23)</t>
    <phoneticPr fontId="3" type="noConversion"/>
  </si>
  <si>
    <t>=SUMIFS(I4:I23,$L$4:$L$23,"&gt;=10",$L$4:$L$23,"&lt;15")</t>
    <phoneticPr fontId="3" type="noConversion"/>
  </si>
  <si>
    <t>차종류별 판매실적 분석</t>
    <phoneticPr fontId="3" type="noConversion"/>
  </si>
  <si>
    <t>`</t>
    <phoneticPr fontId="3" type="noConversion"/>
  </si>
  <si>
    <t>차종류</t>
    <phoneticPr fontId="3" type="noConversion"/>
  </si>
  <si>
    <t>판매계획</t>
    <phoneticPr fontId="3" type="noConversion"/>
  </si>
  <si>
    <t>판매실적</t>
    <phoneticPr fontId="3" type="noConversion"/>
  </si>
  <si>
    <t>상품별 주문 할인 현황</t>
  </si>
  <si>
    <t xml:space="preserve">상품명 </t>
  </si>
  <si>
    <t xml:space="preserve">성명 </t>
  </si>
  <si>
    <t xml:space="preserve">성별 </t>
  </si>
  <si>
    <t xml:space="preserve">주문수량 </t>
  </si>
  <si>
    <t xml:space="preserve">할인수량 </t>
  </si>
  <si>
    <t>재고금액</t>
  </si>
  <si>
    <t xml:space="preserve">주문금액 </t>
  </si>
  <si>
    <t xml:space="preserve">할인금액 </t>
  </si>
  <si>
    <t xml:space="preserve">지급금액 </t>
  </si>
  <si>
    <t>합계금액</t>
  </si>
  <si>
    <t xml:space="preserve">① </t>
  </si>
  <si>
    <t xml:space="preserve">② </t>
  </si>
  <si>
    <t xml:space="preserve">③ </t>
  </si>
  <si>
    <t xml:space="preserve">④ </t>
  </si>
  <si>
    <t>평균</t>
    <phoneticPr fontId="3" type="noConversion"/>
  </si>
  <si>
    <t>과자 또는 주스의 합계금액의 합</t>
    <phoneticPr fontId="3" type="noConversion"/>
  </si>
  <si>
    <t>⑦</t>
    <phoneticPr fontId="3" type="noConversion"/>
  </si>
  <si>
    <t xml:space="preserve">남성이면서 라면 또는 주스를 주문한 금액의 합 </t>
  </si>
  <si>
    <t xml:space="preserve">성이 김씨이면서 라면 또는 주스를 주문한 금액의 합 </t>
  </si>
  <si>
    <t xml:space="preserve">⑩ </t>
  </si>
  <si>
    <t xml:space="preserve">할인금액이 20000 이상 30000 미만인 합 </t>
  </si>
  <si>
    <t xml:space="preserve">⑪ </t>
  </si>
  <si>
    <t>⑫</t>
  </si>
  <si>
    <t>⑫</t>
    <phoneticPr fontId="3" type="noConversion"/>
  </si>
  <si>
    <t>⑧</t>
    <phoneticPr fontId="3" type="noConversion"/>
  </si>
  <si>
    <t>=SUMPRODUCT(ISNUMBER(FIND("과자",B5:B24))+ISNUMBER(FIND("주스",B5:B24)),L5:L24)</t>
    <phoneticPr fontId="3" type="noConversion"/>
  </si>
  <si>
    <t>성별</t>
    <phoneticPr fontId="3" type="noConversion"/>
  </si>
  <si>
    <t>상품명</t>
    <phoneticPr fontId="3" type="noConversion"/>
  </si>
  <si>
    <t>남성</t>
    <phoneticPr fontId="3" type="noConversion"/>
  </si>
  <si>
    <t>라면</t>
    <phoneticPr fontId="3" type="noConversion"/>
  </si>
  <si>
    <t>주스</t>
    <phoneticPr fontId="3" type="noConversion"/>
  </si>
  <si>
    <t>성별ㄴ</t>
    <phoneticPr fontId="3" type="noConversion"/>
  </si>
  <si>
    <t>상품명</t>
    <phoneticPr fontId="3" type="noConversion"/>
  </si>
  <si>
    <t>라면</t>
    <phoneticPr fontId="3" type="noConversion"/>
  </si>
  <si>
    <t>과자</t>
    <phoneticPr fontId="3" type="noConversion"/>
  </si>
  <si>
    <t>주스</t>
    <phoneticPr fontId="3" type="noConversion"/>
  </si>
  <si>
    <t>성명</t>
    <phoneticPr fontId="3" type="noConversion"/>
  </si>
  <si>
    <t>김*</t>
    <phoneticPr fontId="3" type="noConversion"/>
  </si>
  <si>
    <t>김*</t>
    <phoneticPr fontId="3" type="noConversion"/>
  </si>
  <si>
    <t>성명</t>
    <phoneticPr fontId="3" type="noConversion"/>
  </si>
  <si>
    <t>=SUMIFS(L5:L24,$J$5:$J$24,"&gt;=20000",$J$5:$J$24,"&lt;30000")</t>
    <phoneticPr fontId="3" type="noConversion"/>
  </si>
  <si>
    <t>아래식으로 도 가능</t>
    <phoneticPr fontId="3" type="noConversion"/>
  </si>
  <si>
    <t>=SUMPRODUCT((LEFT($C$5:$C$24,1)="김")*(($B$5:$B$24="라면")+($B$5:$B$24="주스")),K5:K24)</t>
    <phoneticPr fontId="3" type="noConversion"/>
  </si>
  <si>
    <t>딸기주스</t>
    <phoneticPr fontId="3" type="noConversion"/>
  </si>
  <si>
    <t>원두커피</t>
    <phoneticPr fontId="3" type="noConversion"/>
  </si>
  <si>
    <t>사과주스</t>
    <phoneticPr fontId="3" type="noConversion"/>
  </si>
  <si>
    <t>코리언커피</t>
    <phoneticPr fontId="3" type="noConversion"/>
  </si>
  <si>
    <t>아이스커피</t>
    <phoneticPr fontId="3" type="noConversion"/>
  </si>
  <si>
    <t>인삼차</t>
    <phoneticPr fontId="3" type="noConversion"/>
  </si>
  <si>
    <t>녹차</t>
    <phoneticPr fontId="3" type="noConversion"/>
  </si>
  <si>
    <t>오렌지커피</t>
    <phoneticPr fontId="3" type="noConversion"/>
  </si>
  <si>
    <t>쌍화차</t>
    <phoneticPr fontId="3" type="noConversion"/>
  </si>
  <si>
    <t>맥심커피</t>
    <phoneticPr fontId="3" type="noConversion"/>
  </si>
  <si>
    <t>홍차</t>
    <phoneticPr fontId="3" type="noConversion"/>
  </si>
  <si>
    <t>포도주스</t>
    <phoneticPr fontId="3" type="noConversion"/>
  </si>
  <si>
    <t>키위주스</t>
    <phoneticPr fontId="3" type="noConversion"/>
  </si>
  <si>
    <t>배주스</t>
    <phoneticPr fontId="3" type="noConversion"/>
  </si>
  <si>
    <t>옥수수차</t>
    <phoneticPr fontId="3" type="noConversion"/>
  </si>
  <si>
    <t>어성초</t>
    <phoneticPr fontId="3" type="noConversion"/>
  </si>
  <si>
    <t>꿀차</t>
    <phoneticPr fontId="3" type="noConversion"/>
  </si>
  <si>
    <t>카푸치노</t>
    <phoneticPr fontId="3" type="noConversion"/>
  </si>
  <si>
    <t>에스프레소</t>
    <phoneticPr fontId="3" type="noConversion"/>
  </si>
  <si>
    <t>우유</t>
    <phoneticPr fontId="3" type="noConversion"/>
  </si>
  <si>
    <t xml:space="preserve">대리점명 </t>
  </si>
  <si>
    <t xml:space="preserve">취급기종 </t>
  </si>
  <si>
    <t xml:space="preserve">상반기 </t>
  </si>
  <si>
    <t>하반기</t>
  </si>
  <si>
    <t>강동1</t>
    <phoneticPr fontId="3" type="noConversion"/>
  </si>
  <si>
    <t>강동2</t>
    <phoneticPr fontId="3" type="noConversion"/>
  </si>
  <si>
    <t>강서1</t>
    <phoneticPr fontId="3" type="noConversion"/>
  </si>
  <si>
    <t>강서2</t>
    <phoneticPr fontId="3" type="noConversion"/>
  </si>
  <si>
    <t>강서3</t>
    <phoneticPr fontId="3" type="noConversion"/>
  </si>
  <si>
    <t>수서1</t>
    <phoneticPr fontId="3" type="noConversion"/>
  </si>
  <si>
    <t>수서2</t>
    <phoneticPr fontId="3" type="noConversion"/>
  </si>
  <si>
    <t>수서3</t>
    <phoneticPr fontId="3" type="noConversion"/>
  </si>
  <si>
    <t>영등포1</t>
    <phoneticPr fontId="3" type="noConversion"/>
  </si>
  <si>
    <t>영등포2</t>
    <phoneticPr fontId="3" type="noConversion"/>
  </si>
  <si>
    <t>강남1</t>
    <phoneticPr fontId="3" type="noConversion"/>
  </si>
  <si>
    <t>강남2</t>
    <phoneticPr fontId="3" type="noConversion"/>
  </si>
  <si>
    <t>강남3</t>
    <phoneticPr fontId="3" type="noConversion"/>
  </si>
  <si>
    <t>강남4</t>
    <phoneticPr fontId="3" type="noConversion"/>
  </si>
  <si>
    <t>강북1</t>
    <phoneticPr fontId="3" type="noConversion"/>
  </si>
  <si>
    <t>강북2</t>
    <phoneticPr fontId="3" type="noConversion"/>
  </si>
  <si>
    <t>종로1</t>
    <phoneticPr fontId="3" type="noConversion"/>
  </si>
  <si>
    <t>종로2</t>
    <phoneticPr fontId="3" type="noConversion"/>
  </si>
  <si>
    <t>종로3</t>
    <phoneticPr fontId="3" type="noConversion"/>
  </si>
  <si>
    <t>종로4</t>
    <phoneticPr fontId="3" type="noConversion"/>
  </si>
  <si>
    <t>HP</t>
  </si>
  <si>
    <t>IBM</t>
  </si>
  <si>
    <t>Compaq</t>
  </si>
  <si>
    <t>Samsung</t>
  </si>
  <si>
    <t>Dell</t>
  </si>
  <si>
    <t>LG</t>
  </si>
  <si>
    <t>삼보</t>
  </si>
  <si>
    <t xml:space="preserve">총판매량 </t>
  </si>
  <si>
    <t xml:space="preserve">평균판매량 </t>
  </si>
  <si>
    <t xml:space="preserve">증가율 </t>
  </si>
  <si>
    <t>순위</t>
  </si>
  <si>
    <t xml:space="preserve">증가율 계산시 사용한 함수식 </t>
  </si>
  <si>
    <t xml:space="preserve">대리점명에"종로"를 포함하는 각 항목의 합 </t>
  </si>
  <si>
    <t xml:space="preserve">대리점명에 "2"를 포함한 합 </t>
  </si>
  <si>
    <t xml:space="preserve">대리점명에 "종로"를 포함하면서 취급기종이 "Dell"인 합 </t>
  </si>
  <si>
    <t xml:space="preserve">상반기 판매대수가 130 이상 180 미만인 합 </t>
  </si>
  <si>
    <t>⑩</t>
    <phoneticPr fontId="3" type="noConversion"/>
  </si>
  <si>
    <t>우혁정보기기 컴퓨터 판매 현황</t>
  </si>
  <si>
    <t>HP</t>
    <phoneticPr fontId="3" type="noConversion"/>
  </si>
  <si>
    <t>IBM</t>
    <phoneticPr fontId="3" type="noConversion"/>
  </si>
  <si>
    <t>검침 내역 현황</t>
  </si>
  <si>
    <t xml:space="preserve">고객번호 </t>
  </si>
  <si>
    <t xml:space="preserve">전월지침 </t>
  </si>
  <si>
    <t xml:space="preserve">당월지침 </t>
  </si>
  <si>
    <t xml:space="preserve">자동이체 </t>
  </si>
  <si>
    <t>미납액</t>
  </si>
  <si>
    <t>실시</t>
  </si>
  <si>
    <t xml:space="preserve">실시 </t>
  </si>
  <si>
    <t>고객번호</t>
    <phoneticPr fontId="3" type="noConversion"/>
  </si>
  <si>
    <t>H-101-12</t>
  </si>
  <si>
    <t>O-103-54</t>
  </si>
  <si>
    <t>O-103-82</t>
  </si>
  <si>
    <t>H-101-31</t>
  </si>
  <si>
    <t>O-103-83</t>
  </si>
  <si>
    <t>H-101-22</t>
  </si>
  <si>
    <t>H-101-30</t>
  </si>
  <si>
    <t>F-102-45</t>
  </si>
  <si>
    <t>F-102-46</t>
  </si>
  <si>
    <t>F-102-87</t>
  </si>
  <si>
    <t>O-202-87</t>
  </si>
  <si>
    <t>H-203-87</t>
  </si>
  <si>
    <t>H-204-87</t>
  </si>
  <si>
    <t>H-205-87</t>
  </si>
  <si>
    <t>F-206-87</t>
  </si>
  <si>
    <t>O-207-87</t>
  </si>
  <si>
    <t>O-208-87</t>
  </si>
  <si>
    <t>F-209-87</t>
  </si>
  <si>
    <t>F-210-87</t>
  </si>
  <si>
    <t>O-211-87</t>
  </si>
  <si>
    <t>구분</t>
    <phoneticPr fontId="3" type="noConversion"/>
  </si>
  <si>
    <t xml:space="preserve">사용량 </t>
  </si>
  <si>
    <t xml:space="preserve">사용금액 </t>
  </si>
  <si>
    <t>납부금액</t>
  </si>
  <si>
    <t>요금합계</t>
    <phoneticPr fontId="3" type="noConversion"/>
  </si>
  <si>
    <t>고객번호 끝자리가 "87"인 고객들의 합</t>
    <phoneticPr fontId="3" type="noConversion"/>
  </si>
  <si>
    <t xml:space="preserve">사용금액이 1,000 이상 15,000 미만인 합 </t>
    <phoneticPr fontId="3" type="noConversion"/>
  </si>
  <si>
    <t>자동이체 실시 고객 수</t>
    <phoneticPr fontId="3" type="noConversion"/>
  </si>
  <si>
    <t>⑫</t>
    <phoneticPr fontId="3" type="noConversion"/>
  </si>
  <si>
    <t>⑬</t>
  </si>
  <si>
    <t>⑬</t>
    <phoneticPr fontId="3" type="noConversion"/>
  </si>
  <si>
    <t>⑨</t>
    <phoneticPr fontId="3" type="noConversion"/>
  </si>
  <si>
    <t>⑪</t>
    <phoneticPr fontId="3" type="noConversion"/>
  </si>
  <si>
    <t>실시</t>
    <phoneticPr fontId="3" type="noConversion"/>
  </si>
  <si>
    <t>실시</t>
    <phoneticPr fontId="3" type="noConversion"/>
  </si>
  <si>
    <t>가정용</t>
    <phoneticPr fontId="3" type="noConversion"/>
  </si>
  <si>
    <t>공장용</t>
    <phoneticPr fontId="3" type="noConversion"/>
  </si>
  <si>
    <t>사무용</t>
    <phoneticPr fontId="3" type="noConversion"/>
  </si>
  <si>
    <t>=SUMIF($B$4:$B$23,$D24,H$4:H$23)</t>
    <phoneticPr fontId="3" type="noConversion"/>
  </si>
  <si>
    <t>=SUMIF($A$4:$A$23,"*87",H4:H23)</t>
    <phoneticPr fontId="3" type="noConversion"/>
  </si>
  <si>
    <t xml:space="preserve">고객명 </t>
  </si>
  <si>
    <t xml:space="preserve">분류 </t>
  </si>
  <si>
    <t xml:space="preserve">기본포인트 </t>
  </si>
  <si>
    <t>구매금액</t>
  </si>
  <si>
    <t>상반기 포인트 점수 서비스</t>
    <phoneticPr fontId="3" type="noConversion"/>
  </si>
  <si>
    <t>MA101</t>
  </si>
  <si>
    <t>이승주</t>
  </si>
  <si>
    <t>우수</t>
  </si>
  <si>
    <t>MC102</t>
  </si>
  <si>
    <t>박윤정</t>
  </si>
  <si>
    <t>신규</t>
  </si>
  <si>
    <t>MB103</t>
  </si>
  <si>
    <t>이광주</t>
  </si>
  <si>
    <t>일반</t>
  </si>
  <si>
    <t>MC104</t>
  </si>
  <si>
    <t>정영일</t>
  </si>
  <si>
    <t>MA105</t>
  </si>
  <si>
    <t>김승미</t>
  </si>
  <si>
    <t>MC106</t>
  </si>
  <si>
    <t>이소라</t>
  </si>
  <si>
    <t>MA107</t>
  </si>
  <si>
    <t>이우정</t>
  </si>
  <si>
    <t>MC108</t>
  </si>
  <si>
    <t>이선화</t>
  </si>
  <si>
    <t>MB109</t>
  </si>
  <si>
    <t>정희영</t>
  </si>
  <si>
    <t>MB110</t>
  </si>
  <si>
    <t>정은지</t>
  </si>
  <si>
    <t>MA111</t>
  </si>
  <si>
    <t>박유미</t>
  </si>
  <si>
    <t>MC112</t>
  </si>
  <si>
    <t>김민수</t>
  </si>
  <si>
    <t>MA113</t>
  </si>
  <si>
    <t>조선남</t>
  </si>
  <si>
    <t>MA114</t>
  </si>
  <si>
    <t>이윤열</t>
  </si>
  <si>
    <t>MA115</t>
  </si>
  <si>
    <t>김제동</t>
  </si>
  <si>
    <t>MB116</t>
  </si>
  <si>
    <t>마재윤</t>
  </si>
  <si>
    <t>MA117</t>
  </si>
  <si>
    <t>송병구</t>
  </si>
  <si>
    <t>MA118</t>
  </si>
  <si>
    <t>홍진호</t>
  </si>
  <si>
    <t>MA119</t>
  </si>
  <si>
    <t>김대희</t>
  </si>
  <si>
    <t>MC120</t>
  </si>
  <si>
    <t>설경구</t>
  </si>
  <si>
    <t xml:space="preserve">실적포인트 </t>
  </si>
  <si>
    <t xml:space="preserve">총포인트 </t>
  </si>
  <si>
    <t xml:space="preserve">사은품 </t>
  </si>
  <si>
    <t xml:space="preserve">평균 </t>
  </si>
  <si>
    <t xml:space="preserve">⑤ </t>
  </si>
  <si>
    <t xml:space="preserve">사은품이 "상품권"인 합 </t>
  </si>
  <si>
    <t xml:space="preserve">사은품이 "청소기"인 합 </t>
  </si>
  <si>
    <t xml:space="preserve">"이"씨이면서 고객번호 "MA"로 시작하는
각 합 </t>
  </si>
  <si>
    <t xml:space="preserve">순위가 10 이상 15 미만인 각 항목 합계 </t>
  </si>
  <si>
    <t>진진백화점 사은품 증정 내역</t>
    <phoneticPr fontId="3" type="noConversion"/>
  </si>
  <si>
    <t>=SUMIFS(G4:G23,$I$4:$I$23,"&gt;=10",$I$4:$I$23,"&lt;15")</t>
    <phoneticPr fontId="3" type="noConversion"/>
  </si>
  <si>
    <t>=SUMIF($H$4:$H$23,"상품권",G4:G23)</t>
    <phoneticPr fontId="3" type="noConversion"/>
  </si>
  <si>
    <t xml:space="preserve">품목코드 </t>
  </si>
  <si>
    <t xml:space="preserve">품목이름 </t>
  </si>
  <si>
    <t xml:space="preserve">출고량 </t>
  </si>
  <si>
    <t>입고가</t>
  </si>
  <si>
    <t>SS-218</t>
  </si>
  <si>
    <t>스캐너</t>
  </si>
  <si>
    <t>SS-219</t>
  </si>
  <si>
    <t>LM-229</t>
  </si>
  <si>
    <t>모니터</t>
  </si>
  <si>
    <t>PT-202</t>
  </si>
  <si>
    <t>프린터</t>
  </si>
  <si>
    <t>LM-227</t>
  </si>
  <si>
    <t>PT-205</t>
  </si>
  <si>
    <t>PT-204</t>
  </si>
  <si>
    <t>LM-228</t>
  </si>
  <si>
    <t>PT-203</t>
  </si>
  <si>
    <t>MS-214</t>
  </si>
  <si>
    <t>마우스</t>
  </si>
  <si>
    <t>MS-215</t>
  </si>
  <si>
    <t>SS-220</t>
  </si>
  <si>
    <t>LM-239</t>
  </si>
  <si>
    <t>PT-232</t>
  </si>
  <si>
    <t>LM-237</t>
  </si>
  <si>
    <t>PT-235</t>
  </si>
  <si>
    <t>PT-234</t>
  </si>
  <si>
    <t>LM-238</t>
  </si>
  <si>
    <t>PT-233</t>
  </si>
  <si>
    <t>MS-234</t>
  </si>
  <si>
    <t>품목명</t>
    <phoneticPr fontId="3" type="noConversion"/>
  </si>
  <si>
    <t xml:space="preserve">출고가 </t>
  </si>
  <si>
    <t xml:space="preserve">거래금액 </t>
  </si>
  <si>
    <t xml:space="preserve">이익금액 </t>
  </si>
  <si>
    <t xml:space="preserve">평가 </t>
  </si>
  <si>
    <t>품목별 합계</t>
  </si>
  <si>
    <t xml:space="preserve">평가가 A급인 제품의 이익금액 합계 </t>
  </si>
  <si>
    <t>품목이름이 마우스이고 출고가가 7,000이상인
품목들의 합</t>
    <phoneticPr fontId="3" type="noConversion"/>
  </si>
  <si>
    <t>거래 이익금 현황</t>
    <phoneticPr fontId="3" type="noConversion"/>
  </si>
  <si>
    <t>이익금액이 1,000,000 이상 2,000,000 미만
품목들의 합</t>
    <phoneticPr fontId="3" type="noConversion"/>
  </si>
  <si>
    <t>프린터</t>
    <phoneticPr fontId="3" type="noConversion"/>
  </si>
  <si>
    <t>모니터</t>
    <phoneticPr fontId="3" type="noConversion"/>
  </si>
  <si>
    <t>=SUMIFS(H4:H23,H4:H23,"&gt;=1000000",H4:H23,"&lt;2000000")</t>
    <phoneticPr fontId="3" type="noConversion"/>
  </si>
  <si>
    <t>=CONCATENATE(LEFT(A4,2),"#",B4)</t>
    <phoneticPr fontId="3" type="noConversion"/>
  </si>
  <si>
    <t>품목이름이 마우스이고 출고가가 7,000이상인
 품목들의 합</t>
    <phoneticPr fontId="3" type="noConversion"/>
  </si>
  <si>
    <t>=SUMIF($A$4:$A$23,"*종로*",E4:E23)</t>
    <phoneticPr fontId="3" type="noConversion"/>
  </si>
  <si>
    <t>=ROUND(D4/C4,1)</t>
    <phoneticPr fontId="3" type="noConversion"/>
  </si>
  <si>
    <t>딸기주스</t>
  </si>
  <si>
    <t>사과주스</t>
  </si>
  <si>
    <t>포도주스</t>
  </si>
  <si>
    <t>맥심커피</t>
  </si>
  <si>
    <t>옥수수차</t>
  </si>
  <si>
    <t>꿀차</t>
  </si>
  <si>
    <t>에스프레소</t>
  </si>
  <si>
    <t>녹차</t>
  </si>
  <si>
    <t>배주스</t>
  </si>
  <si>
    <t>어성초</t>
  </si>
  <si>
    <t>원두커피</t>
  </si>
  <si>
    <t>인삼차</t>
  </si>
  <si>
    <t>쌍화차</t>
  </si>
  <si>
    <t>아이스커피</t>
  </si>
  <si>
    <t>오렌지커피</t>
  </si>
  <si>
    <t>코리언커피</t>
  </si>
  <si>
    <t>우유</t>
  </si>
  <si>
    <t>카푸치노</t>
  </si>
  <si>
    <t>키위주스</t>
  </si>
  <si>
    <t>홍차</t>
  </si>
  <si>
    <t>라면</t>
  </si>
  <si>
    <t>김기철</t>
  </si>
  <si>
    <t>과자</t>
  </si>
  <si>
    <t>박철순</t>
  </si>
  <si>
    <t>주스</t>
  </si>
  <si>
    <t>권민자</t>
  </si>
  <si>
    <t>곽해남</t>
  </si>
  <si>
    <t>표진영</t>
  </si>
  <si>
    <t>황현철</t>
  </si>
  <si>
    <t>하석주</t>
  </si>
  <si>
    <t>박수진</t>
  </si>
  <si>
    <t>김천진</t>
  </si>
  <si>
    <t>김준희</t>
  </si>
  <si>
    <t>이남호</t>
  </si>
  <si>
    <t>임수영</t>
  </si>
  <si>
    <t>이수영</t>
  </si>
  <si>
    <t>조경태</t>
  </si>
  <si>
    <t>김동희</t>
  </si>
  <si>
    <t>이지성</t>
  </si>
  <si>
    <t>김성주</t>
  </si>
  <si>
    <t>서정만</t>
  </si>
  <si>
    <t>이지연</t>
  </si>
  <si>
    <t>김희숙</t>
  </si>
  <si>
    <t>실시</t>
    <phoneticPr fontId="3" type="noConversion"/>
  </si>
  <si>
    <t>실시</t>
    <phoneticPr fontId="3" type="noConversion"/>
  </si>
  <si>
    <t>가정용</t>
    <phoneticPr fontId="3" type="noConversion"/>
  </si>
  <si>
    <t>공장용</t>
    <phoneticPr fontId="3" type="noConversion"/>
  </si>
  <si>
    <t>사무용</t>
    <phoneticPr fontId="3" type="noConversion"/>
  </si>
  <si>
    <t>프린터</t>
    <phoneticPr fontId="3" type="noConversion"/>
  </si>
  <si>
    <t>모니터</t>
    <phoneticPr fontId="3" type="noConversion"/>
  </si>
  <si>
    <t>요금 현황 분석</t>
    <phoneticPr fontId="3" type="noConversion"/>
  </si>
  <si>
    <t>요금 현황 분석</t>
    <phoneticPr fontId="3" type="noConversion"/>
  </si>
  <si>
    <t>상품별 주문 금액 계산</t>
    <phoneticPr fontId="3" type="noConversion"/>
  </si>
  <si>
    <t>상품별 주문 금액 계산</t>
    <phoneticPr fontId="3" type="noConversion"/>
  </si>
  <si>
    <t>=SUMPRODUCT(($H$5:$H$24="남성")*(($B$5:$B$24="라면")+($B$5:$B$24="주스")),K5:K24)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</si>
</sst>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&quot;₩&quot;#,##0"/>
    <numFmt numFmtId="178" formatCode="&quot;₩&quot;#,##0_);[Red]\(&quot;₩&quot;#,##0\)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6"/>
      <color rgb="FF00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u/>
      <sz val="20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u/>
      <sz val="2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2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9" fontId="2" fillId="0" borderId="1" xfId="1" applyFont="1" applyBorder="1" applyAlignment="1"/>
    <xf numFmtId="9" fontId="4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vertical="center" wrapText="1"/>
    </xf>
    <xf numFmtId="177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NumberFormat="1" applyFont="1" applyBorder="1" applyAlignment="1">
      <alignment vertical="center" wrapText="1"/>
    </xf>
    <xf numFmtId="9" fontId="6" fillId="0" borderId="1" xfId="0" applyNumberFormat="1" applyFont="1" applyBorder="1" applyAlignment="1">
      <alignment vertical="center" wrapText="1"/>
    </xf>
    <xf numFmtId="0" fontId="7" fillId="2" borderId="1" xfId="0" applyFont="1" applyFill="1" applyBorder="1"/>
    <xf numFmtId="0" fontId="6" fillId="0" borderId="21" xfId="0" applyFont="1" applyBorder="1" applyAlignment="1">
      <alignment horizontal="center" vertical="center" wrapText="1"/>
    </xf>
    <xf numFmtId="176" fontId="6" fillId="0" borderId="21" xfId="0" applyNumberFormat="1" applyFont="1" applyBorder="1" applyAlignment="1">
      <alignment vertical="center" wrapText="1"/>
    </xf>
    <xf numFmtId="177" fontId="6" fillId="0" borderId="21" xfId="0" applyNumberFormat="1" applyFont="1" applyBorder="1" applyAlignment="1">
      <alignment vertical="center" wrapText="1"/>
    </xf>
    <xf numFmtId="0" fontId="7" fillId="0" borderId="21" xfId="0" applyNumberFormat="1" applyFont="1" applyBorder="1" applyAlignment="1"/>
    <xf numFmtId="177" fontId="7" fillId="0" borderId="21" xfId="0" applyNumberFormat="1" applyFont="1" applyBorder="1" applyAlignment="1"/>
    <xf numFmtId="9" fontId="7" fillId="0" borderId="21" xfId="1" applyFont="1" applyBorder="1" applyAlignment="1"/>
    <xf numFmtId="0" fontId="7" fillId="0" borderId="21" xfId="0" applyFont="1" applyBorder="1" applyAlignment="1"/>
    <xf numFmtId="0" fontId="6" fillId="0" borderId="9" xfId="0" applyFont="1" applyBorder="1" applyAlignment="1">
      <alignment horizontal="center" vertical="center" wrapText="1"/>
    </xf>
    <xf numFmtId="176" fontId="6" fillId="0" borderId="9" xfId="0" applyNumberFormat="1" applyFont="1" applyBorder="1" applyAlignment="1">
      <alignment vertical="center" wrapText="1"/>
    </xf>
    <xf numFmtId="177" fontId="6" fillId="0" borderId="9" xfId="0" applyNumberFormat="1" applyFont="1" applyBorder="1" applyAlignment="1">
      <alignment vertical="center" wrapText="1"/>
    </xf>
    <xf numFmtId="0" fontId="7" fillId="0" borderId="9" xfId="0" applyNumberFormat="1" applyFont="1" applyBorder="1" applyAlignment="1"/>
    <xf numFmtId="177" fontId="7" fillId="0" borderId="9" xfId="0" applyNumberFormat="1" applyFont="1" applyBorder="1" applyAlignment="1"/>
    <xf numFmtId="9" fontId="7" fillId="0" borderId="9" xfId="1" applyFont="1" applyBorder="1" applyAlignment="1"/>
    <xf numFmtId="0" fontId="7" fillId="0" borderId="9" xfId="0" applyFont="1" applyBorder="1" applyAlignment="1"/>
    <xf numFmtId="0" fontId="6" fillId="0" borderId="22" xfId="0" applyFont="1" applyBorder="1" applyAlignment="1">
      <alignment horizontal="center" vertical="center" wrapText="1"/>
    </xf>
    <xf numFmtId="176" fontId="6" fillId="0" borderId="22" xfId="0" applyNumberFormat="1" applyFont="1" applyBorder="1" applyAlignment="1">
      <alignment vertical="center" wrapText="1"/>
    </xf>
    <xf numFmtId="177" fontId="6" fillId="0" borderId="22" xfId="0" applyNumberFormat="1" applyFont="1" applyBorder="1" applyAlignment="1">
      <alignment vertical="center" wrapText="1"/>
    </xf>
    <xf numFmtId="0" fontId="7" fillId="0" borderId="22" xfId="0" applyNumberFormat="1" applyFont="1" applyBorder="1" applyAlignment="1"/>
    <xf numFmtId="177" fontId="7" fillId="0" borderId="22" xfId="0" applyNumberFormat="1" applyFont="1" applyBorder="1" applyAlignment="1"/>
    <xf numFmtId="9" fontId="7" fillId="0" borderId="22" xfId="1" applyFont="1" applyBorder="1" applyAlignment="1"/>
    <xf numFmtId="0" fontId="7" fillId="0" borderId="22" xfId="0" applyFont="1" applyBorder="1" applyAlignment="1"/>
    <xf numFmtId="0" fontId="4" fillId="0" borderId="0" xfId="0" applyFont="1"/>
    <xf numFmtId="0" fontId="4" fillId="0" borderId="0" xfId="0" applyFont="1" applyBorder="1"/>
    <xf numFmtId="0" fontId="2" fillId="0" borderId="0" xfId="0" applyFont="1" applyBorder="1"/>
    <xf numFmtId="0" fontId="7" fillId="0" borderId="0" xfId="0" quotePrefix="1" applyFont="1"/>
    <xf numFmtId="0" fontId="7" fillId="0" borderId="0" xfId="0" applyFont="1" applyFill="1" applyBorder="1"/>
    <xf numFmtId="0" fontId="6" fillId="0" borderId="21" xfId="0" applyFont="1" applyBorder="1" applyAlignment="1">
      <alignment vertical="center" wrapText="1"/>
    </xf>
    <xf numFmtId="3" fontId="6" fillId="0" borderId="21" xfId="0" applyNumberFormat="1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3" fontId="6" fillId="0" borderId="9" xfId="0" applyNumberFormat="1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3" fontId="6" fillId="0" borderId="22" xfId="0" applyNumberFormat="1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9" fontId="6" fillId="0" borderId="21" xfId="1" applyFont="1" applyBorder="1" applyAlignment="1">
      <alignment vertical="center" wrapText="1"/>
    </xf>
    <xf numFmtId="9" fontId="6" fillId="0" borderId="9" xfId="1" applyFont="1" applyBorder="1" applyAlignment="1">
      <alignment vertical="center" wrapText="1"/>
    </xf>
    <xf numFmtId="9" fontId="6" fillId="0" borderId="22" xfId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3" fontId="12" fillId="0" borderId="1" xfId="0" applyNumberFormat="1" applyFont="1" applyBorder="1" applyAlignment="1">
      <alignment vertical="center" wrapText="1"/>
    </xf>
    <xf numFmtId="0" fontId="11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/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vertical="center" wrapText="1"/>
    </xf>
    <xf numFmtId="0" fontId="15" fillId="0" borderId="21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5" fillId="0" borderId="9" xfId="0" applyFont="1" applyBorder="1" applyAlignment="1">
      <alignment horizontal="center"/>
    </xf>
    <xf numFmtId="0" fontId="14" fillId="0" borderId="22" xfId="0" applyFont="1" applyBorder="1" applyAlignment="1">
      <alignment horizontal="center" vertical="center" wrapText="1"/>
    </xf>
    <xf numFmtId="0" fontId="14" fillId="0" borderId="22" xfId="0" applyFont="1" applyBorder="1" applyAlignment="1">
      <alignment vertical="center" wrapText="1"/>
    </xf>
    <xf numFmtId="0" fontId="15" fillId="0" borderId="22" xfId="0" applyFont="1" applyBorder="1" applyAlignment="1">
      <alignment horizontal="center"/>
    </xf>
    <xf numFmtId="3" fontId="15" fillId="0" borderId="0" xfId="0" applyNumberFormat="1" applyFont="1"/>
    <xf numFmtId="177" fontId="14" fillId="0" borderId="21" xfId="0" applyNumberFormat="1" applyFont="1" applyBorder="1" applyAlignment="1">
      <alignment vertical="center" wrapText="1"/>
    </xf>
    <xf numFmtId="177" fontId="14" fillId="0" borderId="9" xfId="0" applyNumberFormat="1" applyFont="1" applyBorder="1" applyAlignment="1">
      <alignment vertical="center" wrapText="1"/>
    </xf>
    <xf numFmtId="177" fontId="15" fillId="0" borderId="9" xfId="0" applyNumberFormat="1" applyFont="1" applyBorder="1" applyAlignment="1"/>
    <xf numFmtId="177" fontId="14" fillId="0" borderId="22" xfId="0" applyNumberFormat="1" applyFont="1" applyBorder="1" applyAlignment="1">
      <alignment vertical="center" wrapText="1"/>
    </xf>
    <xf numFmtId="177" fontId="14" fillId="0" borderId="1" xfId="0" applyNumberFormat="1" applyFont="1" applyBorder="1" applyAlignment="1">
      <alignment horizontal="center" vertical="center" wrapText="1"/>
    </xf>
    <xf numFmtId="177" fontId="14" fillId="0" borderId="1" xfId="0" applyNumberFormat="1" applyFont="1" applyBorder="1" applyAlignment="1">
      <alignment vertical="center" wrapText="1"/>
    </xf>
    <xf numFmtId="177" fontId="15" fillId="0" borderId="1" xfId="0" applyNumberFormat="1" applyFont="1" applyBorder="1" applyAlignment="1"/>
    <xf numFmtId="177" fontId="15" fillId="0" borderId="22" xfId="0" applyNumberFormat="1" applyFont="1" applyBorder="1" applyAlignment="1"/>
    <xf numFmtId="0" fontId="12" fillId="2" borderId="1" xfId="0" applyFont="1" applyFill="1" applyBorder="1" applyAlignment="1">
      <alignment vertical="center" wrapText="1"/>
    </xf>
    <xf numFmtId="0" fontId="12" fillId="0" borderId="6" xfId="0" applyFont="1" applyBorder="1" applyAlignment="1"/>
    <xf numFmtId="0" fontId="14" fillId="2" borderId="1" xfId="0" applyFont="1" applyFill="1" applyBorder="1" applyAlignment="1">
      <alignment horizontal="center" vertical="center" wrapText="1"/>
    </xf>
    <xf numFmtId="178" fontId="14" fillId="0" borderId="21" xfId="0" applyNumberFormat="1" applyFont="1" applyBorder="1" applyAlignment="1">
      <alignment vertical="center" wrapText="1"/>
    </xf>
    <xf numFmtId="178" fontId="14" fillId="0" borderId="9" xfId="0" applyNumberFormat="1" applyFont="1" applyBorder="1" applyAlignment="1">
      <alignment vertical="center" wrapText="1"/>
    </xf>
    <xf numFmtId="178" fontId="14" fillId="0" borderId="22" xfId="0" applyNumberFormat="1" applyFont="1" applyBorder="1" applyAlignment="1">
      <alignment vertical="center" wrapText="1"/>
    </xf>
    <xf numFmtId="0" fontId="14" fillId="0" borderId="21" xfId="0" applyNumberFormat="1" applyFont="1" applyBorder="1" applyAlignment="1">
      <alignment vertical="center" wrapText="1"/>
    </xf>
    <xf numFmtId="0" fontId="14" fillId="0" borderId="9" xfId="0" applyNumberFormat="1" applyFont="1" applyBorder="1" applyAlignment="1">
      <alignment vertical="center" wrapText="1"/>
    </xf>
    <xf numFmtId="0" fontId="14" fillId="0" borderId="22" xfId="0" applyNumberFormat="1" applyFont="1" applyBorder="1" applyAlignment="1">
      <alignment vertical="center" wrapText="1"/>
    </xf>
    <xf numFmtId="0" fontId="14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/>
    <xf numFmtId="177" fontId="6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176" fontId="7" fillId="0" borderId="0" xfId="0" applyNumberFormat="1" applyFont="1"/>
    <xf numFmtId="177" fontId="16" fillId="0" borderId="1" xfId="0" applyNumberFormat="1" applyFont="1" applyBorder="1" applyAlignment="1">
      <alignment vertical="center" wrapText="1"/>
    </xf>
    <xf numFmtId="0" fontId="17" fillId="0" borderId="0" xfId="0" applyFont="1"/>
    <xf numFmtId="177" fontId="17" fillId="0" borderId="1" xfId="0" applyNumberFormat="1" applyFont="1" applyBorder="1" applyAlignment="1">
      <alignment vertical="center"/>
    </xf>
    <xf numFmtId="178" fontId="6" fillId="0" borderId="21" xfId="0" applyNumberFormat="1" applyFont="1" applyBorder="1" applyAlignment="1">
      <alignment vertical="center" wrapText="1"/>
    </xf>
    <xf numFmtId="178" fontId="6" fillId="0" borderId="9" xfId="0" applyNumberFormat="1" applyFont="1" applyBorder="1" applyAlignment="1">
      <alignment vertical="center" wrapText="1"/>
    </xf>
    <xf numFmtId="178" fontId="6" fillId="0" borderId="22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176" fontId="6" fillId="2" borderId="21" xfId="0" applyNumberFormat="1" applyFont="1" applyFill="1" applyBorder="1" applyAlignment="1">
      <alignment vertical="center" wrapText="1"/>
    </xf>
    <xf numFmtId="176" fontId="6" fillId="0" borderId="9" xfId="0" applyNumberFormat="1" applyFont="1" applyFill="1" applyBorder="1" applyAlignment="1">
      <alignment vertical="center" wrapText="1"/>
    </xf>
    <xf numFmtId="176" fontId="6" fillId="0" borderId="22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" xfId="0" quotePrefix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4" fillId="0" borderId="7" xfId="0" quotePrefix="1" applyFont="1" applyFill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horizontal="center" vertical="center" wrapText="1"/>
    </xf>
    <xf numFmtId="0" fontId="14" fillId="0" borderId="8" xfId="0" quotePrefix="1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6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800" b="0" i="0" u="sng" strike="noStrike" baseline="0">
                <a:effectLst/>
              </a:rPr>
              <a:t>계획 대비 실적 현황 </a:t>
            </a:r>
            <a:endParaRPr lang="ko-KR" altLang="en-US" sz="1800" u="sn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SP7완!$K$33</c:f>
              <c:strCache>
                <c:ptCount val="1"/>
                <c:pt idx="0">
                  <c:v>판매실적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SP7완!$I$34:$I$37</c:f>
              <c:strCache>
                <c:ptCount val="4"/>
                <c:pt idx="0">
                  <c:v>사과주스 </c:v>
                </c:pt>
                <c:pt idx="1">
                  <c:v>포도주스 </c:v>
                </c:pt>
                <c:pt idx="2">
                  <c:v>맥심커피 </c:v>
                </c:pt>
                <c:pt idx="3">
                  <c:v>옥수수차 </c:v>
                </c:pt>
              </c:strCache>
            </c:strRef>
          </c:cat>
          <c:val>
            <c:numRef>
              <c:f>SP7완!$K$34:$K$37</c:f>
              <c:numCache>
                <c:formatCode>General</c:formatCode>
                <c:ptCount val="4"/>
                <c:pt idx="0">
                  <c:v>709</c:v>
                </c:pt>
                <c:pt idx="1">
                  <c:v>940</c:v>
                </c:pt>
                <c:pt idx="2">
                  <c:v>1101</c:v>
                </c:pt>
                <c:pt idx="3">
                  <c:v>1210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5B-45FF-82AD-2B6A16666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875392"/>
        <c:axId val="115106944"/>
      </c:barChart>
      <c:lineChart>
        <c:grouping val="standard"/>
        <c:varyColors val="0"/>
        <c:ser>
          <c:idx val="0"/>
          <c:order val="0"/>
          <c:tx>
            <c:strRef>
              <c:f>SP7완!$J$33</c:f>
              <c:strCache>
                <c:ptCount val="1"/>
                <c:pt idx="0">
                  <c:v>판매계획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SP7완!$I$34:$I$37</c:f>
              <c:strCache>
                <c:ptCount val="4"/>
                <c:pt idx="0">
                  <c:v>사과주스 </c:v>
                </c:pt>
                <c:pt idx="1">
                  <c:v>포도주스 </c:v>
                </c:pt>
                <c:pt idx="2">
                  <c:v>맥심커피 </c:v>
                </c:pt>
                <c:pt idx="3">
                  <c:v>옥수수차 </c:v>
                </c:pt>
              </c:strCache>
            </c:strRef>
          </c:cat>
          <c:val>
            <c:numRef>
              <c:f>SP7완!$J$34:$J$37</c:f>
              <c:numCache>
                <c:formatCode>0_);[Red]\(0\)</c:formatCode>
                <c:ptCount val="4"/>
                <c:pt idx="0">
                  <c:v>1300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B5B-45FF-82AD-2B6A16666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75392"/>
        <c:axId val="115106944"/>
      </c:lineChart>
      <c:catAx>
        <c:axId val="11487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차종류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106944"/>
        <c:crosses val="autoZero"/>
        <c:auto val="1"/>
        <c:lblAlgn val="ctr"/>
        <c:lblOffset val="100"/>
        <c:noMultiLvlLbl val="0"/>
      </c:catAx>
      <c:valAx>
        <c:axId val="1151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수량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87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여성 주문 금액 계산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SP8완!$L$4</c:f>
              <c:strCache>
                <c:ptCount val="1"/>
                <c:pt idx="0">
                  <c:v>합계금액</c:v>
                </c:pt>
              </c:strCache>
            </c:strRef>
          </c:tx>
          <c:invertIfNegative val="0"/>
          <c:cat>
            <c:strRef>
              <c:f>SP8완!$C$5:$C$12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SP8완!$L$5:$L$12</c:f>
              <c:numCache>
                <c:formatCode>"₩"#,##0</c:formatCode>
                <c:ptCount val="8"/>
                <c:pt idx="0">
                  <c:v>1588000</c:v>
                </c:pt>
                <c:pt idx="1">
                  <c:v>1049600</c:v>
                </c:pt>
                <c:pt idx="2">
                  <c:v>1030400</c:v>
                </c:pt>
                <c:pt idx="3">
                  <c:v>997600</c:v>
                </c:pt>
                <c:pt idx="4">
                  <c:v>932500</c:v>
                </c:pt>
                <c:pt idx="5">
                  <c:v>781500</c:v>
                </c:pt>
                <c:pt idx="6">
                  <c:v>761500</c:v>
                </c:pt>
                <c:pt idx="7">
                  <c:v>701500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EC5-4A57-9D9E-FAC8A3341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432896"/>
        <c:axId val="115109824"/>
      </c:barChart>
      <c:lineChart>
        <c:grouping val="standard"/>
        <c:varyColors val="0"/>
        <c:ser>
          <c:idx val="0"/>
          <c:order val="0"/>
          <c:tx>
            <c:strRef>
              <c:f>SP8완!$I$4</c:f>
              <c:strCache>
                <c:ptCount val="1"/>
                <c:pt idx="0">
                  <c:v>주문금액 </c:v>
                </c:pt>
              </c:strCache>
            </c:strRef>
          </c:tx>
          <c:cat>
            <c:strRef>
              <c:f>SP8완!$C$5:$C$12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SP8완!$I$5:$I$12</c:f>
              <c:numCache>
                <c:formatCode>"₩"#,##0</c:formatCode>
                <c:ptCount val="8"/>
                <c:pt idx="0">
                  <c:v>522600</c:v>
                </c:pt>
                <c:pt idx="1">
                  <c:v>273000</c:v>
                </c:pt>
                <c:pt idx="2">
                  <c:v>179400</c:v>
                </c:pt>
                <c:pt idx="3">
                  <c:v>366600</c:v>
                </c:pt>
                <c:pt idx="4">
                  <c:v>130500</c:v>
                </c:pt>
                <c:pt idx="5">
                  <c:v>148500</c:v>
                </c:pt>
                <c:pt idx="6">
                  <c:v>337500</c:v>
                </c:pt>
                <c:pt idx="7">
                  <c:v>157500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EC5-4A57-9D9E-FAC8A3341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32896"/>
        <c:axId val="115109824"/>
      </c:lineChart>
      <c:catAx>
        <c:axId val="11643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성명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15109824"/>
        <c:crosses val="autoZero"/>
        <c:auto val="1"/>
        <c:lblAlgn val="ctr"/>
        <c:lblOffset val="100"/>
        <c:noMultiLvlLbl val="0"/>
      </c:catAx>
      <c:valAx>
        <c:axId val="115109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layout/>
          <c:overlay val="0"/>
        </c:title>
        <c:numFmt formatCode="&quot;₩&quot;#,##0" sourceLinked="1"/>
        <c:majorTickMark val="out"/>
        <c:minorTickMark val="none"/>
        <c:tickLblPos val="nextTo"/>
        <c:crossAx val="116432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컴퓨터 판매 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SP9완!$C$3</c:f>
              <c:strCache>
                <c:ptCount val="1"/>
                <c:pt idx="0">
                  <c:v>상반기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SP9완!$A$4:$A$8</c:f>
              <c:strCache>
                <c:ptCount val="5"/>
                <c:pt idx="0">
                  <c:v>강서3</c:v>
                </c:pt>
                <c:pt idx="1">
                  <c:v>영등포2</c:v>
                </c:pt>
                <c:pt idx="2">
                  <c:v>강남2</c:v>
                </c:pt>
                <c:pt idx="3">
                  <c:v>종로3</c:v>
                </c:pt>
                <c:pt idx="4">
                  <c:v>영등포1</c:v>
                </c:pt>
              </c:strCache>
            </c:strRef>
          </c:cat>
          <c:val>
            <c:numRef>
              <c:f>SP9완!$C$4:$C$8</c:f>
              <c:numCache>
                <c:formatCode>0_);[Red]\(0\)</c:formatCode>
                <c:ptCount val="5"/>
                <c:pt idx="0">
                  <c:v>240</c:v>
                </c:pt>
                <c:pt idx="1">
                  <c:v>228</c:v>
                </c:pt>
                <c:pt idx="2">
                  <c:v>220</c:v>
                </c:pt>
                <c:pt idx="3">
                  <c:v>220</c:v>
                </c:pt>
                <c:pt idx="4">
                  <c:v>190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9C6-4E0C-952B-B0820D465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35104"/>
        <c:axId val="115111552"/>
      </c:barChart>
      <c:lineChart>
        <c:grouping val="standard"/>
        <c:varyColors val="0"/>
        <c:ser>
          <c:idx val="1"/>
          <c:order val="1"/>
          <c:tx>
            <c:strRef>
              <c:f>SP9완!$D$3</c:f>
              <c:strCache>
                <c:ptCount val="1"/>
                <c:pt idx="0">
                  <c:v>하반기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SP9완!$A$4:$A$8</c:f>
              <c:strCache>
                <c:ptCount val="5"/>
                <c:pt idx="0">
                  <c:v>강서3</c:v>
                </c:pt>
                <c:pt idx="1">
                  <c:v>영등포2</c:v>
                </c:pt>
                <c:pt idx="2">
                  <c:v>강남2</c:v>
                </c:pt>
                <c:pt idx="3">
                  <c:v>종로3</c:v>
                </c:pt>
                <c:pt idx="4">
                  <c:v>영등포1</c:v>
                </c:pt>
              </c:strCache>
            </c:strRef>
          </c:cat>
          <c:val>
            <c:numRef>
              <c:f>SP9완!$D$4:$D$8</c:f>
              <c:numCache>
                <c:formatCode>0_);[Red]\(0\)</c:formatCode>
                <c:ptCount val="5"/>
                <c:pt idx="0">
                  <c:v>195</c:v>
                </c:pt>
                <c:pt idx="1">
                  <c:v>285</c:v>
                </c:pt>
                <c:pt idx="2">
                  <c:v>290</c:v>
                </c:pt>
                <c:pt idx="3">
                  <c:v>150</c:v>
                </c:pt>
                <c:pt idx="4">
                  <c:v>184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9C6-4E0C-952B-B0820D465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35104"/>
        <c:axId val="115111552"/>
      </c:lineChart>
      <c:catAx>
        <c:axId val="11793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대리점명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15111552"/>
        <c:crosses val="autoZero"/>
        <c:auto val="1"/>
        <c:lblAlgn val="ctr"/>
        <c:lblOffset val="100"/>
        <c:noMultiLvlLbl val="0"/>
      </c:catAx>
      <c:valAx>
        <c:axId val="115111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판매대수</a:t>
                </a:r>
              </a:p>
            </c:rich>
          </c:tx>
          <c:layout/>
          <c:overlay val="0"/>
        </c:title>
        <c:numFmt formatCode="0_);[Red]\(0\)" sourceLinked="1"/>
        <c:majorTickMark val="out"/>
        <c:minorTickMark val="none"/>
        <c:tickLblPos val="nextTo"/>
        <c:crossAx val="11793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요금현황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SP10완!$J$3</c:f>
              <c:strCache>
                <c:ptCount val="1"/>
                <c:pt idx="0">
                  <c:v>납부금액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SP10완!$A$4:$A$8</c:f>
              <c:strCache>
                <c:ptCount val="5"/>
                <c:pt idx="0">
                  <c:v>F-102-87</c:v>
                </c:pt>
                <c:pt idx="1">
                  <c:v>F-102-46</c:v>
                </c:pt>
                <c:pt idx="2">
                  <c:v>O-207-87</c:v>
                </c:pt>
                <c:pt idx="3">
                  <c:v>F-102-45</c:v>
                </c:pt>
                <c:pt idx="4">
                  <c:v>O-103-83</c:v>
                </c:pt>
              </c:strCache>
            </c:strRef>
          </c:cat>
          <c:val>
            <c:numRef>
              <c:f>SP10완!$J$4:$J$8</c:f>
              <c:numCache>
                <c:formatCode>"₩"#,##0</c:formatCode>
                <c:ptCount val="5"/>
                <c:pt idx="0">
                  <c:v>56000</c:v>
                </c:pt>
                <c:pt idx="1">
                  <c:v>39520</c:v>
                </c:pt>
                <c:pt idx="2">
                  <c:v>39200</c:v>
                </c:pt>
                <c:pt idx="3">
                  <c:v>34320</c:v>
                </c:pt>
                <c:pt idx="4">
                  <c:v>20328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A0-469C-872C-1FB1966F9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520064"/>
        <c:axId val="118022144"/>
      </c:barChart>
      <c:lineChart>
        <c:grouping val="standard"/>
        <c:varyColors val="0"/>
        <c:ser>
          <c:idx val="0"/>
          <c:order val="0"/>
          <c:tx>
            <c:strRef>
              <c:f>SP10완!$F$3</c:f>
              <c:strCache>
                <c:ptCount val="1"/>
                <c:pt idx="0">
                  <c:v>사용금액 </c:v>
                </c:pt>
              </c:strCache>
            </c:strRef>
          </c:tx>
          <c:cat>
            <c:strRef>
              <c:f>SP10완!$A$4:$A$8</c:f>
              <c:strCache>
                <c:ptCount val="5"/>
                <c:pt idx="0">
                  <c:v>F-102-87</c:v>
                </c:pt>
                <c:pt idx="1">
                  <c:v>F-102-46</c:v>
                </c:pt>
                <c:pt idx="2">
                  <c:v>O-207-87</c:v>
                </c:pt>
                <c:pt idx="3">
                  <c:v>F-102-45</c:v>
                </c:pt>
                <c:pt idx="4">
                  <c:v>O-103-83</c:v>
                </c:pt>
              </c:strCache>
            </c:strRef>
          </c:cat>
          <c:val>
            <c:numRef>
              <c:f>SP10완!$F$4:$F$8</c:f>
              <c:numCache>
                <c:formatCode>"₩"#,##0</c:formatCode>
                <c:ptCount val="5"/>
                <c:pt idx="0">
                  <c:v>28500</c:v>
                </c:pt>
                <c:pt idx="1">
                  <c:v>36000</c:v>
                </c:pt>
                <c:pt idx="2">
                  <c:v>700</c:v>
                </c:pt>
                <c:pt idx="3">
                  <c:v>39000</c:v>
                </c:pt>
                <c:pt idx="4">
                  <c:v>23100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1A0-469C-872C-1FB1966F9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20064"/>
        <c:axId val="118022144"/>
      </c:lineChart>
      <c:catAx>
        <c:axId val="138520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고객번호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18022144"/>
        <c:crosses val="autoZero"/>
        <c:auto val="1"/>
        <c:lblAlgn val="ctr"/>
        <c:lblOffset val="100"/>
        <c:noMultiLvlLbl val="0"/>
      </c:catAx>
      <c:valAx>
        <c:axId val="118022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overlay val="0"/>
        </c:title>
        <c:numFmt formatCode="&quot;₩&quot;#,##0" sourceLinked="1"/>
        <c:majorTickMark val="out"/>
        <c:minorTickMark val="none"/>
        <c:tickLblPos val="nextTo"/>
        <c:crossAx val="138520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신규 고객 포인트 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SP11완!$F$3</c:f>
              <c:strCache>
                <c:ptCount val="1"/>
                <c:pt idx="0">
                  <c:v>실적포인트 </c:v>
                </c:pt>
              </c:strCache>
            </c:strRef>
          </c:tx>
          <c:invertIfNegative val="0"/>
          <c:cat>
            <c:strRef>
              <c:f>SP11완!$B$4:$B$10</c:f>
              <c:strCache>
                <c:ptCount val="7"/>
                <c:pt idx="0">
                  <c:v>김대희</c:v>
                </c:pt>
                <c:pt idx="1">
                  <c:v>김민수</c:v>
                </c:pt>
                <c:pt idx="2">
                  <c:v>김제동</c:v>
                </c:pt>
                <c:pt idx="3">
                  <c:v>박윤정</c:v>
                </c:pt>
                <c:pt idx="4">
                  <c:v>이선화</c:v>
                </c:pt>
                <c:pt idx="5">
                  <c:v>이소라</c:v>
                </c:pt>
                <c:pt idx="6">
                  <c:v>정영일</c:v>
                </c:pt>
              </c:strCache>
            </c:strRef>
          </c:cat>
          <c:val>
            <c:numRef>
              <c:f>SP11완!$F$4:$F$10</c:f>
              <c:numCache>
                <c:formatCode>General</c:formatCode>
                <c:ptCount val="7"/>
                <c:pt idx="0">
                  <c:v>15000</c:v>
                </c:pt>
                <c:pt idx="1">
                  <c:v>8100</c:v>
                </c:pt>
                <c:pt idx="2">
                  <c:v>28500</c:v>
                </c:pt>
                <c:pt idx="3">
                  <c:v>36000</c:v>
                </c:pt>
                <c:pt idx="4">
                  <c:v>135000</c:v>
                </c:pt>
                <c:pt idx="5">
                  <c:v>75000</c:v>
                </c:pt>
                <c:pt idx="6">
                  <c:v>105000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7E-4E7A-B4F2-D447FB9B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486528"/>
        <c:axId val="118025024"/>
      </c:barChart>
      <c:lineChart>
        <c:grouping val="standard"/>
        <c:varyColors val="0"/>
        <c:ser>
          <c:idx val="1"/>
          <c:order val="1"/>
          <c:tx>
            <c:strRef>
              <c:f>SP11완!$G$3</c:f>
              <c:strCache>
                <c:ptCount val="1"/>
                <c:pt idx="0">
                  <c:v>총포인트 </c:v>
                </c:pt>
              </c:strCache>
            </c:strRef>
          </c:tx>
          <c:cat>
            <c:strRef>
              <c:f>SP11완!$B$4:$B$10</c:f>
              <c:strCache>
                <c:ptCount val="7"/>
                <c:pt idx="0">
                  <c:v>김대희</c:v>
                </c:pt>
                <c:pt idx="1">
                  <c:v>김민수</c:v>
                </c:pt>
                <c:pt idx="2">
                  <c:v>김제동</c:v>
                </c:pt>
                <c:pt idx="3">
                  <c:v>박윤정</c:v>
                </c:pt>
                <c:pt idx="4">
                  <c:v>이선화</c:v>
                </c:pt>
                <c:pt idx="5">
                  <c:v>이소라</c:v>
                </c:pt>
                <c:pt idx="6">
                  <c:v>정영일</c:v>
                </c:pt>
              </c:strCache>
            </c:strRef>
          </c:cat>
          <c:val>
            <c:numRef>
              <c:f>SP11완!$G$4:$G$10</c:f>
              <c:numCache>
                <c:formatCode>General</c:formatCode>
                <c:ptCount val="7"/>
                <c:pt idx="0">
                  <c:v>15200</c:v>
                </c:pt>
                <c:pt idx="1">
                  <c:v>8300</c:v>
                </c:pt>
                <c:pt idx="2">
                  <c:v>28700</c:v>
                </c:pt>
                <c:pt idx="3">
                  <c:v>36200</c:v>
                </c:pt>
                <c:pt idx="4">
                  <c:v>135200</c:v>
                </c:pt>
                <c:pt idx="5">
                  <c:v>75200</c:v>
                </c:pt>
                <c:pt idx="6">
                  <c:v>105200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7E-4E7A-B4F2-D447FB9B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86528"/>
        <c:axId val="118025024"/>
      </c:lineChart>
      <c:catAx>
        <c:axId val="11848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고객명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18025024"/>
        <c:crosses val="autoZero"/>
        <c:auto val="1"/>
        <c:lblAlgn val="ctr"/>
        <c:lblOffset val="100"/>
        <c:noMultiLvlLbl val="0"/>
      </c:catAx>
      <c:valAx>
        <c:axId val="118025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포인트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48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ko-KR" altLang="en-US" u="sng"/>
              <a:t>제품별 입출고가 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SP12완!$E$3</c:f>
              <c:strCache>
                <c:ptCount val="1"/>
                <c:pt idx="0">
                  <c:v>입고가</c:v>
                </c:pt>
              </c:strCache>
            </c:strRef>
          </c:tx>
          <c:invertIfNegative val="0"/>
          <c:cat>
            <c:strRef>
              <c:f>SP12완!$A$4:$A$10</c:f>
              <c:strCache>
                <c:ptCount val="7"/>
                <c:pt idx="0">
                  <c:v>LM-228</c:v>
                </c:pt>
                <c:pt idx="1">
                  <c:v>PT-203</c:v>
                </c:pt>
                <c:pt idx="2">
                  <c:v>SS-219</c:v>
                </c:pt>
                <c:pt idx="3">
                  <c:v>SS-218</c:v>
                </c:pt>
                <c:pt idx="4">
                  <c:v>LM-229</c:v>
                </c:pt>
                <c:pt idx="5">
                  <c:v>SS-220</c:v>
                </c:pt>
                <c:pt idx="6">
                  <c:v>LM-239</c:v>
                </c:pt>
              </c:strCache>
            </c:strRef>
          </c:cat>
          <c:val>
            <c:numRef>
              <c:f>SP12완!$E$4:$E$10</c:f>
              <c:numCache>
                <c:formatCode>"₩"#,##0</c:formatCode>
                <c:ptCount val="7"/>
                <c:pt idx="0">
                  <c:v>210000</c:v>
                </c:pt>
                <c:pt idx="1">
                  <c:v>170000</c:v>
                </c:pt>
                <c:pt idx="2">
                  <c:v>320000</c:v>
                </c:pt>
                <c:pt idx="3">
                  <c:v>437000</c:v>
                </c:pt>
                <c:pt idx="4">
                  <c:v>240000</c:v>
                </c:pt>
                <c:pt idx="5">
                  <c:v>480000</c:v>
                </c:pt>
                <c:pt idx="6">
                  <c:v>340000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2CE-457B-8CC1-30282B676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940928"/>
        <c:axId val="118026752"/>
      </c:barChart>
      <c:lineChart>
        <c:grouping val="standard"/>
        <c:varyColors val="0"/>
        <c:ser>
          <c:idx val="1"/>
          <c:order val="1"/>
          <c:tx>
            <c:strRef>
              <c:f>SP12완!$F$3</c:f>
              <c:strCache>
                <c:ptCount val="1"/>
                <c:pt idx="0">
                  <c:v>출고가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SP12완!$A$4:$A$10</c:f>
              <c:strCache>
                <c:ptCount val="7"/>
                <c:pt idx="0">
                  <c:v>LM-228</c:v>
                </c:pt>
                <c:pt idx="1">
                  <c:v>PT-203</c:v>
                </c:pt>
                <c:pt idx="2">
                  <c:v>SS-219</c:v>
                </c:pt>
                <c:pt idx="3">
                  <c:v>SS-218</c:v>
                </c:pt>
                <c:pt idx="4">
                  <c:v>LM-229</c:v>
                </c:pt>
                <c:pt idx="5">
                  <c:v>SS-220</c:v>
                </c:pt>
                <c:pt idx="6">
                  <c:v>LM-239</c:v>
                </c:pt>
              </c:strCache>
            </c:strRef>
          </c:cat>
          <c:val>
            <c:numRef>
              <c:f>SP12완!$F$4:$F$10</c:f>
              <c:numCache>
                <c:formatCode>"₩"#,##0</c:formatCode>
                <c:ptCount val="7"/>
                <c:pt idx="0">
                  <c:v>268800</c:v>
                </c:pt>
                <c:pt idx="1">
                  <c:v>217600</c:v>
                </c:pt>
                <c:pt idx="2">
                  <c:v>409600</c:v>
                </c:pt>
                <c:pt idx="3">
                  <c:v>559360</c:v>
                </c:pt>
                <c:pt idx="4">
                  <c:v>307200</c:v>
                </c:pt>
                <c:pt idx="5">
                  <c:v>614400</c:v>
                </c:pt>
                <c:pt idx="6">
                  <c:v>435200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2CE-457B-8CC1-30282B676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40928"/>
        <c:axId val="118026752"/>
      </c:lineChart>
      <c:catAx>
        <c:axId val="13894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품목코드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18026752"/>
        <c:crosses val="autoZero"/>
        <c:auto val="1"/>
        <c:lblAlgn val="ctr"/>
        <c:lblOffset val="100"/>
        <c:noMultiLvlLbl val="0"/>
      </c:catAx>
      <c:valAx>
        <c:axId val="118026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굼액</a:t>
                </a:r>
              </a:p>
            </c:rich>
          </c:tx>
          <c:overlay val="0"/>
        </c:title>
        <c:numFmt formatCode="&quot;₩&quot;#,##0" sourceLinked="1"/>
        <c:majorTickMark val="out"/>
        <c:minorTickMark val="none"/>
        <c:tickLblPos val="nextTo"/>
        <c:crossAx val="13894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57150</xdr:rowOff>
    </xdr:from>
    <xdr:to>
      <xdr:col>11</xdr:col>
      <xdr:colOff>704850</xdr:colOff>
      <xdr:row>51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8077200"/>
          <a:ext cx="64198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작성한 “차종류별 판매실적 분석”에서 달성율이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100%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미만인 차종류별 판매계획의 수량과 판매실적의 수량을 나타내는 그래프를 작성하시오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66675</xdr:colOff>
      <xdr:row>51</xdr:row>
      <xdr:rowOff>57150</xdr:rowOff>
    </xdr:from>
    <xdr:to>
      <xdr:col>12</xdr:col>
      <xdr:colOff>0</xdr:colOff>
      <xdr:row>64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6675" y="8705850"/>
          <a:ext cx="645795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 latinLnBrk="0"/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그래프 형태 </a:t>
          </a:r>
        </a:p>
        <a:p>
          <a:pPr fontAlgn="base" latinLnBrk="1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판매계획의 수량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표식이 있는 꺽은선형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판매실적의 수량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묶은 세로 막대형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레이블의 값이 표시된 혼합형 단일축 그래프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레이블의 값 의 글자 크기는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그래프 제목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계획 대비 실적 현황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 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확대출력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제목밑줄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X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축 제목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차종류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Y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축 제목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수량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X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축 항목 단위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문자열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Y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축 눈금 단위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임의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범례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판매계획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판매실적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출력물 크기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A4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용지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1/2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장 범위 내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작성조건에 없는 형식이나 모양은 기본 설정 값에 따르며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그래프 너비는 작업표에 맞춘다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0</xdr:col>
      <xdr:colOff>0</xdr:colOff>
      <xdr:row>30</xdr:row>
      <xdr:rowOff>95250</xdr:rowOff>
    </xdr:from>
    <xdr:to>
      <xdr:col>11</xdr:col>
      <xdr:colOff>666750</xdr:colOff>
      <xdr:row>47</xdr:row>
      <xdr:rowOff>9525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99391</xdr:rowOff>
    </xdr:from>
    <xdr:to>
      <xdr:col>11</xdr:col>
      <xdr:colOff>919370</xdr:colOff>
      <xdr:row>47</xdr:row>
      <xdr:rowOff>107673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609600</xdr:colOff>
      <xdr:row>45</xdr:row>
      <xdr:rowOff>66675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85726</xdr:rowOff>
    </xdr:from>
    <xdr:to>
      <xdr:col>9</xdr:col>
      <xdr:colOff>666750</xdr:colOff>
      <xdr:row>45</xdr:row>
      <xdr:rowOff>203200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66675</xdr:rowOff>
    </xdr:from>
    <xdr:to>
      <xdr:col>8</xdr:col>
      <xdr:colOff>533400</xdr:colOff>
      <xdr:row>45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66675</xdr:rowOff>
    </xdr:from>
    <xdr:to>
      <xdr:col>9</xdr:col>
      <xdr:colOff>428625</xdr:colOff>
      <xdr:row>44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G23"/>
  <sheetViews>
    <sheetView workbookViewId="0">
      <selection activeCell="A4" sqref="A4"/>
    </sheetView>
  </sheetViews>
  <sheetFormatPr defaultColWidth="9" defaultRowHeight="16.5" x14ac:dyDescent="0.3"/>
  <cols>
    <col min="1" max="1" width="12.75" style="1" customWidth="1"/>
    <col min="2" max="16384" width="9" style="1"/>
  </cols>
  <sheetData>
    <row r="2" spans="1:7" x14ac:dyDescent="0.3">
      <c r="A2" s="119" t="s">
        <v>0</v>
      </c>
      <c r="B2" s="119" t="s">
        <v>1</v>
      </c>
      <c r="C2" s="2" t="s">
        <v>2</v>
      </c>
      <c r="D2" s="119" t="s">
        <v>3</v>
      </c>
      <c r="E2" s="119"/>
      <c r="F2" s="119"/>
      <c r="G2" s="119"/>
    </row>
    <row r="3" spans="1:7" x14ac:dyDescent="0.3">
      <c r="A3" s="119"/>
      <c r="B3" s="119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s="2" t="s">
        <v>91</v>
      </c>
      <c r="B4" s="3">
        <v>5000</v>
      </c>
      <c r="C4" s="2">
        <v>550</v>
      </c>
      <c r="D4" s="2">
        <v>120</v>
      </c>
      <c r="E4" s="2">
        <v>195</v>
      </c>
      <c r="F4" s="2">
        <v>123</v>
      </c>
      <c r="G4" s="2">
        <v>200</v>
      </c>
    </row>
    <row r="5" spans="1:7" x14ac:dyDescent="0.3">
      <c r="A5" s="2" t="s">
        <v>92</v>
      </c>
      <c r="B5" s="3">
        <v>3500</v>
      </c>
      <c r="C5" s="2">
        <v>1450</v>
      </c>
      <c r="D5" s="2">
        <v>425</v>
      </c>
      <c r="E5" s="2">
        <v>450</v>
      </c>
      <c r="F5" s="2">
        <v>520</v>
      </c>
      <c r="G5" s="2">
        <v>144</v>
      </c>
    </row>
    <row r="6" spans="1:7" x14ac:dyDescent="0.3">
      <c r="A6" s="2" t="s">
        <v>93</v>
      </c>
      <c r="B6" s="3">
        <v>3500</v>
      </c>
      <c r="C6" s="2">
        <v>1300</v>
      </c>
      <c r="D6" s="2">
        <v>207</v>
      </c>
      <c r="E6" s="2">
        <v>230</v>
      </c>
      <c r="F6" s="2">
        <v>146</v>
      </c>
      <c r="G6" s="2">
        <v>126</v>
      </c>
    </row>
    <row r="7" spans="1:7" x14ac:dyDescent="0.3">
      <c r="A7" s="2" t="s">
        <v>94</v>
      </c>
      <c r="B7" s="3">
        <v>3000</v>
      </c>
      <c r="C7" s="2">
        <v>500</v>
      </c>
      <c r="D7" s="2">
        <v>280</v>
      </c>
      <c r="E7" s="2">
        <v>200</v>
      </c>
      <c r="F7" s="2">
        <v>167</v>
      </c>
      <c r="G7" s="2">
        <v>180</v>
      </c>
    </row>
    <row r="8" spans="1:7" x14ac:dyDescent="0.3">
      <c r="A8" s="2" t="s">
        <v>95</v>
      </c>
      <c r="B8" s="3">
        <v>4500</v>
      </c>
      <c r="C8" s="2">
        <v>1250</v>
      </c>
      <c r="D8" s="2">
        <v>315</v>
      </c>
      <c r="E8" s="2">
        <v>980</v>
      </c>
      <c r="F8" s="2">
        <v>260</v>
      </c>
      <c r="G8" s="2">
        <v>120</v>
      </c>
    </row>
    <row r="9" spans="1:7" x14ac:dyDescent="0.3">
      <c r="A9" s="2" t="s">
        <v>96</v>
      </c>
      <c r="B9" s="3">
        <v>2000</v>
      </c>
      <c r="C9" s="2">
        <v>1700</v>
      </c>
      <c r="D9" s="2">
        <v>350</v>
      </c>
      <c r="E9" s="2">
        <v>420</v>
      </c>
      <c r="F9" s="2">
        <v>510</v>
      </c>
      <c r="G9" s="2">
        <v>580</v>
      </c>
    </row>
    <row r="10" spans="1:7" x14ac:dyDescent="0.3">
      <c r="A10" s="2" t="s">
        <v>97</v>
      </c>
      <c r="B10" s="3">
        <v>1200</v>
      </c>
      <c r="C10" s="2">
        <v>1900</v>
      </c>
      <c r="D10" s="2">
        <v>370</v>
      </c>
      <c r="E10" s="2">
        <v>450</v>
      </c>
      <c r="F10" s="2">
        <v>470</v>
      </c>
      <c r="G10" s="2">
        <v>560</v>
      </c>
    </row>
    <row r="11" spans="1:7" x14ac:dyDescent="0.3">
      <c r="A11" s="2" t="s">
        <v>98</v>
      </c>
      <c r="B11" s="3">
        <v>4000</v>
      </c>
      <c r="C11" s="2">
        <v>750</v>
      </c>
      <c r="D11" s="2">
        <v>389</v>
      </c>
      <c r="E11" s="2">
        <v>225</v>
      </c>
      <c r="F11" s="2">
        <v>150</v>
      </c>
      <c r="G11" s="2">
        <v>250</v>
      </c>
    </row>
    <row r="12" spans="1:7" x14ac:dyDescent="0.3">
      <c r="A12" s="2" t="s">
        <v>99</v>
      </c>
      <c r="B12" s="3">
        <v>2800</v>
      </c>
      <c r="C12" s="2">
        <v>1650</v>
      </c>
      <c r="D12" s="2">
        <v>440</v>
      </c>
      <c r="E12" s="2">
        <v>480</v>
      </c>
      <c r="F12" s="2">
        <v>560</v>
      </c>
      <c r="G12" s="2">
        <v>500</v>
      </c>
    </row>
    <row r="13" spans="1:7" x14ac:dyDescent="0.3">
      <c r="A13" s="2" t="s">
        <v>100</v>
      </c>
      <c r="B13" s="3">
        <v>4000</v>
      </c>
      <c r="C13" s="2">
        <v>1500</v>
      </c>
      <c r="D13" s="2">
        <v>456</v>
      </c>
      <c r="E13" s="2">
        <v>260</v>
      </c>
      <c r="F13" s="2">
        <v>175</v>
      </c>
      <c r="G13" s="2">
        <v>210</v>
      </c>
    </row>
    <row r="14" spans="1:7" x14ac:dyDescent="0.3">
      <c r="A14" s="2" t="s">
        <v>101</v>
      </c>
      <c r="B14" s="3">
        <v>2000</v>
      </c>
      <c r="C14" s="2">
        <v>300</v>
      </c>
      <c r="D14" s="2">
        <v>450</v>
      </c>
      <c r="E14" s="2">
        <v>340</v>
      </c>
      <c r="F14" s="2">
        <v>110</v>
      </c>
      <c r="G14" s="2">
        <v>520</v>
      </c>
    </row>
    <row r="15" spans="1:7" x14ac:dyDescent="0.3">
      <c r="A15" s="2" t="s">
        <v>102</v>
      </c>
      <c r="B15" s="3">
        <v>4000</v>
      </c>
      <c r="C15" s="2">
        <v>1500</v>
      </c>
      <c r="D15" s="2">
        <v>130</v>
      </c>
      <c r="E15" s="2">
        <v>500</v>
      </c>
      <c r="F15" s="2">
        <v>90</v>
      </c>
      <c r="G15" s="2">
        <v>220</v>
      </c>
    </row>
    <row r="16" spans="1:7" x14ac:dyDescent="0.3">
      <c r="A16" s="2" t="s">
        <v>103</v>
      </c>
      <c r="B16" s="3">
        <v>4000</v>
      </c>
      <c r="C16" s="2">
        <v>500</v>
      </c>
      <c r="D16" s="2">
        <v>150</v>
      </c>
      <c r="E16" s="2">
        <v>600</v>
      </c>
      <c r="F16" s="2">
        <v>120</v>
      </c>
      <c r="G16" s="2">
        <v>100</v>
      </c>
    </row>
    <row r="17" spans="1:7" x14ac:dyDescent="0.3">
      <c r="A17" s="2" t="s">
        <v>104</v>
      </c>
      <c r="B17" s="3">
        <v>4000</v>
      </c>
      <c r="C17" s="2">
        <v>500</v>
      </c>
      <c r="D17" s="2">
        <v>110</v>
      </c>
      <c r="E17" s="2">
        <v>230</v>
      </c>
      <c r="F17" s="2">
        <v>200</v>
      </c>
      <c r="G17" s="2">
        <v>70</v>
      </c>
    </row>
    <row r="18" spans="1:7" x14ac:dyDescent="0.3">
      <c r="A18" s="2" t="s">
        <v>105</v>
      </c>
      <c r="B18" s="3">
        <v>4000</v>
      </c>
      <c r="C18" s="2">
        <v>1500</v>
      </c>
      <c r="D18" s="2">
        <v>530</v>
      </c>
      <c r="E18" s="2">
        <v>320</v>
      </c>
      <c r="F18" s="2">
        <v>90</v>
      </c>
      <c r="G18" s="2">
        <v>270</v>
      </c>
    </row>
    <row r="19" spans="1:7" x14ac:dyDescent="0.3">
      <c r="A19" s="2" t="s">
        <v>106</v>
      </c>
      <c r="B19" s="3">
        <v>2500</v>
      </c>
      <c r="C19" s="2">
        <v>1500</v>
      </c>
      <c r="D19" s="2">
        <v>550</v>
      </c>
      <c r="E19" s="2">
        <v>470</v>
      </c>
      <c r="F19" s="2">
        <v>340</v>
      </c>
      <c r="G19" s="2">
        <v>230</v>
      </c>
    </row>
    <row r="20" spans="1:7" x14ac:dyDescent="0.3">
      <c r="A20" s="2" t="s">
        <v>107</v>
      </c>
      <c r="B20" s="3">
        <v>4000</v>
      </c>
      <c r="C20" s="2">
        <v>1500</v>
      </c>
      <c r="D20" s="2">
        <v>190</v>
      </c>
      <c r="E20" s="2">
        <v>250</v>
      </c>
      <c r="F20" s="2">
        <v>520</v>
      </c>
      <c r="G20" s="2">
        <v>320</v>
      </c>
    </row>
    <row r="21" spans="1:7" x14ac:dyDescent="0.3">
      <c r="A21" s="2" t="s">
        <v>108</v>
      </c>
      <c r="B21" s="3">
        <v>3000</v>
      </c>
      <c r="C21" s="2">
        <v>700</v>
      </c>
      <c r="D21" s="2">
        <v>350</v>
      </c>
      <c r="E21" s="2">
        <v>70</v>
      </c>
      <c r="F21" s="2">
        <v>100</v>
      </c>
      <c r="G21" s="2">
        <v>520</v>
      </c>
    </row>
    <row r="22" spans="1:7" x14ac:dyDescent="0.3">
      <c r="A22" s="2" t="s">
        <v>109</v>
      </c>
      <c r="B22" s="3">
        <v>4500</v>
      </c>
      <c r="C22" s="2">
        <v>1500</v>
      </c>
      <c r="D22" s="2">
        <v>170</v>
      </c>
      <c r="E22" s="2">
        <v>220</v>
      </c>
      <c r="F22" s="2">
        <v>600</v>
      </c>
      <c r="G22" s="2">
        <v>340</v>
      </c>
    </row>
    <row r="23" spans="1:7" x14ac:dyDescent="0.3">
      <c r="A23" s="2" t="s">
        <v>110</v>
      </c>
      <c r="B23" s="3">
        <v>1000</v>
      </c>
      <c r="C23" s="2">
        <v>500</v>
      </c>
      <c r="D23" s="2">
        <v>120</v>
      </c>
      <c r="E23" s="2">
        <v>110</v>
      </c>
      <c r="F23" s="2">
        <v>120</v>
      </c>
      <c r="G23" s="2">
        <v>500</v>
      </c>
    </row>
  </sheetData>
  <mergeCells count="3">
    <mergeCell ref="A2:A3"/>
    <mergeCell ref="B2:B3"/>
    <mergeCell ref="D2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workbookViewId="0">
      <selection activeCell="A4" sqref="A4:A23"/>
    </sheetView>
  </sheetViews>
  <sheetFormatPr defaultColWidth="9" defaultRowHeight="16.5" x14ac:dyDescent="0.3"/>
  <cols>
    <col min="1" max="1" width="11.625" style="1" customWidth="1"/>
    <col min="2" max="2" width="11.5" style="1" customWidth="1"/>
    <col min="3" max="4" width="10.125" style="1" customWidth="1"/>
    <col min="5" max="5" width="11.25" style="1" customWidth="1"/>
    <col min="6" max="6" width="11.625" style="1" customWidth="1"/>
    <col min="7" max="7" width="11" style="1" customWidth="1"/>
    <col min="8" max="8" width="10.25" style="1" customWidth="1"/>
    <col min="9" max="16384" width="9" style="1"/>
  </cols>
  <sheetData>
    <row r="1" spans="1:12" ht="31.5" x14ac:dyDescent="0.55000000000000004">
      <c r="A1" s="131" t="s">
        <v>42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x14ac:dyDescent="0.3">
      <c r="A2" s="119" t="s">
        <v>0</v>
      </c>
      <c r="B2" s="119" t="s">
        <v>1</v>
      </c>
      <c r="C2" s="119" t="s">
        <v>2</v>
      </c>
      <c r="D2" s="119"/>
      <c r="E2" s="119" t="s">
        <v>3</v>
      </c>
      <c r="F2" s="119"/>
      <c r="G2" s="119"/>
      <c r="H2" s="119"/>
      <c r="I2" s="119"/>
      <c r="J2" s="119"/>
      <c r="K2" s="132" t="s">
        <v>19</v>
      </c>
      <c r="L2" s="132" t="s">
        <v>20</v>
      </c>
    </row>
    <row r="3" spans="1:12" x14ac:dyDescent="0.3">
      <c r="A3" s="119"/>
      <c r="B3" s="119"/>
      <c r="C3" s="4" t="s">
        <v>4</v>
      </c>
      <c r="D3" s="4" t="s">
        <v>16</v>
      </c>
      <c r="E3" s="9" t="s">
        <v>5</v>
      </c>
      <c r="F3" s="9" t="s">
        <v>6</v>
      </c>
      <c r="G3" s="9" t="s">
        <v>7</v>
      </c>
      <c r="H3" s="9" t="s">
        <v>8</v>
      </c>
      <c r="I3" s="10" t="s">
        <v>18</v>
      </c>
      <c r="J3" s="10" t="s">
        <v>16</v>
      </c>
      <c r="K3" s="132"/>
      <c r="L3" s="132"/>
    </row>
    <row r="4" spans="1:12" x14ac:dyDescent="0.3">
      <c r="A4" s="2" t="s">
        <v>91</v>
      </c>
      <c r="B4" s="3">
        <v>5000</v>
      </c>
      <c r="C4" s="2">
        <v>550</v>
      </c>
      <c r="D4" s="4">
        <f>B4*C4</f>
        <v>2750000</v>
      </c>
      <c r="E4" s="2">
        <v>120</v>
      </c>
      <c r="F4" s="2">
        <v>195</v>
      </c>
      <c r="G4" s="2">
        <v>123</v>
      </c>
      <c r="H4" s="2">
        <v>200</v>
      </c>
      <c r="I4" s="8"/>
      <c r="J4" s="8"/>
      <c r="K4" s="12"/>
      <c r="L4" s="8"/>
    </row>
    <row r="5" spans="1:12" x14ac:dyDescent="0.3">
      <c r="A5" s="2" t="s">
        <v>92</v>
      </c>
      <c r="B5" s="3">
        <v>3500</v>
      </c>
      <c r="C5" s="2">
        <v>1450</v>
      </c>
      <c r="D5" s="4">
        <f t="shared" ref="D5:D23" si="0">B5*C5</f>
        <v>5075000</v>
      </c>
      <c r="E5" s="2">
        <v>425</v>
      </c>
      <c r="F5" s="2">
        <v>450</v>
      </c>
      <c r="G5" s="2">
        <v>520</v>
      </c>
      <c r="H5" s="2">
        <v>144</v>
      </c>
      <c r="I5" s="8"/>
      <c r="J5" s="8"/>
      <c r="K5" s="12"/>
      <c r="L5" s="8"/>
    </row>
    <row r="6" spans="1:12" x14ac:dyDescent="0.3">
      <c r="A6" s="2" t="s">
        <v>93</v>
      </c>
      <c r="B6" s="3">
        <v>3500</v>
      </c>
      <c r="C6" s="2">
        <v>1300</v>
      </c>
      <c r="D6" s="4">
        <f t="shared" si="0"/>
        <v>4550000</v>
      </c>
      <c r="E6" s="2">
        <v>207</v>
      </c>
      <c r="F6" s="2">
        <v>230</v>
      </c>
      <c r="G6" s="2">
        <v>146</v>
      </c>
      <c r="H6" s="2">
        <v>126</v>
      </c>
      <c r="I6" s="8"/>
      <c r="J6" s="8"/>
      <c r="K6" s="12"/>
      <c r="L6" s="8"/>
    </row>
    <row r="7" spans="1:12" x14ac:dyDescent="0.3">
      <c r="A7" s="2" t="s">
        <v>94</v>
      </c>
      <c r="B7" s="3">
        <v>3000</v>
      </c>
      <c r="C7" s="2">
        <v>500</v>
      </c>
      <c r="D7" s="4">
        <f t="shared" si="0"/>
        <v>1500000</v>
      </c>
      <c r="E7" s="2">
        <v>280</v>
      </c>
      <c r="F7" s="2">
        <v>200</v>
      </c>
      <c r="G7" s="2">
        <v>167</v>
      </c>
      <c r="H7" s="2">
        <v>180</v>
      </c>
      <c r="I7" s="8"/>
      <c r="J7" s="8"/>
      <c r="K7" s="12"/>
      <c r="L7" s="8"/>
    </row>
    <row r="8" spans="1:12" x14ac:dyDescent="0.3">
      <c r="A8" s="2" t="s">
        <v>95</v>
      </c>
      <c r="B8" s="3">
        <v>4500</v>
      </c>
      <c r="C8" s="2">
        <v>1250</v>
      </c>
      <c r="D8" s="4">
        <f t="shared" si="0"/>
        <v>5625000</v>
      </c>
      <c r="E8" s="2">
        <v>315</v>
      </c>
      <c r="F8" s="2">
        <v>980</v>
      </c>
      <c r="G8" s="2">
        <v>260</v>
      </c>
      <c r="H8" s="2">
        <v>120</v>
      </c>
      <c r="I8" s="8"/>
      <c r="J8" s="8"/>
      <c r="K8" s="12"/>
      <c r="L8" s="8"/>
    </row>
    <row r="9" spans="1:12" x14ac:dyDescent="0.3">
      <c r="A9" s="2" t="s">
        <v>96</v>
      </c>
      <c r="B9" s="3">
        <v>2000</v>
      </c>
      <c r="C9" s="2">
        <v>1700</v>
      </c>
      <c r="D9" s="4">
        <f t="shared" si="0"/>
        <v>3400000</v>
      </c>
      <c r="E9" s="2">
        <v>350</v>
      </c>
      <c r="F9" s="2">
        <v>420</v>
      </c>
      <c r="G9" s="2">
        <v>510</v>
      </c>
      <c r="H9" s="2">
        <v>580</v>
      </c>
      <c r="I9" s="8"/>
      <c r="J9" s="8"/>
      <c r="K9" s="12"/>
      <c r="L9" s="8"/>
    </row>
    <row r="10" spans="1:12" x14ac:dyDescent="0.3">
      <c r="A10" s="2" t="s">
        <v>97</v>
      </c>
      <c r="B10" s="3">
        <v>1200</v>
      </c>
      <c r="C10" s="2">
        <v>1900</v>
      </c>
      <c r="D10" s="4">
        <f t="shared" si="0"/>
        <v>2280000</v>
      </c>
      <c r="E10" s="2">
        <v>370</v>
      </c>
      <c r="F10" s="2">
        <v>450</v>
      </c>
      <c r="G10" s="2">
        <v>470</v>
      </c>
      <c r="H10" s="2">
        <v>560</v>
      </c>
      <c r="I10" s="8"/>
      <c r="J10" s="8"/>
      <c r="K10" s="12"/>
      <c r="L10" s="8"/>
    </row>
    <row r="11" spans="1:12" x14ac:dyDescent="0.3">
      <c r="A11" s="2" t="s">
        <v>98</v>
      </c>
      <c r="B11" s="3">
        <v>4000</v>
      </c>
      <c r="C11" s="2">
        <v>750</v>
      </c>
      <c r="D11" s="4">
        <f t="shared" si="0"/>
        <v>3000000</v>
      </c>
      <c r="E11" s="2">
        <v>389</v>
      </c>
      <c r="F11" s="2">
        <v>225</v>
      </c>
      <c r="G11" s="2">
        <v>150</v>
      </c>
      <c r="H11" s="2">
        <v>250</v>
      </c>
      <c r="I11" s="8"/>
      <c r="J11" s="8"/>
      <c r="K11" s="12"/>
      <c r="L11" s="8"/>
    </row>
    <row r="12" spans="1:12" x14ac:dyDescent="0.3">
      <c r="A12" s="2" t="s">
        <v>99</v>
      </c>
      <c r="B12" s="3">
        <v>2800</v>
      </c>
      <c r="C12" s="2">
        <v>1650</v>
      </c>
      <c r="D12" s="4">
        <f t="shared" si="0"/>
        <v>4620000</v>
      </c>
      <c r="E12" s="2">
        <v>440</v>
      </c>
      <c r="F12" s="2">
        <v>480</v>
      </c>
      <c r="G12" s="2">
        <v>560</v>
      </c>
      <c r="H12" s="2">
        <v>500</v>
      </c>
      <c r="I12" s="8"/>
      <c r="J12" s="8"/>
      <c r="K12" s="12"/>
      <c r="L12" s="8"/>
    </row>
    <row r="13" spans="1:12" x14ac:dyDescent="0.3">
      <c r="A13" s="2" t="s">
        <v>100</v>
      </c>
      <c r="B13" s="3">
        <v>4000</v>
      </c>
      <c r="C13" s="2">
        <v>1500</v>
      </c>
      <c r="D13" s="4">
        <f t="shared" si="0"/>
        <v>6000000</v>
      </c>
      <c r="E13" s="2">
        <v>456</v>
      </c>
      <c r="F13" s="2">
        <v>260</v>
      </c>
      <c r="G13" s="2">
        <v>175</v>
      </c>
      <c r="H13" s="2">
        <v>210</v>
      </c>
      <c r="I13" s="8"/>
      <c r="J13" s="8"/>
      <c r="K13" s="12"/>
      <c r="L13" s="8"/>
    </row>
    <row r="14" spans="1:12" x14ac:dyDescent="0.3">
      <c r="A14" s="2" t="s">
        <v>101</v>
      </c>
      <c r="B14" s="3">
        <v>2000</v>
      </c>
      <c r="C14" s="2">
        <v>300</v>
      </c>
      <c r="D14" s="4">
        <f t="shared" si="0"/>
        <v>600000</v>
      </c>
      <c r="E14" s="2">
        <v>450</v>
      </c>
      <c r="F14" s="2">
        <v>340</v>
      </c>
      <c r="G14" s="2">
        <v>110</v>
      </c>
      <c r="H14" s="2">
        <v>520</v>
      </c>
      <c r="I14" s="8"/>
      <c r="J14" s="8"/>
      <c r="K14" s="12"/>
      <c r="L14" s="8"/>
    </row>
    <row r="15" spans="1:12" x14ac:dyDescent="0.3">
      <c r="A15" s="2" t="s">
        <v>102</v>
      </c>
      <c r="B15" s="3">
        <v>4000</v>
      </c>
      <c r="C15" s="2">
        <v>1500</v>
      </c>
      <c r="D15" s="4">
        <f t="shared" si="0"/>
        <v>6000000</v>
      </c>
      <c r="E15" s="2">
        <v>130</v>
      </c>
      <c r="F15" s="2">
        <v>500</v>
      </c>
      <c r="G15" s="2">
        <v>90</v>
      </c>
      <c r="H15" s="2">
        <v>220</v>
      </c>
      <c r="I15" s="8"/>
      <c r="J15" s="8"/>
      <c r="K15" s="12"/>
      <c r="L15" s="8"/>
    </row>
    <row r="16" spans="1:12" x14ac:dyDescent="0.3">
      <c r="A16" s="2" t="s">
        <v>103</v>
      </c>
      <c r="B16" s="3">
        <v>4000</v>
      </c>
      <c r="C16" s="2">
        <v>500</v>
      </c>
      <c r="D16" s="4">
        <f t="shared" si="0"/>
        <v>2000000</v>
      </c>
      <c r="E16" s="2">
        <v>150</v>
      </c>
      <c r="F16" s="2">
        <v>600</v>
      </c>
      <c r="G16" s="2">
        <v>120</v>
      </c>
      <c r="H16" s="2">
        <v>100</v>
      </c>
      <c r="I16" s="8"/>
      <c r="J16" s="8"/>
      <c r="K16" s="12"/>
      <c r="L16" s="8"/>
    </row>
    <row r="17" spans="1:12" x14ac:dyDescent="0.3">
      <c r="A17" s="2" t="s">
        <v>104</v>
      </c>
      <c r="B17" s="3">
        <v>4000</v>
      </c>
      <c r="C17" s="2">
        <v>500</v>
      </c>
      <c r="D17" s="4">
        <f t="shared" si="0"/>
        <v>2000000</v>
      </c>
      <c r="E17" s="2">
        <v>110</v>
      </c>
      <c r="F17" s="2">
        <v>230</v>
      </c>
      <c r="G17" s="2">
        <v>200</v>
      </c>
      <c r="H17" s="2">
        <v>70</v>
      </c>
      <c r="I17" s="8"/>
      <c r="J17" s="8"/>
      <c r="K17" s="12"/>
      <c r="L17" s="8"/>
    </row>
    <row r="18" spans="1:12" x14ac:dyDescent="0.3">
      <c r="A18" s="2" t="s">
        <v>105</v>
      </c>
      <c r="B18" s="3">
        <v>4000</v>
      </c>
      <c r="C18" s="2">
        <v>1500</v>
      </c>
      <c r="D18" s="4">
        <f t="shared" si="0"/>
        <v>6000000</v>
      </c>
      <c r="E18" s="2">
        <v>530</v>
      </c>
      <c r="F18" s="2">
        <v>320</v>
      </c>
      <c r="G18" s="2">
        <v>90</v>
      </c>
      <c r="H18" s="2">
        <v>270</v>
      </c>
      <c r="I18" s="8"/>
      <c r="J18" s="8"/>
      <c r="K18" s="12"/>
      <c r="L18" s="8"/>
    </row>
    <row r="19" spans="1:12" x14ac:dyDescent="0.3">
      <c r="A19" s="2" t="s">
        <v>106</v>
      </c>
      <c r="B19" s="3">
        <v>2500</v>
      </c>
      <c r="C19" s="2">
        <v>1500</v>
      </c>
      <c r="D19" s="4">
        <f t="shared" si="0"/>
        <v>3750000</v>
      </c>
      <c r="E19" s="2">
        <v>550</v>
      </c>
      <c r="F19" s="2">
        <v>470</v>
      </c>
      <c r="G19" s="2">
        <v>340</v>
      </c>
      <c r="H19" s="2">
        <v>230</v>
      </c>
      <c r="I19" s="8"/>
      <c r="J19" s="8"/>
      <c r="K19" s="12"/>
      <c r="L19" s="8"/>
    </row>
    <row r="20" spans="1:12" x14ac:dyDescent="0.3">
      <c r="A20" s="2" t="s">
        <v>107</v>
      </c>
      <c r="B20" s="3">
        <v>4000</v>
      </c>
      <c r="C20" s="2">
        <v>1500</v>
      </c>
      <c r="D20" s="4">
        <f t="shared" si="0"/>
        <v>6000000</v>
      </c>
      <c r="E20" s="2">
        <v>190</v>
      </c>
      <c r="F20" s="2">
        <v>250</v>
      </c>
      <c r="G20" s="2">
        <v>520</v>
      </c>
      <c r="H20" s="2">
        <v>320</v>
      </c>
      <c r="I20" s="8"/>
      <c r="J20" s="8"/>
      <c r="K20" s="12"/>
      <c r="L20" s="8"/>
    </row>
    <row r="21" spans="1:12" x14ac:dyDescent="0.3">
      <c r="A21" s="2" t="s">
        <v>108</v>
      </c>
      <c r="B21" s="3">
        <v>3000</v>
      </c>
      <c r="C21" s="2">
        <v>700</v>
      </c>
      <c r="D21" s="4">
        <f t="shared" si="0"/>
        <v>2100000</v>
      </c>
      <c r="E21" s="2">
        <v>350</v>
      </c>
      <c r="F21" s="2">
        <v>70</v>
      </c>
      <c r="G21" s="2">
        <v>100</v>
      </c>
      <c r="H21" s="2">
        <v>520</v>
      </c>
      <c r="I21" s="8"/>
      <c r="J21" s="8"/>
      <c r="K21" s="12"/>
      <c r="L21" s="8"/>
    </row>
    <row r="22" spans="1:12" x14ac:dyDescent="0.3">
      <c r="A22" s="2" t="s">
        <v>109</v>
      </c>
      <c r="B22" s="3">
        <v>4500</v>
      </c>
      <c r="C22" s="2">
        <v>1500</v>
      </c>
      <c r="D22" s="4">
        <f t="shared" si="0"/>
        <v>6750000</v>
      </c>
      <c r="E22" s="2">
        <v>170</v>
      </c>
      <c r="F22" s="2">
        <v>220</v>
      </c>
      <c r="G22" s="2">
        <v>600</v>
      </c>
      <c r="H22" s="2">
        <v>340</v>
      </c>
      <c r="I22" s="8"/>
      <c r="J22" s="8"/>
      <c r="K22" s="12"/>
      <c r="L22" s="8"/>
    </row>
    <row r="23" spans="1:12" x14ac:dyDescent="0.3">
      <c r="A23" s="2" t="s">
        <v>110</v>
      </c>
      <c r="B23" s="3">
        <v>1000</v>
      </c>
      <c r="C23" s="2">
        <v>500</v>
      </c>
      <c r="D23" s="4">
        <f t="shared" si="0"/>
        <v>500000</v>
      </c>
      <c r="E23" s="2">
        <v>120</v>
      </c>
      <c r="F23" s="2">
        <v>110</v>
      </c>
      <c r="G23" s="2">
        <v>120</v>
      </c>
      <c r="H23" s="2">
        <v>500</v>
      </c>
      <c r="I23" s="8"/>
      <c r="J23" s="8"/>
      <c r="K23" s="12"/>
      <c r="L23" s="8"/>
    </row>
    <row r="24" spans="1:12" x14ac:dyDescent="0.3">
      <c r="A24" s="129" t="s">
        <v>23</v>
      </c>
      <c r="B24" s="130"/>
      <c r="C24" s="4"/>
      <c r="D24" s="4"/>
      <c r="E24" s="4"/>
      <c r="F24" s="4"/>
      <c r="G24" s="4"/>
      <c r="H24" s="4"/>
      <c r="I24" s="4"/>
      <c r="J24" s="4"/>
      <c r="K24" s="13"/>
      <c r="L24" s="11"/>
    </row>
    <row r="25" spans="1:12" x14ac:dyDescent="0.3">
      <c r="A25" s="119" t="s">
        <v>36</v>
      </c>
      <c r="B25" s="119"/>
      <c r="C25" s="119"/>
      <c r="D25" s="119"/>
      <c r="E25" s="8"/>
      <c r="F25" s="8"/>
      <c r="G25" s="8"/>
      <c r="H25" s="8"/>
      <c r="I25" s="4"/>
      <c r="J25" s="4"/>
      <c r="K25" s="123"/>
      <c r="L25" s="124"/>
    </row>
    <row r="26" spans="1:12" x14ac:dyDescent="0.3">
      <c r="A26" s="119" t="s">
        <v>37</v>
      </c>
      <c r="B26" s="119"/>
      <c r="C26" s="119"/>
      <c r="D26" s="119"/>
      <c r="E26" s="8"/>
      <c r="F26" s="8"/>
      <c r="G26" s="8"/>
      <c r="H26" s="8"/>
      <c r="I26" s="4"/>
      <c r="J26" s="4"/>
      <c r="K26" s="125"/>
      <c r="L26" s="126"/>
    </row>
    <row r="27" spans="1:12" x14ac:dyDescent="0.3">
      <c r="A27" s="119" t="s">
        <v>38</v>
      </c>
      <c r="B27" s="119"/>
      <c r="C27" s="119"/>
      <c r="D27" s="119"/>
      <c r="E27" s="8"/>
      <c r="F27" s="8"/>
      <c r="G27" s="8"/>
      <c r="H27" s="8"/>
      <c r="I27" s="4"/>
      <c r="J27" s="4"/>
      <c r="K27" s="125"/>
      <c r="L27" s="126"/>
    </row>
    <row r="28" spans="1:12" x14ac:dyDescent="0.3">
      <c r="A28" s="119" t="s">
        <v>39</v>
      </c>
      <c r="B28" s="119"/>
      <c r="C28" s="119"/>
      <c r="D28" s="119"/>
      <c r="E28" s="8"/>
      <c r="F28" s="8"/>
      <c r="G28" s="8"/>
      <c r="H28" s="8"/>
      <c r="I28" s="4"/>
      <c r="J28" s="4"/>
      <c r="K28" s="127"/>
      <c r="L28" s="128"/>
    </row>
    <row r="29" spans="1:12" x14ac:dyDescent="0.3">
      <c r="A29" s="120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2"/>
    </row>
    <row r="30" spans="1:12" x14ac:dyDescent="0.3">
      <c r="A30" s="120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2"/>
    </row>
    <row r="32" spans="1:12" x14ac:dyDescent="0.3">
      <c r="F32" s="1" t="s">
        <v>43</v>
      </c>
    </row>
  </sheetData>
  <mergeCells count="15">
    <mergeCell ref="A30:L30"/>
    <mergeCell ref="K25:L28"/>
    <mergeCell ref="A24:B24"/>
    <mergeCell ref="A1:L1"/>
    <mergeCell ref="L2:L3"/>
    <mergeCell ref="A25:D25"/>
    <mergeCell ref="A26:D26"/>
    <mergeCell ref="A27:D27"/>
    <mergeCell ref="A28:D28"/>
    <mergeCell ref="A29:L29"/>
    <mergeCell ref="A2:A3"/>
    <mergeCell ref="B2:B3"/>
    <mergeCell ref="C2:D2"/>
    <mergeCell ref="E2:J2"/>
    <mergeCell ref="K2:K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0"/>
  <sheetViews>
    <sheetView zoomScaleNormal="100" workbookViewId="0">
      <selection activeCell="M32" sqref="M32"/>
    </sheetView>
  </sheetViews>
  <sheetFormatPr defaultColWidth="9" defaultRowHeight="16.5" x14ac:dyDescent="0.3"/>
  <cols>
    <col min="1" max="1" width="10.75" style="1" customWidth="1"/>
    <col min="2" max="2" width="11.5" style="1" customWidth="1"/>
    <col min="3" max="3" width="10.125" style="1" customWidth="1"/>
    <col min="4" max="4" width="11.5" style="1" customWidth="1"/>
    <col min="5" max="5" width="11.25" style="1" hidden="1" customWidth="1"/>
    <col min="6" max="6" width="11.625" style="1" hidden="1" customWidth="1"/>
    <col min="7" max="7" width="11" style="1" hidden="1" customWidth="1"/>
    <col min="8" max="8" width="10.25" style="1" hidden="1" customWidth="1"/>
    <col min="9" max="9" width="9.25" style="1" customWidth="1"/>
    <col min="10" max="10" width="12.875" style="1" customWidth="1"/>
    <col min="11" max="11" width="9" style="1" customWidth="1"/>
    <col min="12" max="12" width="9.625" style="1" customWidth="1"/>
    <col min="13" max="16384" width="9" style="1"/>
  </cols>
  <sheetData>
    <row r="1" spans="1:12" ht="31.5" x14ac:dyDescent="0.55000000000000004">
      <c r="A1" s="131" t="s">
        <v>42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s="14" customFormat="1" ht="12" customHeight="1" x14ac:dyDescent="0.2">
      <c r="A2" s="138" t="s">
        <v>0</v>
      </c>
      <c r="B2" s="138" t="s">
        <v>1</v>
      </c>
      <c r="C2" s="138" t="s">
        <v>2</v>
      </c>
      <c r="D2" s="138"/>
      <c r="E2" s="138" t="s">
        <v>3</v>
      </c>
      <c r="F2" s="138"/>
      <c r="G2" s="138"/>
      <c r="H2" s="138"/>
      <c r="I2" s="138"/>
      <c r="J2" s="138"/>
      <c r="K2" s="145" t="s">
        <v>19</v>
      </c>
      <c r="L2" s="145" t="s">
        <v>20</v>
      </c>
    </row>
    <row r="3" spans="1:12" s="14" customFormat="1" ht="12" customHeight="1" x14ac:dyDescent="0.2">
      <c r="A3" s="138"/>
      <c r="B3" s="138"/>
      <c r="C3" s="106" t="s">
        <v>4</v>
      </c>
      <c r="D3" s="105" t="s">
        <v>16</v>
      </c>
      <c r="E3" s="16" t="s">
        <v>5</v>
      </c>
      <c r="F3" s="16" t="s">
        <v>6</v>
      </c>
      <c r="G3" s="16" t="s">
        <v>7</v>
      </c>
      <c r="H3" s="16" t="s">
        <v>8</v>
      </c>
      <c r="I3" s="106" t="s">
        <v>18</v>
      </c>
      <c r="J3" s="106" t="s">
        <v>16</v>
      </c>
      <c r="K3" s="145"/>
      <c r="L3" s="145"/>
    </row>
    <row r="4" spans="1:12" s="14" customFormat="1" ht="12" customHeight="1" x14ac:dyDescent="0.2">
      <c r="A4" s="24" t="s">
        <v>310</v>
      </c>
      <c r="B4" s="112">
        <v>3500</v>
      </c>
      <c r="C4" s="25">
        <v>1300</v>
      </c>
      <c r="D4" s="26">
        <f t="shared" ref="D4:D23" si="0">B4*C4</f>
        <v>4550000</v>
      </c>
      <c r="E4" s="25">
        <v>207</v>
      </c>
      <c r="F4" s="25">
        <v>230</v>
      </c>
      <c r="G4" s="25">
        <v>146</v>
      </c>
      <c r="H4" s="25">
        <v>126</v>
      </c>
      <c r="I4" s="27">
        <f t="shared" ref="I4:I23" si="1">SUM(E4:H4)</f>
        <v>709</v>
      </c>
      <c r="J4" s="28">
        <f t="shared" ref="J4:J23" si="2">IF(I4&gt;=1000,I4*B4*1.2,I4*B4)</f>
        <v>2481500</v>
      </c>
      <c r="K4" s="29">
        <f t="shared" ref="K4:K23" si="3">J4/D4</f>
        <v>0.54538461538461536</v>
      </c>
      <c r="L4" s="30">
        <f t="shared" ref="L4:L23" si="4">RANK(J4,$J$4:$J$23)</f>
        <v>17</v>
      </c>
    </row>
    <row r="5" spans="1:12" s="14" customFormat="1" ht="12" customHeight="1" x14ac:dyDescent="0.2">
      <c r="A5" s="31" t="s">
        <v>311</v>
      </c>
      <c r="B5" s="113">
        <v>4000</v>
      </c>
      <c r="C5" s="32">
        <v>1500</v>
      </c>
      <c r="D5" s="33">
        <f t="shared" si="0"/>
        <v>6000000</v>
      </c>
      <c r="E5" s="32">
        <v>130</v>
      </c>
      <c r="F5" s="32">
        <v>500</v>
      </c>
      <c r="G5" s="32">
        <v>90</v>
      </c>
      <c r="H5" s="32">
        <v>220</v>
      </c>
      <c r="I5" s="34">
        <f t="shared" si="1"/>
        <v>940</v>
      </c>
      <c r="J5" s="35">
        <f t="shared" si="2"/>
        <v>3760000</v>
      </c>
      <c r="K5" s="36">
        <f t="shared" si="3"/>
        <v>0.62666666666666671</v>
      </c>
      <c r="L5" s="37">
        <f t="shared" si="4"/>
        <v>12</v>
      </c>
    </row>
    <row r="6" spans="1:12" s="14" customFormat="1" ht="12" customHeight="1" x14ac:dyDescent="0.2">
      <c r="A6" s="31" t="s">
        <v>312</v>
      </c>
      <c r="B6" s="113">
        <v>4000</v>
      </c>
      <c r="C6" s="32">
        <v>1500</v>
      </c>
      <c r="D6" s="33">
        <f t="shared" si="0"/>
        <v>6000000</v>
      </c>
      <c r="E6" s="32">
        <v>456</v>
      </c>
      <c r="F6" s="32">
        <v>260</v>
      </c>
      <c r="G6" s="32">
        <v>175</v>
      </c>
      <c r="H6" s="32">
        <v>210</v>
      </c>
      <c r="I6" s="34">
        <f t="shared" si="1"/>
        <v>1101</v>
      </c>
      <c r="J6" s="35">
        <f t="shared" si="2"/>
        <v>5284800</v>
      </c>
      <c r="K6" s="36">
        <f t="shared" si="3"/>
        <v>0.88080000000000003</v>
      </c>
      <c r="L6" s="37">
        <f t="shared" si="4"/>
        <v>7</v>
      </c>
    </row>
    <row r="7" spans="1:12" s="14" customFormat="1" ht="12" customHeight="1" x14ac:dyDescent="0.2">
      <c r="A7" s="31" t="s">
        <v>313</v>
      </c>
      <c r="B7" s="113">
        <v>4000</v>
      </c>
      <c r="C7" s="32">
        <v>1500</v>
      </c>
      <c r="D7" s="33">
        <f t="shared" si="0"/>
        <v>6000000</v>
      </c>
      <c r="E7" s="32">
        <v>530</v>
      </c>
      <c r="F7" s="32">
        <v>320</v>
      </c>
      <c r="G7" s="32">
        <v>90</v>
      </c>
      <c r="H7" s="32">
        <v>270</v>
      </c>
      <c r="I7" s="34">
        <f t="shared" si="1"/>
        <v>1210</v>
      </c>
      <c r="J7" s="35">
        <f t="shared" si="2"/>
        <v>5808000</v>
      </c>
      <c r="K7" s="36">
        <f t="shared" si="3"/>
        <v>0.96799999999999997</v>
      </c>
      <c r="L7" s="37">
        <f t="shared" si="4"/>
        <v>6</v>
      </c>
    </row>
    <row r="8" spans="1:12" s="14" customFormat="1" ht="12" customHeight="1" x14ac:dyDescent="0.2">
      <c r="A8" s="31" t="s">
        <v>314</v>
      </c>
      <c r="B8" s="113">
        <v>4000</v>
      </c>
      <c r="C8" s="32">
        <v>1500</v>
      </c>
      <c r="D8" s="33">
        <f t="shared" si="0"/>
        <v>6000000</v>
      </c>
      <c r="E8" s="32">
        <v>190</v>
      </c>
      <c r="F8" s="32">
        <v>250</v>
      </c>
      <c r="G8" s="32">
        <v>520</v>
      </c>
      <c r="H8" s="32">
        <v>320</v>
      </c>
      <c r="I8" s="34">
        <f t="shared" si="1"/>
        <v>1280</v>
      </c>
      <c r="J8" s="35">
        <f t="shared" si="2"/>
        <v>6144000</v>
      </c>
      <c r="K8" s="36">
        <f t="shared" si="3"/>
        <v>1.024</v>
      </c>
      <c r="L8" s="37">
        <f t="shared" si="4"/>
        <v>5</v>
      </c>
    </row>
    <row r="9" spans="1:12" s="14" customFormat="1" ht="12" customHeight="1" x14ac:dyDescent="0.2">
      <c r="A9" s="31" t="s">
        <v>315</v>
      </c>
      <c r="B9" s="113">
        <v>4500</v>
      </c>
      <c r="C9" s="32">
        <v>1500</v>
      </c>
      <c r="D9" s="33">
        <f t="shared" si="0"/>
        <v>6750000</v>
      </c>
      <c r="E9" s="32">
        <v>170</v>
      </c>
      <c r="F9" s="32">
        <v>220</v>
      </c>
      <c r="G9" s="32">
        <v>600</v>
      </c>
      <c r="H9" s="32">
        <v>340</v>
      </c>
      <c r="I9" s="34">
        <f t="shared" si="1"/>
        <v>1330</v>
      </c>
      <c r="J9" s="35">
        <f t="shared" si="2"/>
        <v>7182000</v>
      </c>
      <c r="K9" s="36">
        <f t="shared" si="3"/>
        <v>1.0640000000000001</v>
      </c>
      <c r="L9" s="37">
        <f t="shared" si="4"/>
        <v>2</v>
      </c>
    </row>
    <row r="10" spans="1:12" s="14" customFormat="1" ht="12" customHeight="1" x14ac:dyDescent="0.2">
      <c r="A10" s="31" t="s">
        <v>309</v>
      </c>
      <c r="B10" s="113">
        <v>5000</v>
      </c>
      <c r="C10" s="32">
        <v>550</v>
      </c>
      <c r="D10" s="33">
        <f t="shared" si="0"/>
        <v>2750000</v>
      </c>
      <c r="E10" s="32">
        <v>120</v>
      </c>
      <c r="F10" s="32">
        <v>195</v>
      </c>
      <c r="G10" s="32">
        <v>123</v>
      </c>
      <c r="H10" s="32">
        <v>200</v>
      </c>
      <c r="I10" s="34">
        <f t="shared" si="1"/>
        <v>638</v>
      </c>
      <c r="J10" s="35">
        <f t="shared" si="2"/>
        <v>3190000</v>
      </c>
      <c r="K10" s="36">
        <f t="shared" si="3"/>
        <v>1.1599999999999999</v>
      </c>
      <c r="L10" s="37">
        <f t="shared" si="4"/>
        <v>15</v>
      </c>
    </row>
    <row r="11" spans="1:12" s="14" customFormat="1" ht="12" customHeight="1" x14ac:dyDescent="0.2">
      <c r="A11" s="31" t="s">
        <v>316</v>
      </c>
      <c r="B11" s="113">
        <v>1200</v>
      </c>
      <c r="C11" s="32">
        <v>1900</v>
      </c>
      <c r="D11" s="33">
        <f t="shared" si="0"/>
        <v>2280000</v>
      </c>
      <c r="E11" s="32">
        <v>370</v>
      </c>
      <c r="F11" s="32">
        <v>450</v>
      </c>
      <c r="G11" s="32">
        <v>470</v>
      </c>
      <c r="H11" s="32">
        <v>560</v>
      </c>
      <c r="I11" s="34">
        <f t="shared" si="1"/>
        <v>1850</v>
      </c>
      <c r="J11" s="35">
        <f t="shared" si="2"/>
        <v>2664000</v>
      </c>
      <c r="K11" s="36">
        <f t="shared" si="3"/>
        <v>1.168421052631579</v>
      </c>
      <c r="L11" s="37">
        <f t="shared" si="4"/>
        <v>16</v>
      </c>
    </row>
    <row r="12" spans="1:12" s="14" customFormat="1" ht="12" customHeight="1" x14ac:dyDescent="0.2">
      <c r="A12" s="31" t="s">
        <v>317</v>
      </c>
      <c r="B12" s="113">
        <v>4000</v>
      </c>
      <c r="C12" s="32">
        <v>500</v>
      </c>
      <c r="D12" s="33">
        <f t="shared" si="0"/>
        <v>2000000</v>
      </c>
      <c r="E12" s="32">
        <v>110</v>
      </c>
      <c r="F12" s="32">
        <v>230</v>
      </c>
      <c r="G12" s="32">
        <v>200</v>
      </c>
      <c r="H12" s="32">
        <v>70</v>
      </c>
      <c r="I12" s="34">
        <f t="shared" si="1"/>
        <v>610</v>
      </c>
      <c r="J12" s="35">
        <f t="shared" si="2"/>
        <v>2440000</v>
      </c>
      <c r="K12" s="36">
        <f t="shared" si="3"/>
        <v>1.22</v>
      </c>
      <c r="L12" s="37">
        <f t="shared" si="4"/>
        <v>19</v>
      </c>
    </row>
    <row r="13" spans="1:12" s="14" customFormat="1" ht="12" customHeight="1" x14ac:dyDescent="0.2">
      <c r="A13" s="31" t="s">
        <v>318</v>
      </c>
      <c r="B13" s="113">
        <v>2500</v>
      </c>
      <c r="C13" s="32">
        <v>1500</v>
      </c>
      <c r="D13" s="33">
        <f t="shared" si="0"/>
        <v>3750000</v>
      </c>
      <c r="E13" s="32">
        <v>550</v>
      </c>
      <c r="F13" s="32">
        <v>470</v>
      </c>
      <c r="G13" s="32">
        <v>340</v>
      </c>
      <c r="H13" s="32">
        <v>230</v>
      </c>
      <c r="I13" s="34">
        <f t="shared" si="1"/>
        <v>1590</v>
      </c>
      <c r="J13" s="35">
        <f t="shared" si="2"/>
        <v>4770000</v>
      </c>
      <c r="K13" s="36">
        <f t="shared" si="3"/>
        <v>1.272</v>
      </c>
      <c r="L13" s="37">
        <f t="shared" si="4"/>
        <v>9</v>
      </c>
    </row>
    <row r="14" spans="1:12" s="14" customFormat="1" ht="12" customHeight="1" x14ac:dyDescent="0.2">
      <c r="A14" s="31" t="s">
        <v>319</v>
      </c>
      <c r="B14" s="113">
        <v>3500</v>
      </c>
      <c r="C14" s="32">
        <v>1450</v>
      </c>
      <c r="D14" s="33">
        <f t="shared" si="0"/>
        <v>5075000</v>
      </c>
      <c r="E14" s="32">
        <v>425</v>
      </c>
      <c r="F14" s="32">
        <v>450</v>
      </c>
      <c r="G14" s="32">
        <v>520</v>
      </c>
      <c r="H14" s="32">
        <v>144</v>
      </c>
      <c r="I14" s="34">
        <f t="shared" si="1"/>
        <v>1539</v>
      </c>
      <c r="J14" s="35">
        <f t="shared" si="2"/>
        <v>6463800</v>
      </c>
      <c r="K14" s="36">
        <f t="shared" si="3"/>
        <v>1.273655172413793</v>
      </c>
      <c r="L14" s="37">
        <f t="shared" si="4"/>
        <v>4</v>
      </c>
    </row>
    <row r="15" spans="1:12" s="14" customFormat="1" ht="12" customHeight="1" x14ac:dyDescent="0.2">
      <c r="A15" s="31" t="s">
        <v>320</v>
      </c>
      <c r="B15" s="113">
        <v>2000</v>
      </c>
      <c r="C15" s="32">
        <v>1700</v>
      </c>
      <c r="D15" s="33">
        <f t="shared" si="0"/>
        <v>3400000</v>
      </c>
      <c r="E15" s="32">
        <v>350</v>
      </c>
      <c r="F15" s="32">
        <v>420</v>
      </c>
      <c r="G15" s="32">
        <v>510</v>
      </c>
      <c r="H15" s="32">
        <v>580</v>
      </c>
      <c r="I15" s="34">
        <f t="shared" si="1"/>
        <v>1860</v>
      </c>
      <c r="J15" s="35">
        <f t="shared" si="2"/>
        <v>4464000</v>
      </c>
      <c r="K15" s="36">
        <f t="shared" si="3"/>
        <v>1.3129411764705883</v>
      </c>
      <c r="L15" s="37">
        <f t="shared" si="4"/>
        <v>10</v>
      </c>
    </row>
    <row r="16" spans="1:12" s="14" customFormat="1" ht="12" customHeight="1" x14ac:dyDescent="0.2">
      <c r="A16" s="31" t="s">
        <v>321</v>
      </c>
      <c r="B16" s="113">
        <v>2800</v>
      </c>
      <c r="C16" s="32">
        <v>1650</v>
      </c>
      <c r="D16" s="33">
        <f t="shared" si="0"/>
        <v>4620000</v>
      </c>
      <c r="E16" s="32">
        <v>440</v>
      </c>
      <c r="F16" s="32">
        <v>480</v>
      </c>
      <c r="G16" s="32">
        <v>560</v>
      </c>
      <c r="H16" s="32">
        <v>500</v>
      </c>
      <c r="I16" s="34">
        <f t="shared" si="1"/>
        <v>1980</v>
      </c>
      <c r="J16" s="35">
        <f t="shared" si="2"/>
        <v>6652800</v>
      </c>
      <c r="K16" s="36">
        <f t="shared" si="3"/>
        <v>1.44</v>
      </c>
      <c r="L16" s="37">
        <f t="shared" si="4"/>
        <v>3</v>
      </c>
    </row>
    <row r="17" spans="1:12" s="14" customFormat="1" ht="12" customHeight="1" x14ac:dyDescent="0.2">
      <c r="A17" s="31" t="s">
        <v>322</v>
      </c>
      <c r="B17" s="113">
        <v>4500</v>
      </c>
      <c r="C17" s="32">
        <v>1250</v>
      </c>
      <c r="D17" s="33">
        <f t="shared" si="0"/>
        <v>5625000</v>
      </c>
      <c r="E17" s="32">
        <v>315</v>
      </c>
      <c r="F17" s="32">
        <v>980</v>
      </c>
      <c r="G17" s="32">
        <v>260</v>
      </c>
      <c r="H17" s="32">
        <v>120</v>
      </c>
      <c r="I17" s="34">
        <f t="shared" si="1"/>
        <v>1675</v>
      </c>
      <c r="J17" s="35">
        <f t="shared" si="2"/>
        <v>9045000</v>
      </c>
      <c r="K17" s="36">
        <f t="shared" si="3"/>
        <v>1.6080000000000001</v>
      </c>
      <c r="L17" s="37">
        <f t="shared" si="4"/>
        <v>1</v>
      </c>
    </row>
    <row r="18" spans="1:12" s="14" customFormat="1" ht="12" customHeight="1" x14ac:dyDescent="0.2">
      <c r="A18" s="31" t="s">
        <v>323</v>
      </c>
      <c r="B18" s="113">
        <v>4000</v>
      </c>
      <c r="C18" s="32">
        <v>750</v>
      </c>
      <c r="D18" s="33">
        <f t="shared" si="0"/>
        <v>3000000</v>
      </c>
      <c r="E18" s="32">
        <v>389</v>
      </c>
      <c r="F18" s="32">
        <v>225</v>
      </c>
      <c r="G18" s="32">
        <v>150</v>
      </c>
      <c r="H18" s="32">
        <v>250</v>
      </c>
      <c r="I18" s="34">
        <f t="shared" si="1"/>
        <v>1014</v>
      </c>
      <c r="J18" s="35">
        <f t="shared" si="2"/>
        <v>4867200</v>
      </c>
      <c r="K18" s="36">
        <f t="shared" si="3"/>
        <v>1.6224000000000001</v>
      </c>
      <c r="L18" s="37">
        <f t="shared" si="4"/>
        <v>8</v>
      </c>
    </row>
    <row r="19" spans="1:12" s="14" customFormat="1" ht="12" customHeight="1" x14ac:dyDescent="0.2">
      <c r="A19" s="31" t="s">
        <v>324</v>
      </c>
      <c r="B19" s="113">
        <v>3000</v>
      </c>
      <c r="C19" s="32">
        <v>500</v>
      </c>
      <c r="D19" s="33">
        <f t="shared" si="0"/>
        <v>1500000</v>
      </c>
      <c r="E19" s="32">
        <v>280</v>
      </c>
      <c r="F19" s="32">
        <v>200</v>
      </c>
      <c r="G19" s="32">
        <v>167</v>
      </c>
      <c r="H19" s="32">
        <v>180</v>
      </c>
      <c r="I19" s="34">
        <f t="shared" si="1"/>
        <v>827</v>
      </c>
      <c r="J19" s="35">
        <f t="shared" si="2"/>
        <v>2481000</v>
      </c>
      <c r="K19" s="36">
        <f t="shared" si="3"/>
        <v>1.6539999999999999</v>
      </c>
      <c r="L19" s="37">
        <f t="shared" si="4"/>
        <v>18</v>
      </c>
    </row>
    <row r="20" spans="1:12" s="14" customFormat="1" ht="12" customHeight="1" x14ac:dyDescent="0.2">
      <c r="A20" s="31" t="s">
        <v>325</v>
      </c>
      <c r="B20" s="113">
        <v>1000</v>
      </c>
      <c r="C20" s="32">
        <v>500</v>
      </c>
      <c r="D20" s="33">
        <f t="shared" si="0"/>
        <v>500000</v>
      </c>
      <c r="E20" s="32">
        <v>120</v>
      </c>
      <c r="F20" s="32">
        <v>110</v>
      </c>
      <c r="G20" s="32">
        <v>120</v>
      </c>
      <c r="H20" s="32">
        <v>500</v>
      </c>
      <c r="I20" s="34">
        <f t="shared" si="1"/>
        <v>850</v>
      </c>
      <c r="J20" s="35">
        <f t="shared" si="2"/>
        <v>850000</v>
      </c>
      <c r="K20" s="36">
        <f t="shared" si="3"/>
        <v>1.7</v>
      </c>
      <c r="L20" s="37">
        <f t="shared" si="4"/>
        <v>20</v>
      </c>
    </row>
    <row r="21" spans="1:12" s="14" customFormat="1" ht="12" customHeight="1" x14ac:dyDescent="0.2">
      <c r="A21" s="31" t="s">
        <v>326</v>
      </c>
      <c r="B21" s="113">
        <v>3000</v>
      </c>
      <c r="C21" s="32">
        <v>700</v>
      </c>
      <c r="D21" s="33">
        <f t="shared" si="0"/>
        <v>2100000</v>
      </c>
      <c r="E21" s="32">
        <v>350</v>
      </c>
      <c r="F21" s="32">
        <v>70</v>
      </c>
      <c r="G21" s="32">
        <v>100</v>
      </c>
      <c r="H21" s="32">
        <v>520</v>
      </c>
      <c r="I21" s="34">
        <f t="shared" si="1"/>
        <v>1040</v>
      </c>
      <c r="J21" s="35">
        <f t="shared" si="2"/>
        <v>3744000</v>
      </c>
      <c r="K21" s="36">
        <f t="shared" si="3"/>
        <v>1.7828571428571429</v>
      </c>
      <c r="L21" s="37">
        <f t="shared" si="4"/>
        <v>13</v>
      </c>
    </row>
    <row r="22" spans="1:12" s="14" customFormat="1" ht="12" customHeight="1" x14ac:dyDescent="0.2">
      <c r="A22" s="31" t="s">
        <v>327</v>
      </c>
      <c r="B22" s="113">
        <v>4000</v>
      </c>
      <c r="C22" s="32">
        <v>500</v>
      </c>
      <c r="D22" s="33">
        <f t="shared" si="0"/>
        <v>2000000</v>
      </c>
      <c r="E22" s="32">
        <v>150</v>
      </c>
      <c r="F22" s="32">
        <v>600</v>
      </c>
      <c r="G22" s="32">
        <v>120</v>
      </c>
      <c r="H22" s="32">
        <v>100</v>
      </c>
      <c r="I22" s="34">
        <f t="shared" si="1"/>
        <v>970</v>
      </c>
      <c r="J22" s="35">
        <f t="shared" si="2"/>
        <v>3880000</v>
      </c>
      <c r="K22" s="36">
        <f t="shared" si="3"/>
        <v>1.94</v>
      </c>
      <c r="L22" s="37">
        <f t="shared" si="4"/>
        <v>11</v>
      </c>
    </row>
    <row r="23" spans="1:12" s="14" customFormat="1" ht="12" customHeight="1" x14ac:dyDescent="0.2">
      <c r="A23" s="38" t="s">
        <v>328</v>
      </c>
      <c r="B23" s="114">
        <v>2000</v>
      </c>
      <c r="C23" s="39">
        <v>300</v>
      </c>
      <c r="D23" s="40">
        <f t="shared" si="0"/>
        <v>600000</v>
      </c>
      <c r="E23" s="39">
        <v>450</v>
      </c>
      <c r="F23" s="39">
        <v>340</v>
      </c>
      <c r="G23" s="39">
        <v>110</v>
      </c>
      <c r="H23" s="39">
        <v>520</v>
      </c>
      <c r="I23" s="41">
        <f t="shared" si="1"/>
        <v>1420</v>
      </c>
      <c r="J23" s="42">
        <f t="shared" si="2"/>
        <v>3408000</v>
      </c>
      <c r="K23" s="43">
        <f t="shared" si="3"/>
        <v>5.68</v>
      </c>
      <c r="L23" s="44">
        <f t="shared" si="4"/>
        <v>14</v>
      </c>
    </row>
    <row r="24" spans="1:12" s="14" customFormat="1" ht="12" customHeight="1" x14ac:dyDescent="0.2">
      <c r="A24" s="136" t="s">
        <v>23</v>
      </c>
      <c r="B24" s="137"/>
      <c r="C24" s="17">
        <f>SUM(C4:C23)</f>
        <v>22550</v>
      </c>
      <c r="D24" s="18">
        <f t="shared" ref="D24:J24" si="5">SUM(D4:D23)</f>
        <v>74500000</v>
      </c>
      <c r="E24" s="105"/>
      <c r="F24" s="105"/>
      <c r="G24" s="105"/>
      <c r="H24" s="105"/>
      <c r="I24" s="21">
        <f t="shared" si="5"/>
        <v>24433</v>
      </c>
      <c r="J24" s="18">
        <f t="shared" si="5"/>
        <v>89580100</v>
      </c>
      <c r="K24" s="22">
        <f>AVERAGE(K4:K23)</f>
        <v>1.4971562913212193</v>
      </c>
      <c r="L24" s="107"/>
    </row>
    <row r="25" spans="1:12" s="14" customFormat="1" ht="12" customHeight="1" x14ac:dyDescent="0.2">
      <c r="A25" s="138" t="s">
        <v>36</v>
      </c>
      <c r="B25" s="138"/>
      <c r="C25" s="138"/>
      <c r="D25" s="138"/>
      <c r="E25" s="20"/>
      <c r="F25" s="20"/>
      <c r="G25" s="20"/>
      <c r="H25" s="20"/>
      <c r="I25" s="21">
        <f>SUMIFS(I4:I23,$L$4:$L$23,"&lt;10",$A$4:$A$23,"*차*")</f>
        <v>4470</v>
      </c>
      <c r="J25" s="18">
        <f>SUMIFS(J4:J23,$L$4:$L$23,"&lt;10",$A$4:$A$23,"*차*")</f>
        <v>18604800</v>
      </c>
      <c r="K25" s="139"/>
      <c r="L25" s="140"/>
    </row>
    <row r="26" spans="1:12" s="14" customFormat="1" ht="12" customHeight="1" x14ac:dyDescent="0.2">
      <c r="A26" s="138" t="s">
        <v>37</v>
      </c>
      <c r="B26" s="138"/>
      <c r="C26" s="138"/>
      <c r="D26" s="138"/>
      <c r="E26" s="20"/>
      <c r="F26" s="20"/>
      <c r="G26" s="20"/>
      <c r="H26" s="20"/>
      <c r="I26" s="21">
        <f>SUMIFS(I4:I23,$L$4:$L$23,"&gt;=10",$A$4:$A$23,"*주스*")</f>
        <v>3867</v>
      </c>
      <c r="J26" s="18">
        <f>SUMIFS(J4:J23,$L$4:$L$23,"&gt;=10",$A$4:$A$23,"*주스*")</f>
        <v>15751500</v>
      </c>
      <c r="K26" s="141"/>
      <c r="L26" s="142"/>
    </row>
    <row r="27" spans="1:12" s="14" customFormat="1" ht="12" customHeight="1" x14ac:dyDescent="0.2">
      <c r="A27" s="138" t="s">
        <v>38</v>
      </c>
      <c r="B27" s="138"/>
      <c r="C27" s="138"/>
      <c r="D27" s="138"/>
      <c r="E27" s="20"/>
      <c r="F27" s="20"/>
      <c r="G27" s="20"/>
      <c r="H27" s="20"/>
      <c r="I27" s="21">
        <f>SUMIF($A$4:$A$23,"*커피*",I4:I23)</f>
        <v>6156</v>
      </c>
      <c r="J27" s="18">
        <f>SUMIF($A$4:$A$23,"*커피*",J4:J23)</f>
        <v>28141800</v>
      </c>
      <c r="K27" s="141"/>
      <c r="L27" s="142"/>
    </row>
    <row r="28" spans="1:12" s="14" customFormat="1" ht="12" customHeight="1" x14ac:dyDescent="0.2">
      <c r="A28" s="138" t="s">
        <v>39</v>
      </c>
      <c r="B28" s="138"/>
      <c r="C28" s="138"/>
      <c r="D28" s="138"/>
      <c r="E28" s="20"/>
      <c r="F28" s="20"/>
      <c r="G28" s="20"/>
      <c r="H28" s="20"/>
      <c r="I28" s="21">
        <f>SUMIFS(I4:I23,$L$4:$L$23,"&gt;=10",$L$4:$L$23,"&lt;15")</f>
        <v>6230</v>
      </c>
      <c r="J28" s="18">
        <f>SUMIFS(J4:J23,$L$4:$L$23,"&gt;=10",$L$4:$L$23,"&lt;15")</f>
        <v>19256000</v>
      </c>
      <c r="K28" s="143"/>
      <c r="L28" s="144"/>
    </row>
    <row r="29" spans="1:12" s="14" customFormat="1" ht="12" customHeight="1" x14ac:dyDescent="0.2">
      <c r="A29" s="133" t="s">
        <v>40</v>
      </c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5"/>
    </row>
    <row r="30" spans="1:12" s="14" customFormat="1" ht="12" customHeight="1" x14ac:dyDescent="0.2">
      <c r="A30" s="133" t="s">
        <v>41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5"/>
    </row>
    <row r="31" spans="1:12" s="14" customFormat="1" ht="12" x14ac:dyDescent="0.2"/>
    <row r="32" spans="1:12" s="14" customFormat="1" ht="12" x14ac:dyDescent="0.2"/>
    <row r="33" spans="2:11" s="14" customFormat="1" ht="12" x14ac:dyDescent="0.2">
      <c r="I33" s="23" t="s">
        <v>44</v>
      </c>
      <c r="J33" s="23" t="s">
        <v>45</v>
      </c>
      <c r="K33" s="23" t="s">
        <v>46</v>
      </c>
    </row>
    <row r="34" spans="2:11" s="14" customFormat="1" ht="12" x14ac:dyDescent="0.2">
      <c r="B34" s="108"/>
      <c r="I34" s="15" t="s">
        <v>9</v>
      </c>
      <c r="J34" s="17">
        <v>1300</v>
      </c>
      <c r="K34" s="19">
        <v>709</v>
      </c>
    </row>
    <row r="35" spans="2:11" s="14" customFormat="1" ht="12" x14ac:dyDescent="0.2">
      <c r="B35" s="108"/>
      <c r="I35" s="15" t="s">
        <v>12</v>
      </c>
      <c r="J35" s="17">
        <v>1500</v>
      </c>
      <c r="K35" s="19">
        <v>940</v>
      </c>
    </row>
    <row r="36" spans="2:11" s="14" customFormat="1" ht="12" x14ac:dyDescent="0.2">
      <c r="B36" s="108"/>
      <c r="I36" s="15" t="s">
        <v>11</v>
      </c>
      <c r="J36" s="17">
        <v>1500</v>
      </c>
      <c r="K36" s="19">
        <v>1101</v>
      </c>
    </row>
    <row r="37" spans="2:11" s="14" customFormat="1" ht="12" x14ac:dyDescent="0.2">
      <c r="B37" s="108"/>
      <c r="I37" s="15" t="s">
        <v>13</v>
      </c>
      <c r="J37" s="17">
        <v>1500</v>
      </c>
      <c r="K37" s="19">
        <v>1210</v>
      </c>
    </row>
    <row r="38" spans="2:11" s="14" customFormat="1" ht="12" x14ac:dyDescent="0.2">
      <c r="B38" s="108"/>
      <c r="I38" s="15" t="s">
        <v>14</v>
      </c>
      <c r="J38" s="17">
        <v>1500</v>
      </c>
      <c r="K38" s="19">
        <v>1280</v>
      </c>
    </row>
    <row r="39" spans="2:11" s="14" customFormat="1" ht="12" x14ac:dyDescent="0.2">
      <c r="B39" s="108"/>
      <c r="I39" s="15" t="s">
        <v>15</v>
      </c>
      <c r="J39" s="17">
        <v>1500</v>
      </c>
      <c r="K39" s="19">
        <v>1330</v>
      </c>
    </row>
    <row r="40" spans="2:11" s="14" customFormat="1" ht="12" x14ac:dyDescent="0.2">
      <c r="B40" s="108"/>
      <c r="I40" s="15" t="s">
        <v>10</v>
      </c>
      <c r="J40" s="17">
        <v>1900</v>
      </c>
      <c r="K40" s="19">
        <v>1850</v>
      </c>
    </row>
  </sheetData>
  <sortState ref="A4:L23">
    <sortCondition ref="K4:K23"/>
    <sortCondition ref="A4:A23"/>
  </sortState>
  <mergeCells count="15">
    <mergeCell ref="A29:L29"/>
    <mergeCell ref="A30:L30"/>
    <mergeCell ref="A1:L1"/>
    <mergeCell ref="A24:B24"/>
    <mergeCell ref="A25:D25"/>
    <mergeCell ref="K25:L28"/>
    <mergeCell ref="A26:D26"/>
    <mergeCell ref="A27:D27"/>
    <mergeCell ref="A28:D28"/>
    <mergeCell ref="A2:A3"/>
    <mergeCell ref="B2:B3"/>
    <mergeCell ref="C2:D2"/>
    <mergeCell ref="E2:J2"/>
    <mergeCell ref="K2:K3"/>
    <mergeCell ref="L2:L3"/>
  </mergeCells>
  <phoneticPr fontId="3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3:G24"/>
  <sheetViews>
    <sheetView workbookViewId="0">
      <selection activeCell="B5" sqref="B5:C24"/>
    </sheetView>
  </sheetViews>
  <sheetFormatPr defaultColWidth="9" defaultRowHeight="16.5" x14ac:dyDescent="0.3"/>
  <cols>
    <col min="1" max="3" width="9" style="1"/>
    <col min="4" max="6" width="9.125" style="1" bestFit="1" customWidth="1"/>
    <col min="7" max="7" width="9.25" style="1" bestFit="1" customWidth="1"/>
    <col min="8" max="16384" width="9" style="1"/>
  </cols>
  <sheetData>
    <row r="3" spans="2:7" x14ac:dyDescent="0.3">
      <c r="B3" s="45" t="s">
        <v>47</v>
      </c>
    </row>
    <row r="4" spans="2:7" x14ac:dyDescent="0.3"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</row>
    <row r="5" spans="2:7" x14ac:dyDescent="0.3">
      <c r="B5" s="2" t="s">
        <v>329</v>
      </c>
      <c r="C5" s="2" t="s">
        <v>330</v>
      </c>
      <c r="D5" s="2">
        <v>1</v>
      </c>
      <c r="E5" s="2">
        <v>30</v>
      </c>
      <c r="F5" s="2">
        <v>3</v>
      </c>
      <c r="G5" s="3">
        <v>1003000</v>
      </c>
    </row>
    <row r="6" spans="2:7" x14ac:dyDescent="0.3">
      <c r="B6" s="2" t="s">
        <v>331</v>
      </c>
      <c r="C6" s="2" t="s">
        <v>332</v>
      </c>
      <c r="D6" s="2">
        <v>1</v>
      </c>
      <c r="E6" s="2">
        <v>45</v>
      </c>
      <c r="F6" s="2">
        <v>4</v>
      </c>
      <c r="G6" s="3">
        <v>850000</v>
      </c>
    </row>
    <row r="7" spans="2:7" x14ac:dyDescent="0.3">
      <c r="B7" s="2" t="s">
        <v>333</v>
      </c>
      <c r="C7" s="2" t="s">
        <v>334</v>
      </c>
      <c r="D7" s="2">
        <v>0</v>
      </c>
      <c r="E7" s="2">
        <v>67</v>
      </c>
      <c r="F7" s="2">
        <v>7</v>
      </c>
      <c r="G7" s="3">
        <v>1120000</v>
      </c>
    </row>
    <row r="8" spans="2:7" x14ac:dyDescent="0.3">
      <c r="B8" s="2" t="s">
        <v>329</v>
      </c>
      <c r="C8" s="2" t="s">
        <v>335</v>
      </c>
      <c r="D8" s="2">
        <v>1</v>
      </c>
      <c r="E8" s="2">
        <v>32</v>
      </c>
      <c r="F8" s="2">
        <v>4</v>
      </c>
      <c r="G8" s="3">
        <v>720000</v>
      </c>
    </row>
    <row r="9" spans="2:7" x14ac:dyDescent="0.3">
      <c r="B9" s="2" t="s">
        <v>331</v>
      </c>
      <c r="C9" s="2" t="s">
        <v>336</v>
      </c>
      <c r="D9" s="2">
        <v>1</v>
      </c>
      <c r="E9" s="2">
        <v>58</v>
      </c>
      <c r="F9" s="2">
        <v>6</v>
      </c>
      <c r="G9" s="3">
        <v>550000</v>
      </c>
    </row>
    <row r="10" spans="2:7" x14ac:dyDescent="0.3">
      <c r="B10" s="2" t="s">
        <v>333</v>
      </c>
      <c r="C10" s="2" t="s">
        <v>337</v>
      </c>
      <c r="D10" s="2">
        <v>1</v>
      </c>
      <c r="E10" s="2">
        <v>21</v>
      </c>
      <c r="F10" s="2">
        <v>3</v>
      </c>
      <c r="G10" s="3">
        <v>985000</v>
      </c>
    </row>
    <row r="11" spans="2:7" x14ac:dyDescent="0.3">
      <c r="B11" s="2" t="s">
        <v>329</v>
      </c>
      <c r="C11" s="2" t="s">
        <v>338</v>
      </c>
      <c r="D11" s="2">
        <v>1</v>
      </c>
      <c r="E11" s="2">
        <v>57</v>
      </c>
      <c r="F11" s="2">
        <v>6</v>
      </c>
      <c r="G11" s="3">
        <v>570000</v>
      </c>
    </row>
    <row r="12" spans="2:7" x14ac:dyDescent="0.3">
      <c r="B12" s="2" t="s">
        <v>331</v>
      </c>
      <c r="C12" s="2" t="s">
        <v>339</v>
      </c>
      <c r="D12" s="2">
        <v>1</v>
      </c>
      <c r="E12" s="2">
        <v>39</v>
      </c>
      <c r="F12" s="2">
        <v>4</v>
      </c>
      <c r="G12" s="3">
        <v>853000</v>
      </c>
    </row>
    <row r="13" spans="2:7" x14ac:dyDescent="0.3">
      <c r="B13" s="2" t="s">
        <v>333</v>
      </c>
      <c r="C13" s="2" t="s">
        <v>340</v>
      </c>
      <c r="D13" s="2">
        <v>1</v>
      </c>
      <c r="E13" s="2">
        <v>42</v>
      </c>
      <c r="F13" s="2">
        <v>5</v>
      </c>
      <c r="G13" s="3">
        <v>1120000</v>
      </c>
    </row>
    <row r="14" spans="2:7" x14ac:dyDescent="0.3">
      <c r="B14" s="2" t="s">
        <v>331</v>
      </c>
      <c r="C14" s="2" t="s">
        <v>341</v>
      </c>
      <c r="D14" s="2">
        <v>0</v>
      </c>
      <c r="E14" s="2">
        <v>33</v>
      </c>
      <c r="F14" s="2">
        <v>6</v>
      </c>
      <c r="G14" s="3">
        <v>660000</v>
      </c>
    </row>
    <row r="15" spans="2:7" x14ac:dyDescent="0.3">
      <c r="B15" s="2" t="s">
        <v>329</v>
      </c>
      <c r="C15" s="2" t="s">
        <v>342</v>
      </c>
      <c r="D15" s="2">
        <v>1</v>
      </c>
      <c r="E15" s="2">
        <v>46</v>
      </c>
      <c r="F15" s="2">
        <v>5</v>
      </c>
      <c r="G15" s="3">
        <v>790000</v>
      </c>
    </row>
    <row r="16" spans="2:7" x14ac:dyDescent="0.3">
      <c r="B16" s="2" t="s">
        <v>331</v>
      </c>
      <c r="C16" s="2" t="s">
        <v>343</v>
      </c>
      <c r="D16" s="2">
        <v>0</v>
      </c>
      <c r="E16" s="2">
        <v>75</v>
      </c>
      <c r="F16" s="2">
        <v>8</v>
      </c>
      <c r="G16" s="3">
        <v>460000</v>
      </c>
    </row>
    <row r="17" spans="2:7" x14ac:dyDescent="0.3">
      <c r="B17" s="2" t="s">
        <v>333</v>
      </c>
      <c r="C17" s="2" t="s">
        <v>344</v>
      </c>
      <c r="D17" s="2">
        <v>0</v>
      </c>
      <c r="E17" s="2">
        <v>35</v>
      </c>
      <c r="F17" s="2">
        <v>3</v>
      </c>
      <c r="G17" s="3">
        <v>800000</v>
      </c>
    </row>
    <row r="18" spans="2:7" x14ac:dyDescent="0.3">
      <c r="B18" s="2" t="s">
        <v>329</v>
      </c>
      <c r="C18" s="2" t="s">
        <v>345</v>
      </c>
      <c r="D18" s="2">
        <v>1</v>
      </c>
      <c r="E18" s="2">
        <v>46</v>
      </c>
      <c r="F18" s="2">
        <v>3</v>
      </c>
      <c r="G18" s="3">
        <v>790000</v>
      </c>
    </row>
    <row r="19" spans="2:7" x14ac:dyDescent="0.3">
      <c r="B19" s="2" t="s">
        <v>333</v>
      </c>
      <c r="C19" s="2" t="s">
        <v>346</v>
      </c>
      <c r="D19" s="2">
        <v>0</v>
      </c>
      <c r="E19" s="2">
        <v>23</v>
      </c>
      <c r="F19" s="2">
        <v>5</v>
      </c>
      <c r="G19" s="3">
        <v>890000</v>
      </c>
    </row>
    <row r="20" spans="2:7" x14ac:dyDescent="0.3">
      <c r="B20" s="2" t="s">
        <v>329</v>
      </c>
      <c r="C20" s="2" t="s">
        <v>347</v>
      </c>
      <c r="D20" s="2">
        <v>1</v>
      </c>
      <c r="E20" s="2">
        <v>38</v>
      </c>
      <c r="F20" s="2">
        <v>2</v>
      </c>
      <c r="G20" s="3">
        <v>720000</v>
      </c>
    </row>
    <row r="21" spans="2:7" x14ac:dyDescent="0.3">
      <c r="B21" s="2" t="s">
        <v>331</v>
      </c>
      <c r="C21" s="2" t="s">
        <v>348</v>
      </c>
      <c r="D21" s="2">
        <v>0</v>
      </c>
      <c r="E21" s="2">
        <v>35</v>
      </c>
      <c r="F21" s="2">
        <v>8</v>
      </c>
      <c r="G21" s="3">
        <v>580000</v>
      </c>
    </row>
    <row r="22" spans="2:7" x14ac:dyDescent="0.3">
      <c r="B22" s="2" t="s">
        <v>329</v>
      </c>
      <c r="C22" s="2" t="s">
        <v>349</v>
      </c>
      <c r="D22" s="2">
        <v>1</v>
      </c>
      <c r="E22" s="2">
        <v>58</v>
      </c>
      <c r="F22" s="2">
        <v>7</v>
      </c>
      <c r="G22" s="3">
        <v>640000</v>
      </c>
    </row>
    <row r="23" spans="2:7" x14ac:dyDescent="0.3">
      <c r="B23" s="2" t="s">
        <v>333</v>
      </c>
      <c r="C23" s="2" t="s">
        <v>350</v>
      </c>
      <c r="D23" s="2">
        <v>0</v>
      </c>
      <c r="E23" s="2">
        <v>47</v>
      </c>
      <c r="F23" s="2">
        <v>5</v>
      </c>
      <c r="G23" s="3">
        <v>670000</v>
      </c>
    </row>
    <row r="24" spans="2:7" x14ac:dyDescent="0.3">
      <c r="B24" s="2" t="s">
        <v>331</v>
      </c>
      <c r="C24" s="2" t="s">
        <v>351</v>
      </c>
      <c r="D24" s="2">
        <v>0</v>
      </c>
      <c r="E24" s="2">
        <v>29</v>
      </c>
      <c r="F24" s="2">
        <v>4</v>
      </c>
      <c r="G24" s="3">
        <v>820000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1"/>
  <sheetViews>
    <sheetView workbookViewId="0">
      <selection activeCell="K10" sqref="K10"/>
    </sheetView>
  </sheetViews>
  <sheetFormatPr defaultColWidth="9" defaultRowHeight="16.5" x14ac:dyDescent="0.3"/>
  <cols>
    <col min="1" max="3" width="9" style="1"/>
    <col min="4" max="6" width="9.125" style="1" customWidth="1"/>
    <col min="7" max="7" width="9.25" style="1" customWidth="1"/>
    <col min="8" max="16384" width="9" style="1"/>
  </cols>
  <sheetData>
    <row r="3" spans="2:12" x14ac:dyDescent="0.3">
      <c r="B3" s="46" t="s">
        <v>361</v>
      </c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2:12" x14ac:dyDescent="0.3">
      <c r="B4" s="2" t="s">
        <v>48</v>
      </c>
      <c r="C4" s="2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2" t="s">
        <v>50</v>
      </c>
      <c r="I4" s="2" t="s">
        <v>54</v>
      </c>
      <c r="J4" s="2" t="s">
        <v>55</v>
      </c>
      <c r="K4" s="2" t="s">
        <v>56</v>
      </c>
      <c r="L4" s="2" t="s">
        <v>57</v>
      </c>
    </row>
    <row r="5" spans="2:12" x14ac:dyDescent="0.3">
      <c r="B5" s="2" t="s">
        <v>329</v>
      </c>
      <c r="C5" s="2" t="s">
        <v>330</v>
      </c>
      <c r="D5" s="2">
        <v>1</v>
      </c>
      <c r="E5" s="2">
        <v>30</v>
      </c>
      <c r="F5" s="2">
        <v>3</v>
      </c>
      <c r="G5" s="3">
        <v>1003000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35</v>
      </c>
    </row>
    <row r="6" spans="2:12" x14ac:dyDescent="0.3">
      <c r="B6" s="2" t="s">
        <v>331</v>
      </c>
      <c r="C6" s="2" t="s">
        <v>332</v>
      </c>
      <c r="D6" s="2">
        <v>1</v>
      </c>
      <c r="E6" s="2">
        <v>45</v>
      </c>
      <c r="F6" s="2">
        <v>4</v>
      </c>
      <c r="G6" s="3">
        <v>850000</v>
      </c>
      <c r="H6" s="6"/>
      <c r="I6" s="6"/>
      <c r="J6" s="6"/>
      <c r="K6" s="6"/>
      <c r="L6" s="6"/>
    </row>
    <row r="7" spans="2:12" x14ac:dyDescent="0.3">
      <c r="B7" s="2" t="s">
        <v>333</v>
      </c>
      <c r="C7" s="2" t="s">
        <v>334</v>
      </c>
      <c r="D7" s="2">
        <v>0</v>
      </c>
      <c r="E7" s="2">
        <v>67</v>
      </c>
      <c r="F7" s="2">
        <v>7</v>
      </c>
      <c r="G7" s="3">
        <v>1120000</v>
      </c>
      <c r="H7" s="6"/>
      <c r="I7" s="6"/>
      <c r="J7" s="6"/>
      <c r="K7" s="6"/>
      <c r="L7" s="6"/>
    </row>
    <row r="8" spans="2:12" x14ac:dyDescent="0.3">
      <c r="B8" s="2" t="s">
        <v>329</v>
      </c>
      <c r="C8" s="2" t="s">
        <v>335</v>
      </c>
      <c r="D8" s="2">
        <v>1</v>
      </c>
      <c r="E8" s="2">
        <v>32</v>
      </c>
      <c r="F8" s="2">
        <v>4</v>
      </c>
      <c r="G8" s="3">
        <v>720000</v>
      </c>
      <c r="H8" s="6"/>
      <c r="I8" s="6"/>
      <c r="J8" s="6"/>
      <c r="K8" s="6"/>
      <c r="L8" s="6"/>
    </row>
    <row r="9" spans="2:12" x14ac:dyDescent="0.3">
      <c r="B9" s="2" t="s">
        <v>331</v>
      </c>
      <c r="C9" s="2" t="s">
        <v>336</v>
      </c>
      <c r="D9" s="2">
        <v>1</v>
      </c>
      <c r="E9" s="2">
        <v>58</v>
      </c>
      <c r="F9" s="2">
        <v>6</v>
      </c>
      <c r="G9" s="3">
        <v>550000</v>
      </c>
      <c r="H9" s="6"/>
      <c r="I9" s="6"/>
      <c r="J9" s="6"/>
      <c r="K9" s="6"/>
      <c r="L9" s="6"/>
    </row>
    <row r="10" spans="2:12" x14ac:dyDescent="0.3">
      <c r="B10" s="2" t="s">
        <v>333</v>
      </c>
      <c r="C10" s="2" t="s">
        <v>337</v>
      </c>
      <c r="D10" s="2">
        <v>1</v>
      </c>
      <c r="E10" s="2">
        <v>21</v>
      </c>
      <c r="F10" s="2">
        <v>3</v>
      </c>
      <c r="G10" s="3">
        <v>985000</v>
      </c>
      <c r="H10" s="6"/>
      <c r="I10" s="6"/>
      <c r="J10" s="6"/>
      <c r="K10" s="6"/>
      <c r="L10" s="6"/>
    </row>
    <row r="11" spans="2:12" x14ac:dyDescent="0.3">
      <c r="B11" s="2" t="s">
        <v>329</v>
      </c>
      <c r="C11" s="2" t="s">
        <v>338</v>
      </c>
      <c r="D11" s="2">
        <v>1</v>
      </c>
      <c r="E11" s="2">
        <v>57</v>
      </c>
      <c r="F11" s="2">
        <v>6</v>
      </c>
      <c r="G11" s="3">
        <v>570000</v>
      </c>
      <c r="H11" s="6"/>
      <c r="I11" s="6"/>
      <c r="J11" s="6"/>
      <c r="K11" s="6"/>
      <c r="L11" s="6"/>
    </row>
    <row r="12" spans="2:12" x14ac:dyDescent="0.3">
      <c r="B12" s="2" t="s">
        <v>331</v>
      </c>
      <c r="C12" s="2" t="s">
        <v>339</v>
      </c>
      <c r="D12" s="2">
        <v>1</v>
      </c>
      <c r="E12" s="2">
        <v>39</v>
      </c>
      <c r="F12" s="2">
        <v>4</v>
      </c>
      <c r="G12" s="3">
        <v>853000</v>
      </c>
      <c r="H12" s="6"/>
      <c r="I12" s="6"/>
      <c r="J12" s="6"/>
      <c r="K12" s="6"/>
      <c r="L12" s="6"/>
    </row>
    <row r="13" spans="2:12" x14ac:dyDescent="0.3">
      <c r="B13" s="2" t="s">
        <v>333</v>
      </c>
      <c r="C13" s="2" t="s">
        <v>340</v>
      </c>
      <c r="D13" s="2">
        <v>1</v>
      </c>
      <c r="E13" s="2">
        <v>42</v>
      </c>
      <c r="F13" s="2">
        <v>5</v>
      </c>
      <c r="G13" s="3">
        <v>1120000</v>
      </c>
      <c r="H13" s="6"/>
      <c r="I13" s="6"/>
      <c r="J13" s="6"/>
      <c r="K13" s="6"/>
      <c r="L13" s="6"/>
    </row>
    <row r="14" spans="2:12" x14ac:dyDescent="0.3">
      <c r="B14" s="2" t="s">
        <v>331</v>
      </c>
      <c r="C14" s="2" t="s">
        <v>341</v>
      </c>
      <c r="D14" s="2">
        <v>0</v>
      </c>
      <c r="E14" s="2">
        <v>33</v>
      </c>
      <c r="F14" s="2">
        <v>6</v>
      </c>
      <c r="G14" s="3">
        <v>660000</v>
      </c>
      <c r="H14" s="6"/>
      <c r="I14" s="6"/>
      <c r="J14" s="6"/>
      <c r="K14" s="6"/>
      <c r="L14" s="6"/>
    </row>
    <row r="15" spans="2:12" x14ac:dyDescent="0.3">
      <c r="B15" s="2" t="s">
        <v>329</v>
      </c>
      <c r="C15" s="2" t="s">
        <v>342</v>
      </c>
      <c r="D15" s="2">
        <v>1</v>
      </c>
      <c r="E15" s="2">
        <v>46</v>
      </c>
      <c r="F15" s="2">
        <v>5</v>
      </c>
      <c r="G15" s="3">
        <v>790000</v>
      </c>
      <c r="H15" s="6"/>
      <c r="I15" s="6"/>
      <c r="J15" s="6"/>
      <c r="K15" s="6"/>
      <c r="L15" s="6"/>
    </row>
    <row r="16" spans="2:12" x14ac:dyDescent="0.3">
      <c r="B16" s="2" t="s">
        <v>331</v>
      </c>
      <c r="C16" s="2" t="s">
        <v>343</v>
      </c>
      <c r="D16" s="2">
        <v>0</v>
      </c>
      <c r="E16" s="2">
        <v>75</v>
      </c>
      <c r="F16" s="2">
        <v>8</v>
      </c>
      <c r="G16" s="3">
        <v>460000</v>
      </c>
      <c r="H16" s="6"/>
      <c r="I16" s="6"/>
      <c r="J16" s="6"/>
      <c r="K16" s="6"/>
      <c r="L16" s="6"/>
    </row>
    <row r="17" spans="2:12" x14ac:dyDescent="0.3">
      <c r="B17" s="2" t="s">
        <v>333</v>
      </c>
      <c r="C17" s="2" t="s">
        <v>344</v>
      </c>
      <c r="D17" s="2">
        <v>0</v>
      </c>
      <c r="E17" s="2">
        <v>35</v>
      </c>
      <c r="F17" s="2">
        <v>3</v>
      </c>
      <c r="G17" s="3">
        <v>800000</v>
      </c>
      <c r="H17" s="6"/>
      <c r="I17" s="6"/>
      <c r="J17" s="6"/>
      <c r="K17" s="6"/>
      <c r="L17" s="6"/>
    </row>
    <row r="18" spans="2:12" x14ac:dyDescent="0.3">
      <c r="B18" s="2" t="s">
        <v>329</v>
      </c>
      <c r="C18" s="2" t="s">
        <v>345</v>
      </c>
      <c r="D18" s="2">
        <v>1</v>
      </c>
      <c r="E18" s="2">
        <v>46</v>
      </c>
      <c r="F18" s="2">
        <v>3</v>
      </c>
      <c r="G18" s="3">
        <v>790000</v>
      </c>
      <c r="H18" s="6"/>
      <c r="I18" s="6"/>
      <c r="J18" s="6"/>
      <c r="K18" s="6"/>
      <c r="L18" s="6"/>
    </row>
    <row r="19" spans="2:12" x14ac:dyDescent="0.3">
      <c r="B19" s="2" t="s">
        <v>333</v>
      </c>
      <c r="C19" s="2" t="s">
        <v>346</v>
      </c>
      <c r="D19" s="2">
        <v>0</v>
      </c>
      <c r="E19" s="2">
        <v>23</v>
      </c>
      <c r="F19" s="2">
        <v>5</v>
      </c>
      <c r="G19" s="3">
        <v>890000</v>
      </c>
      <c r="H19" s="6"/>
      <c r="I19" s="6"/>
      <c r="J19" s="6"/>
      <c r="K19" s="6"/>
      <c r="L19" s="6"/>
    </row>
    <row r="20" spans="2:12" x14ac:dyDescent="0.3">
      <c r="B20" s="2" t="s">
        <v>329</v>
      </c>
      <c r="C20" s="2" t="s">
        <v>347</v>
      </c>
      <c r="D20" s="2">
        <v>1</v>
      </c>
      <c r="E20" s="2">
        <v>38</v>
      </c>
      <c r="F20" s="2">
        <v>2</v>
      </c>
      <c r="G20" s="3">
        <v>720000</v>
      </c>
      <c r="H20" s="6"/>
      <c r="I20" s="6"/>
      <c r="J20" s="6"/>
      <c r="K20" s="6"/>
      <c r="L20" s="6"/>
    </row>
    <row r="21" spans="2:12" x14ac:dyDescent="0.3">
      <c r="B21" s="2" t="s">
        <v>331</v>
      </c>
      <c r="C21" s="2" t="s">
        <v>348</v>
      </c>
      <c r="D21" s="2">
        <v>0</v>
      </c>
      <c r="E21" s="2">
        <v>35</v>
      </c>
      <c r="F21" s="2">
        <v>8</v>
      </c>
      <c r="G21" s="3">
        <v>580000</v>
      </c>
      <c r="H21" s="6"/>
      <c r="I21" s="6"/>
      <c r="J21" s="6"/>
      <c r="K21" s="6"/>
      <c r="L21" s="6"/>
    </row>
    <row r="22" spans="2:12" x14ac:dyDescent="0.3">
      <c r="B22" s="2" t="s">
        <v>329</v>
      </c>
      <c r="C22" s="2" t="s">
        <v>349</v>
      </c>
      <c r="D22" s="2">
        <v>1</v>
      </c>
      <c r="E22" s="2">
        <v>58</v>
      </c>
      <c r="F22" s="2">
        <v>7</v>
      </c>
      <c r="G22" s="3">
        <v>640000</v>
      </c>
      <c r="H22" s="6"/>
      <c r="I22" s="6"/>
      <c r="J22" s="6"/>
      <c r="K22" s="6"/>
      <c r="L22" s="6"/>
    </row>
    <row r="23" spans="2:12" x14ac:dyDescent="0.3">
      <c r="B23" s="2" t="s">
        <v>333</v>
      </c>
      <c r="C23" s="2" t="s">
        <v>350</v>
      </c>
      <c r="D23" s="2">
        <v>0</v>
      </c>
      <c r="E23" s="2">
        <v>47</v>
      </c>
      <c r="F23" s="2">
        <v>5</v>
      </c>
      <c r="G23" s="3">
        <v>670000</v>
      </c>
      <c r="H23" s="6"/>
      <c r="I23" s="6"/>
      <c r="J23" s="6"/>
      <c r="K23" s="6"/>
      <c r="L23" s="6"/>
    </row>
    <row r="24" spans="2:12" x14ac:dyDescent="0.3">
      <c r="B24" s="2" t="s">
        <v>331</v>
      </c>
      <c r="C24" s="2" t="s">
        <v>351</v>
      </c>
      <c r="D24" s="2">
        <v>0</v>
      </c>
      <c r="E24" s="2">
        <v>29</v>
      </c>
      <c r="F24" s="2">
        <v>4</v>
      </c>
      <c r="G24" s="3">
        <v>820000</v>
      </c>
      <c r="H24" s="6"/>
      <c r="I24" s="6"/>
      <c r="J24" s="6"/>
      <c r="K24" s="6"/>
      <c r="L24" s="6"/>
    </row>
    <row r="25" spans="2:12" x14ac:dyDescent="0.3">
      <c r="B25" s="146" t="s">
        <v>62</v>
      </c>
      <c r="C25" s="147"/>
      <c r="D25" s="147"/>
      <c r="E25" s="147"/>
      <c r="F25" s="147"/>
      <c r="G25" s="147"/>
      <c r="H25" s="148"/>
      <c r="I25" s="4" t="s">
        <v>24</v>
      </c>
      <c r="J25" s="4" t="s">
        <v>24</v>
      </c>
      <c r="K25" s="4" t="s">
        <v>24</v>
      </c>
      <c r="L25" s="4" t="s">
        <v>25</v>
      </c>
    </row>
    <row r="26" spans="2:12" x14ac:dyDescent="0.3">
      <c r="B26" s="132" t="s">
        <v>63</v>
      </c>
      <c r="C26" s="132"/>
      <c r="D26" s="132"/>
      <c r="E26" s="132"/>
      <c r="F26" s="132"/>
      <c r="G26" s="132"/>
      <c r="H26" s="132"/>
      <c r="I26" s="132"/>
      <c r="J26" s="132"/>
      <c r="K26" s="132"/>
      <c r="L26" s="7" t="s">
        <v>64</v>
      </c>
    </row>
    <row r="27" spans="2:12" x14ac:dyDescent="0.3">
      <c r="B27" s="132" t="s">
        <v>72</v>
      </c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2:12" x14ac:dyDescent="0.3">
      <c r="B28" s="119" t="s">
        <v>65</v>
      </c>
      <c r="C28" s="119"/>
      <c r="D28" s="119"/>
      <c r="E28" s="119"/>
      <c r="F28" s="119"/>
      <c r="G28" s="119"/>
      <c r="H28" s="119"/>
      <c r="I28" s="119"/>
      <c r="J28" s="119"/>
      <c r="K28" s="4" t="s">
        <v>30</v>
      </c>
      <c r="L28" s="4" t="s">
        <v>31</v>
      </c>
    </row>
    <row r="29" spans="2:12" x14ac:dyDescent="0.3">
      <c r="B29" s="119" t="s">
        <v>66</v>
      </c>
      <c r="C29" s="119"/>
      <c r="D29" s="119"/>
      <c r="E29" s="119"/>
      <c r="F29" s="119"/>
      <c r="G29" s="119"/>
      <c r="H29" s="119"/>
      <c r="I29" s="119"/>
      <c r="J29" s="119"/>
      <c r="K29" s="4" t="s">
        <v>67</v>
      </c>
      <c r="L29" s="4" t="s">
        <v>32</v>
      </c>
    </row>
    <row r="30" spans="2:12" x14ac:dyDescent="0.3">
      <c r="B30" s="119" t="s">
        <v>68</v>
      </c>
      <c r="C30" s="119"/>
      <c r="D30" s="119"/>
      <c r="E30" s="119"/>
      <c r="F30" s="119"/>
      <c r="G30" s="119"/>
      <c r="H30" s="119"/>
      <c r="I30" s="119"/>
      <c r="J30" s="119"/>
      <c r="K30" s="4" t="s">
        <v>69</v>
      </c>
      <c r="L30" s="4" t="s">
        <v>33</v>
      </c>
    </row>
    <row r="31" spans="2:12" x14ac:dyDescent="0.3">
      <c r="B31" s="132" t="s">
        <v>71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</sheetData>
  <mergeCells count="7">
    <mergeCell ref="B25:H25"/>
    <mergeCell ref="B31:L31"/>
    <mergeCell ref="B26:K26"/>
    <mergeCell ref="B27:L27"/>
    <mergeCell ref="B30:J30"/>
    <mergeCell ref="B29:J29"/>
    <mergeCell ref="B28:J28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N35"/>
  <sheetViews>
    <sheetView topLeftCell="A6" zoomScale="115" zoomScaleNormal="115" workbookViewId="0">
      <selection activeCell="N28" sqref="N28"/>
    </sheetView>
  </sheetViews>
  <sheetFormatPr defaultColWidth="9" defaultRowHeight="16.5" x14ac:dyDescent="0.3"/>
  <cols>
    <col min="1" max="1" width="0.375" style="1" customWidth="1"/>
    <col min="2" max="2" width="9.625" style="1" customWidth="1"/>
    <col min="3" max="3" width="9" style="1"/>
    <col min="4" max="6" width="9.125" style="1" hidden="1" customWidth="1"/>
    <col min="7" max="7" width="9.25" style="1" hidden="1" customWidth="1"/>
    <col min="8" max="8" width="9.375" style="1" bestFit="1" customWidth="1"/>
    <col min="9" max="10" width="19.375" style="1" bestFit="1" customWidth="1"/>
    <col min="11" max="11" width="12.375" style="1" customWidth="1"/>
    <col min="12" max="12" width="12.875" style="1" customWidth="1"/>
    <col min="13" max="16384" width="9" style="1"/>
  </cols>
  <sheetData>
    <row r="1" spans="2:12" hidden="1" x14ac:dyDescent="0.3"/>
    <row r="2" spans="2:12" hidden="1" x14ac:dyDescent="0.3"/>
    <row r="3" spans="2:12" ht="26.25" x14ac:dyDescent="0.5">
      <c r="B3" s="150" t="s">
        <v>362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4" spans="2:12" s="14" customFormat="1" ht="12" x14ac:dyDescent="0.2">
      <c r="B4" s="15" t="s">
        <v>80</v>
      </c>
      <c r="C4" s="15" t="s">
        <v>87</v>
      </c>
      <c r="D4" s="16" t="s">
        <v>79</v>
      </c>
      <c r="E4" s="16" t="s">
        <v>51</v>
      </c>
      <c r="F4" s="16" t="s">
        <v>52</v>
      </c>
      <c r="G4" s="16" t="s">
        <v>53</v>
      </c>
      <c r="H4" s="15" t="s">
        <v>74</v>
      </c>
      <c r="I4" s="15" t="s">
        <v>54</v>
      </c>
      <c r="J4" s="15" t="s">
        <v>55</v>
      </c>
      <c r="K4" s="15" t="s">
        <v>56</v>
      </c>
      <c r="L4" s="15" t="s">
        <v>57</v>
      </c>
    </row>
    <row r="5" spans="2:12" s="14" customFormat="1" ht="12" x14ac:dyDescent="0.2">
      <c r="B5" s="24" t="s">
        <v>83</v>
      </c>
      <c r="C5" s="24" t="s">
        <v>334</v>
      </c>
      <c r="D5" s="50">
        <v>0</v>
      </c>
      <c r="E5" s="50">
        <v>67</v>
      </c>
      <c r="F5" s="50">
        <v>7</v>
      </c>
      <c r="G5" s="51">
        <v>1120000</v>
      </c>
      <c r="H5" s="24" t="str">
        <f t="shared" ref="H5:H24" si="0">IF(D5=1,"남성","여성")</f>
        <v>여성</v>
      </c>
      <c r="I5" s="26">
        <f t="shared" ref="I5:I24" si="1">E5*IF(B5="라면",3500,IF(B5="과자",4500,7800))</f>
        <v>522600</v>
      </c>
      <c r="J5" s="26">
        <f t="shared" ref="J5:J24" si="2">F5*IF(B5="라면",3500,IF(B5="과자",4500,7800))</f>
        <v>54600</v>
      </c>
      <c r="K5" s="26">
        <f t="shared" ref="K5:K24" si="3">I5-J5</f>
        <v>468000</v>
      </c>
      <c r="L5" s="26">
        <f t="shared" ref="L5:L24" si="4">K5+G5</f>
        <v>1588000</v>
      </c>
    </row>
    <row r="6" spans="2:12" s="14" customFormat="1" ht="12" x14ac:dyDescent="0.2">
      <c r="B6" s="31" t="s">
        <v>83</v>
      </c>
      <c r="C6" s="31" t="s">
        <v>344</v>
      </c>
      <c r="D6" s="52">
        <v>0</v>
      </c>
      <c r="E6" s="52">
        <v>35</v>
      </c>
      <c r="F6" s="52">
        <v>3</v>
      </c>
      <c r="G6" s="53">
        <v>800000</v>
      </c>
      <c r="H6" s="31" t="str">
        <f t="shared" si="0"/>
        <v>여성</v>
      </c>
      <c r="I6" s="33">
        <f t="shared" si="1"/>
        <v>273000</v>
      </c>
      <c r="J6" s="33">
        <f t="shared" si="2"/>
        <v>23400</v>
      </c>
      <c r="K6" s="33">
        <f t="shared" si="3"/>
        <v>249600</v>
      </c>
      <c r="L6" s="33">
        <f t="shared" si="4"/>
        <v>1049600</v>
      </c>
    </row>
    <row r="7" spans="2:12" s="14" customFormat="1" ht="12" x14ac:dyDescent="0.2">
      <c r="B7" s="31" t="s">
        <v>83</v>
      </c>
      <c r="C7" s="31" t="s">
        <v>346</v>
      </c>
      <c r="D7" s="52">
        <v>0</v>
      </c>
      <c r="E7" s="52">
        <v>23</v>
      </c>
      <c r="F7" s="52">
        <v>5</v>
      </c>
      <c r="G7" s="53">
        <v>890000</v>
      </c>
      <c r="H7" s="31" t="str">
        <f t="shared" si="0"/>
        <v>여성</v>
      </c>
      <c r="I7" s="33">
        <f t="shared" si="1"/>
        <v>179400</v>
      </c>
      <c r="J7" s="33">
        <f t="shared" si="2"/>
        <v>39000</v>
      </c>
      <c r="K7" s="33">
        <f t="shared" si="3"/>
        <v>140400</v>
      </c>
      <c r="L7" s="33">
        <f t="shared" si="4"/>
        <v>1030400</v>
      </c>
    </row>
    <row r="8" spans="2:12" s="14" customFormat="1" ht="12" x14ac:dyDescent="0.2">
      <c r="B8" s="31" t="s">
        <v>83</v>
      </c>
      <c r="C8" s="31" t="s">
        <v>350</v>
      </c>
      <c r="D8" s="52">
        <v>0</v>
      </c>
      <c r="E8" s="52">
        <v>47</v>
      </c>
      <c r="F8" s="52">
        <v>5</v>
      </c>
      <c r="G8" s="53">
        <v>670000</v>
      </c>
      <c r="H8" s="31" t="str">
        <f t="shared" si="0"/>
        <v>여성</v>
      </c>
      <c r="I8" s="33">
        <f t="shared" si="1"/>
        <v>366600</v>
      </c>
      <c r="J8" s="33">
        <f t="shared" si="2"/>
        <v>39000</v>
      </c>
      <c r="K8" s="33">
        <f t="shared" si="3"/>
        <v>327600</v>
      </c>
      <c r="L8" s="33">
        <f t="shared" si="4"/>
        <v>997600</v>
      </c>
    </row>
    <row r="9" spans="2:12" s="14" customFormat="1" ht="12" x14ac:dyDescent="0.2">
      <c r="B9" s="31" t="s">
        <v>82</v>
      </c>
      <c r="C9" s="31" t="s">
        <v>351</v>
      </c>
      <c r="D9" s="52">
        <v>0</v>
      </c>
      <c r="E9" s="52">
        <v>29</v>
      </c>
      <c r="F9" s="52">
        <v>4</v>
      </c>
      <c r="G9" s="53">
        <v>820000</v>
      </c>
      <c r="H9" s="31" t="str">
        <f t="shared" si="0"/>
        <v>여성</v>
      </c>
      <c r="I9" s="33">
        <f t="shared" si="1"/>
        <v>130500</v>
      </c>
      <c r="J9" s="33">
        <f t="shared" si="2"/>
        <v>18000</v>
      </c>
      <c r="K9" s="33">
        <f t="shared" si="3"/>
        <v>112500</v>
      </c>
      <c r="L9" s="33">
        <f t="shared" si="4"/>
        <v>932500</v>
      </c>
    </row>
    <row r="10" spans="2:12" s="14" customFormat="1" ht="12" x14ac:dyDescent="0.2">
      <c r="B10" s="31" t="s">
        <v>82</v>
      </c>
      <c r="C10" s="31" t="s">
        <v>341</v>
      </c>
      <c r="D10" s="52">
        <v>0</v>
      </c>
      <c r="E10" s="52">
        <v>33</v>
      </c>
      <c r="F10" s="52">
        <v>6</v>
      </c>
      <c r="G10" s="53">
        <v>660000</v>
      </c>
      <c r="H10" s="31" t="str">
        <f t="shared" si="0"/>
        <v>여성</v>
      </c>
      <c r="I10" s="33">
        <f t="shared" si="1"/>
        <v>148500</v>
      </c>
      <c r="J10" s="33">
        <f t="shared" si="2"/>
        <v>27000</v>
      </c>
      <c r="K10" s="33">
        <f t="shared" si="3"/>
        <v>121500</v>
      </c>
      <c r="L10" s="33">
        <f t="shared" si="4"/>
        <v>781500</v>
      </c>
    </row>
    <row r="11" spans="2:12" s="14" customFormat="1" ht="12" x14ac:dyDescent="0.2">
      <c r="B11" s="31" t="s">
        <v>82</v>
      </c>
      <c r="C11" s="31" t="s">
        <v>343</v>
      </c>
      <c r="D11" s="52">
        <v>0</v>
      </c>
      <c r="E11" s="52">
        <v>75</v>
      </c>
      <c r="F11" s="52">
        <v>8</v>
      </c>
      <c r="G11" s="53">
        <v>460000</v>
      </c>
      <c r="H11" s="31" t="str">
        <f t="shared" si="0"/>
        <v>여성</v>
      </c>
      <c r="I11" s="33">
        <f t="shared" si="1"/>
        <v>337500</v>
      </c>
      <c r="J11" s="33">
        <f t="shared" si="2"/>
        <v>36000</v>
      </c>
      <c r="K11" s="33">
        <f t="shared" si="3"/>
        <v>301500</v>
      </c>
      <c r="L11" s="33">
        <f t="shared" si="4"/>
        <v>761500</v>
      </c>
    </row>
    <row r="12" spans="2:12" s="14" customFormat="1" ht="12" x14ac:dyDescent="0.2">
      <c r="B12" s="31" t="s">
        <v>82</v>
      </c>
      <c r="C12" s="31" t="s">
        <v>348</v>
      </c>
      <c r="D12" s="52">
        <v>0</v>
      </c>
      <c r="E12" s="52">
        <v>35</v>
      </c>
      <c r="F12" s="52">
        <v>8</v>
      </c>
      <c r="G12" s="53">
        <v>580000</v>
      </c>
      <c r="H12" s="31" t="str">
        <f t="shared" si="0"/>
        <v>여성</v>
      </c>
      <c r="I12" s="33">
        <f t="shared" si="1"/>
        <v>157500</v>
      </c>
      <c r="J12" s="33">
        <f t="shared" si="2"/>
        <v>36000</v>
      </c>
      <c r="K12" s="33">
        <f t="shared" si="3"/>
        <v>121500</v>
      </c>
      <c r="L12" s="33">
        <f t="shared" si="4"/>
        <v>701500</v>
      </c>
    </row>
    <row r="13" spans="2:12" s="14" customFormat="1" ht="12" x14ac:dyDescent="0.2">
      <c r="B13" s="31" t="s">
        <v>83</v>
      </c>
      <c r="C13" s="31" t="s">
        <v>340</v>
      </c>
      <c r="D13" s="52">
        <v>1</v>
      </c>
      <c r="E13" s="52">
        <v>42</v>
      </c>
      <c r="F13" s="52">
        <v>5</v>
      </c>
      <c r="G13" s="53">
        <v>1120000</v>
      </c>
      <c r="H13" s="31" t="str">
        <f t="shared" si="0"/>
        <v>남성</v>
      </c>
      <c r="I13" s="33">
        <f t="shared" si="1"/>
        <v>327600</v>
      </c>
      <c r="J13" s="33">
        <f t="shared" si="2"/>
        <v>39000</v>
      </c>
      <c r="K13" s="33">
        <f t="shared" si="3"/>
        <v>288600</v>
      </c>
      <c r="L13" s="33">
        <f t="shared" si="4"/>
        <v>1408600</v>
      </c>
    </row>
    <row r="14" spans="2:12" s="14" customFormat="1" ht="12" x14ac:dyDescent="0.2">
      <c r="B14" s="31" t="s">
        <v>83</v>
      </c>
      <c r="C14" s="31" t="s">
        <v>337</v>
      </c>
      <c r="D14" s="52">
        <v>1</v>
      </c>
      <c r="E14" s="52">
        <v>21</v>
      </c>
      <c r="F14" s="52">
        <v>3</v>
      </c>
      <c r="G14" s="53">
        <v>985000</v>
      </c>
      <c r="H14" s="31" t="str">
        <f t="shared" si="0"/>
        <v>남성</v>
      </c>
      <c r="I14" s="33">
        <f t="shared" si="1"/>
        <v>163800</v>
      </c>
      <c r="J14" s="33">
        <f t="shared" si="2"/>
        <v>23400</v>
      </c>
      <c r="K14" s="33">
        <f t="shared" si="3"/>
        <v>140400</v>
      </c>
      <c r="L14" s="33">
        <f t="shared" si="4"/>
        <v>1125400</v>
      </c>
    </row>
    <row r="15" spans="2:12" s="14" customFormat="1" ht="12" x14ac:dyDescent="0.2">
      <c r="B15" s="31" t="s">
        <v>81</v>
      </c>
      <c r="C15" s="31" t="s">
        <v>330</v>
      </c>
      <c r="D15" s="52">
        <v>1</v>
      </c>
      <c r="E15" s="52">
        <v>30</v>
      </c>
      <c r="F15" s="52">
        <v>3</v>
      </c>
      <c r="G15" s="53">
        <v>1003000</v>
      </c>
      <c r="H15" s="31" t="str">
        <f t="shared" si="0"/>
        <v>남성</v>
      </c>
      <c r="I15" s="33">
        <f t="shared" si="1"/>
        <v>105000</v>
      </c>
      <c r="J15" s="33">
        <f t="shared" si="2"/>
        <v>10500</v>
      </c>
      <c r="K15" s="33">
        <f t="shared" si="3"/>
        <v>94500</v>
      </c>
      <c r="L15" s="33">
        <f t="shared" si="4"/>
        <v>1097500</v>
      </c>
    </row>
    <row r="16" spans="2:12" s="14" customFormat="1" ht="12" x14ac:dyDescent="0.2">
      <c r="B16" s="31" t="s">
        <v>82</v>
      </c>
      <c r="C16" s="31" t="s">
        <v>332</v>
      </c>
      <c r="D16" s="52">
        <v>1</v>
      </c>
      <c r="E16" s="52">
        <v>45</v>
      </c>
      <c r="F16" s="52">
        <v>4</v>
      </c>
      <c r="G16" s="53">
        <v>850000</v>
      </c>
      <c r="H16" s="31" t="str">
        <f t="shared" si="0"/>
        <v>남성</v>
      </c>
      <c r="I16" s="33">
        <f t="shared" si="1"/>
        <v>202500</v>
      </c>
      <c r="J16" s="33">
        <f t="shared" si="2"/>
        <v>18000</v>
      </c>
      <c r="K16" s="33">
        <f t="shared" si="3"/>
        <v>184500</v>
      </c>
      <c r="L16" s="33">
        <f t="shared" si="4"/>
        <v>1034500</v>
      </c>
    </row>
    <row r="17" spans="2:14" s="14" customFormat="1" ht="12" x14ac:dyDescent="0.2">
      <c r="B17" s="31" t="s">
        <v>82</v>
      </c>
      <c r="C17" s="31" t="s">
        <v>339</v>
      </c>
      <c r="D17" s="52">
        <v>1</v>
      </c>
      <c r="E17" s="52">
        <v>39</v>
      </c>
      <c r="F17" s="52">
        <v>4</v>
      </c>
      <c r="G17" s="53">
        <v>853000</v>
      </c>
      <c r="H17" s="31" t="str">
        <f t="shared" si="0"/>
        <v>남성</v>
      </c>
      <c r="I17" s="33">
        <f t="shared" si="1"/>
        <v>175500</v>
      </c>
      <c r="J17" s="33">
        <f t="shared" si="2"/>
        <v>18000</v>
      </c>
      <c r="K17" s="33">
        <f t="shared" si="3"/>
        <v>157500</v>
      </c>
      <c r="L17" s="33">
        <f t="shared" si="4"/>
        <v>1010500</v>
      </c>
    </row>
    <row r="18" spans="2:14" s="14" customFormat="1" ht="12" x14ac:dyDescent="0.2">
      <c r="B18" s="31" t="s">
        <v>81</v>
      </c>
      <c r="C18" s="31" t="s">
        <v>345</v>
      </c>
      <c r="D18" s="52">
        <v>1</v>
      </c>
      <c r="E18" s="52">
        <v>46</v>
      </c>
      <c r="F18" s="52">
        <v>3</v>
      </c>
      <c r="G18" s="53">
        <v>790000</v>
      </c>
      <c r="H18" s="31" t="str">
        <f t="shared" si="0"/>
        <v>남성</v>
      </c>
      <c r="I18" s="33">
        <f t="shared" si="1"/>
        <v>161000</v>
      </c>
      <c r="J18" s="33">
        <f t="shared" si="2"/>
        <v>10500</v>
      </c>
      <c r="K18" s="33">
        <f t="shared" si="3"/>
        <v>150500</v>
      </c>
      <c r="L18" s="33">
        <f t="shared" si="4"/>
        <v>940500</v>
      </c>
    </row>
    <row r="19" spans="2:14" s="14" customFormat="1" ht="12" x14ac:dyDescent="0.2">
      <c r="B19" s="31" t="s">
        <v>81</v>
      </c>
      <c r="C19" s="31" t="s">
        <v>342</v>
      </c>
      <c r="D19" s="52">
        <v>1</v>
      </c>
      <c r="E19" s="52">
        <v>46</v>
      </c>
      <c r="F19" s="52">
        <v>5</v>
      </c>
      <c r="G19" s="53">
        <v>790000</v>
      </c>
      <c r="H19" s="31" t="str">
        <f t="shared" si="0"/>
        <v>남성</v>
      </c>
      <c r="I19" s="33">
        <f t="shared" si="1"/>
        <v>161000</v>
      </c>
      <c r="J19" s="33">
        <f t="shared" si="2"/>
        <v>17500</v>
      </c>
      <c r="K19" s="33">
        <f t="shared" si="3"/>
        <v>143500</v>
      </c>
      <c r="L19" s="33">
        <f t="shared" si="4"/>
        <v>933500</v>
      </c>
    </row>
    <row r="20" spans="2:14" s="14" customFormat="1" ht="12" x14ac:dyDescent="0.2">
      <c r="B20" s="31" t="s">
        <v>81</v>
      </c>
      <c r="C20" s="31" t="s">
        <v>347</v>
      </c>
      <c r="D20" s="52">
        <v>1</v>
      </c>
      <c r="E20" s="52">
        <v>38</v>
      </c>
      <c r="F20" s="52">
        <v>2</v>
      </c>
      <c r="G20" s="53">
        <v>720000</v>
      </c>
      <c r="H20" s="31" t="str">
        <f t="shared" si="0"/>
        <v>남성</v>
      </c>
      <c r="I20" s="33">
        <f t="shared" si="1"/>
        <v>133000</v>
      </c>
      <c r="J20" s="33">
        <f t="shared" si="2"/>
        <v>7000</v>
      </c>
      <c r="K20" s="33">
        <f t="shared" si="3"/>
        <v>126000</v>
      </c>
      <c r="L20" s="33">
        <f t="shared" si="4"/>
        <v>846000</v>
      </c>
    </row>
    <row r="21" spans="2:14" s="14" customFormat="1" ht="12" x14ac:dyDescent="0.2">
      <c r="B21" s="31" t="s">
        <v>81</v>
      </c>
      <c r="C21" s="31" t="s">
        <v>349</v>
      </c>
      <c r="D21" s="52">
        <v>1</v>
      </c>
      <c r="E21" s="52">
        <v>58</v>
      </c>
      <c r="F21" s="52">
        <v>7</v>
      </c>
      <c r="G21" s="53">
        <v>640000</v>
      </c>
      <c r="H21" s="31" t="str">
        <f t="shared" si="0"/>
        <v>남성</v>
      </c>
      <c r="I21" s="33">
        <f t="shared" si="1"/>
        <v>203000</v>
      </c>
      <c r="J21" s="33">
        <f t="shared" si="2"/>
        <v>24500</v>
      </c>
      <c r="K21" s="33">
        <f t="shared" si="3"/>
        <v>178500</v>
      </c>
      <c r="L21" s="33">
        <f t="shared" si="4"/>
        <v>818500</v>
      </c>
    </row>
    <row r="22" spans="2:14" s="14" customFormat="1" ht="12" x14ac:dyDescent="0.2">
      <c r="B22" s="31" t="s">
        <v>81</v>
      </c>
      <c r="C22" s="31" t="s">
        <v>335</v>
      </c>
      <c r="D22" s="52">
        <v>1</v>
      </c>
      <c r="E22" s="52">
        <v>32</v>
      </c>
      <c r="F22" s="52">
        <v>4</v>
      </c>
      <c r="G22" s="53">
        <v>720000</v>
      </c>
      <c r="H22" s="31" t="str">
        <f t="shared" si="0"/>
        <v>남성</v>
      </c>
      <c r="I22" s="33">
        <f t="shared" si="1"/>
        <v>112000</v>
      </c>
      <c r="J22" s="33">
        <f t="shared" si="2"/>
        <v>14000</v>
      </c>
      <c r="K22" s="33">
        <f t="shared" si="3"/>
        <v>98000</v>
      </c>
      <c r="L22" s="33">
        <f t="shared" si="4"/>
        <v>818000</v>
      </c>
    </row>
    <row r="23" spans="2:14" s="14" customFormat="1" ht="12" x14ac:dyDescent="0.2">
      <c r="B23" s="31" t="s">
        <v>82</v>
      </c>
      <c r="C23" s="31" t="s">
        <v>336</v>
      </c>
      <c r="D23" s="52">
        <v>1</v>
      </c>
      <c r="E23" s="52">
        <v>58</v>
      </c>
      <c r="F23" s="52">
        <v>6</v>
      </c>
      <c r="G23" s="53">
        <v>550000</v>
      </c>
      <c r="H23" s="31" t="str">
        <f t="shared" si="0"/>
        <v>남성</v>
      </c>
      <c r="I23" s="33">
        <f t="shared" si="1"/>
        <v>261000</v>
      </c>
      <c r="J23" s="33">
        <f t="shared" si="2"/>
        <v>27000</v>
      </c>
      <c r="K23" s="33">
        <f t="shared" si="3"/>
        <v>234000</v>
      </c>
      <c r="L23" s="33">
        <f t="shared" si="4"/>
        <v>784000</v>
      </c>
    </row>
    <row r="24" spans="2:14" s="14" customFormat="1" ht="12" x14ac:dyDescent="0.2">
      <c r="B24" s="38" t="s">
        <v>81</v>
      </c>
      <c r="C24" s="38" t="s">
        <v>338</v>
      </c>
      <c r="D24" s="54">
        <v>1</v>
      </c>
      <c r="E24" s="54">
        <v>57</v>
      </c>
      <c r="F24" s="54">
        <v>6</v>
      </c>
      <c r="G24" s="55">
        <v>570000</v>
      </c>
      <c r="H24" s="38" t="str">
        <f t="shared" si="0"/>
        <v>남성</v>
      </c>
      <c r="I24" s="40">
        <f t="shared" si="1"/>
        <v>199500</v>
      </c>
      <c r="J24" s="40">
        <f t="shared" si="2"/>
        <v>21000</v>
      </c>
      <c r="K24" s="40">
        <f t="shared" si="3"/>
        <v>178500</v>
      </c>
      <c r="L24" s="40">
        <f t="shared" si="4"/>
        <v>748500</v>
      </c>
    </row>
    <row r="25" spans="2:14" s="14" customFormat="1" ht="12" x14ac:dyDescent="0.2">
      <c r="B25" s="151" t="s">
        <v>62</v>
      </c>
      <c r="C25" s="152"/>
      <c r="D25" s="152"/>
      <c r="E25" s="152"/>
      <c r="F25" s="152"/>
      <c r="G25" s="152"/>
      <c r="H25" s="153"/>
      <c r="I25" s="18">
        <f>AVERAGE(I5:I24)</f>
        <v>216025</v>
      </c>
      <c r="J25" s="18">
        <f t="shared" ref="J25:L25" si="5">AVERAGE(J5:J24)</f>
        <v>25170</v>
      </c>
      <c r="K25" s="18">
        <f t="shared" si="5"/>
        <v>190855</v>
      </c>
      <c r="L25" s="18">
        <f t="shared" si="5"/>
        <v>970405</v>
      </c>
    </row>
    <row r="26" spans="2:14" s="14" customFormat="1" ht="12" x14ac:dyDescent="0.2">
      <c r="B26" s="145" t="s">
        <v>63</v>
      </c>
      <c r="C26" s="145"/>
      <c r="D26" s="145"/>
      <c r="E26" s="145"/>
      <c r="F26" s="145"/>
      <c r="G26" s="145"/>
      <c r="H26" s="145"/>
      <c r="I26" s="145"/>
      <c r="J26" s="145"/>
      <c r="K26" s="145"/>
      <c r="L26" s="103">
        <f t="array" ref="L26">SUMPRODUCT(ISNUMBER(FIND("과자",B5:B24))+ISNUMBER(FIND("주스",B5:B24)),L5:L24)</f>
        <v>13205600</v>
      </c>
    </row>
    <row r="27" spans="2:14" s="14" customFormat="1" ht="12" x14ac:dyDescent="0.2">
      <c r="B27" s="149" t="s">
        <v>73</v>
      </c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N27" s="14" t="s">
        <v>89</v>
      </c>
    </row>
    <row r="28" spans="2:14" s="14" customFormat="1" ht="12" x14ac:dyDescent="0.2">
      <c r="B28" s="138" t="s">
        <v>65</v>
      </c>
      <c r="C28" s="138"/>
      <c r="D28" s="138"/>
      <c r="E28" s="138"/>
      <c r="F28" s="138"/>
      <c r="G28" s="138"/>
      <c r="H28" s="138"/>
      <c r="I28" s="138"/>
      <c r="J28" s="138"/>
      <c r="K28" s="104">
        <f>DSUM($B$4:$L$24,K4,$H$33:$I$35)</f>
        <v>1398500</v>
      </c>
      <c r="L28" s="104">
        <f>DSUM($B$4:$L$24,L4,$H$33:$I$35)</f>
        <v>8736500</v>
      </c>
      <c r="N28" s="48" t="s">
        <v>363</v>
      </c>
    </row>
    <row r="29" spans="2:14" s="14" customFormat="1" ht="12" x14ac:dyDescent="0.2">
      <c r="B29" s="138" t="s">
        <v>66</v>
      </c>
      <c r="C29" s="138"/>
      <c r="D29" s="138"/>
      <c r="E29" s="138"/>
      <c r="F29" s="138"/>
      <c r="G29" s="138"/>
      <c r="H29" s="138"/>
      <c r="I29" s="138"/>
      <c r="J29" s="138"/>
      <c r="K29" s="18">
        <f>DSUM($B$4:$L$24,K4,$J$33:$K$35)</f>
        <v>523500</v>
      </c>
      <c r="L29" s="18">
        <f>DSUM($B$4:$L$24,L4,$J$33:$K$35)</f>
        <v>3536500</v>
      </c>
      <c r="N29" s="48" t="s">
        <v>90</v>
      </c>
    </row>
    <row r="30" spans="2:14" s="14" customFormat="1" ht="12" x14ac:dyDescent="0.2">
      <c r="B30" s="138" t="s">
        <v>68</v>
      </c>
      <c r="C30" s="138"/>
      <c r="D30" s="138"/>
      <c r="E30" s="138"/>
      <c r="F30" s="138"/>
      <c r="G30" s="138"/>
      <c r="H30" s="138"/>
      <c r="I30" s="138"/>
      <c r="J30" s="138"/>
      <c r="K30" s="18">
        <f>SUMIFS(K5:K24,$J$5:$J$24,"&gt;=20000",$J$5:$J$24,"&lt;30000")</f>
        <v>1102500</v>
      </c>
      <c r="L30" s="18">
        <f>SUMIFS(L5:L24,$J$5:$J$24,"&gt;=20000",$J$5:$J$24,"&lt;30000")</f>
        <v>5307500</v>
      </c>
    </row>
    <row r="31" spans="2:14" s="14" customFormat="1" ht="12" x14ac:dyDescent="0.2">
      <c r="B31" s="149" t="s">
        <v>88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</row>
    <row r="32" spans="2:14" s="14" customFormat="1" ht="12" x14ac:dyDescent="0.2"/>
    <row r="33" spans="8:11" s="14" customFormat="1" ht="12" x14ac:dyDescent="0.2">
      <c r="H33" s="14" t="s">
        <v>74</v>
      </c>
      <c r="I33" s="14" t="s">
        <v>75</v>
      </c>
      <c r="J33" s="14" t="s">
        <v>84</v>
      </c>
      <c r="K33" s="14" t="s">
        <v>75</v>
      </c>
    </row>
    <row r="34" spans="8:11" s="14" customFormat="1" ht="12" x14ac:dyDescent="0.2">
      <c r="H34" s="14" t="s">
        <v>76</v>
      </c>
      <c r="I34" s="14" t="s">
        <v>77</v>
      </c>
      <c r="J34" s="14" t="s">
        <v>85</v>
      </c>
      <c r="K34" s="14" t="s">
        <v>77</v>
      </c>
    </row>
    <row r="35" spans="8:11" s="14" customFormat="1" ht="12" x14ac:dyDescent="0.2">
      <c r="H35" s="14" t="s">
        <v>76</v>
      </c>
      <c r="I35" s="14" t="s">
        <v>78</v>
      </c>
      <c r="J35" s="14" t="s">
        <v>86</v>
      </c>
      <c r="K35" s="49" t="s">
        <v>78</v>
      </c>
    </row>
  </sheetData>
  <sortState ref="B5:L24">
    <sortCondition ref="D5:D24"/>
    <sortCondition descending="1" ref="L5:L24"/>
  </sortState>
  <mergeCells count="8">
    <mergeCell ref="B31:L31"/>
    <mergeCell ref="B3:L3"/>
    <mergeCell ref="B25:H25"/>
    <mergeCell ref="B26:K26"/>
    <mergeCell ref="B27:L27"/>
    <mergeCell ref="B28:J28"/>
    <mergeCell ref="B29:J29"/>
    <mergeCell ref="B30:J30"/>
  </mergeCells>
  <phoneticPr fontId="3" type="noConversion"/>
  <printOptions horizontalCentered="1"/>
  <pageMargins left="0.59055118110236227" right="0.59055118110236227" top="2.3622047244094491" bottom="0.39370078740157483" header="0.31496062992125984" footer="0.31496062992125984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D23"/>
  <sheetViews>
    <sheetView workbookViewId="0">
      <selection activeCell="H26" sqref="H26"/>
    </sheetView>
  </sheetViews>
  <sheetFormatPr defaultColWidth="9" defaultRowHeight="16.5" x14ac:dyDescent="0.3"/>
  <cols>
    <col min="1" max="1" width="10.75" style="1" customWidth="1"/>
    <col min="2" max="2" width="14.25" style="1" customWidth="1"/>
    <col min="3" max="16384" width="9" style="1"/>
  </cols>
  <sheetData>
    <row r="3" spans="1:4" x14ac:dyDescent="0.3">
      <c r="A3" s="2" t="s">
        <v>111</v>
      </c>
      <c r="B3" s="2" t="s">
        <v>112</v>
      </c>
      <c r="C3" s="2" t="s">
        <v>113</v>
      </c>
      <c r="D3" s="2" t="s">
        <v>114</v>
      </c>
    </row>
    <row r="4" spans="1:4" x14ac:dyDescent="0.3">
      <c r="A4" s="2" t="s">
        <v>115</v>
      </c>
      <c r="B4" s="2" t="s">
        <v>135</v>
      </c>
      <c r="C4" s="2">
        <v>170</v>
      </c>
      <c r="D4" s="2">
        <v>150</v>
      </c>
    </row>
    <row r="5" spans="1:4" x14ac:dyDescent="0.3">
      <c r="A5" s="2" t="s">
        <v>116</v>
      </c>
      <c r="B5" s="2" t="s">
        <v>135</v>
      </c>
      <c r="C5" s="2">
        <v>125</v>
      </c>
      <c r="D5" s="2">
        <v>137</v>
      </c>
    </row>
    <row r="6" spans="1:4" x14ac:dyDescent="0.3">
      <c r="A6" s="2" t="s">
        <v>117</v>
      </c>
      <c r="B6" s="2" t="s">
        <v>136</v>
      </c>
      <c r="C6" s="2">
        <v>138</v>
      </c>
      <c r="D6" s="2">
        <v>145</v>
      </c>
    </row>
    <row r="7" spans="1:4" x14ac:dyDescent="0.3">
      <c r="A7" s="2" t="s">
        <v>118</v>
      </c>
      <c r="B7" s="2" t="s">
        <v>136</v>
      </c>
      <c r="C7" s="2">
        <v>180</v>
      </c>
      <c r="D7" s="2">
        <v>225</v>
      </c>
    </row>
    <row r="8" spans="1:4" x14ac:dyDescent="0.3">
      <c r="A8" s="2" t="s">
        <v>119</v>
      </c>
      <c r="B8" s="2" t="s">
        <v>136</v>
      </c>
      <c r="C8" s="2">
        <v>240</v>
      </c>
      <c r="D8" s="2">
        <v>195</v>
      </c>
    </row>
    <row r="9" spans="1:4" x14ac:dyDescent="0.3">
      <c r="A9" s="2" t="s">
        <v>120</v>
      </c>
      <c r="B9" s="2" t="s">
        <v>137</v>
      </c>
      <c r="C9" s="2">
        <v>145</v>
      </c>
      <c r="D9" s="2">
        <v>140</v>
      </c>
    </row>
    <row r="10" spans="1:4" x14ac:dyDescent="0.3">
      <c r="A10" s="2" t="s">
        <v>121</v>
      </c>
      <c r="B10" s="2" t="s">
        <v>137</v>
      </c>
      <c r="C10" s="2">
        <v>157</v>
      </c>
      <c r="D10" s="2">
        <v>202</v>
      </c>
    </row>
    <row r="11" spans="1:4" x14ac:dyDescent="0.3">
      <c r="A11" s="2" t="s">
        <v>122</v>
      </c>
      <c r="B11" s="2" t="s">
        <v>137</v>
      </c>
      <c r="C11" s="2">
        <v>110</v>
      </c>
      <c r="D11" s="2">
        <v>142</v>
      </c>
    </row>
    <row r="12" spans="1:4" x14ac:dyDescent="0.3">
      <c r="A12" s="2" t="s">
        <v>123</v>
      </c>
      <c r="B12" s="2" t="s">
        <v>138</v>
      </c>
      <c r="C12" s="2">
        <v>190</v>
      </c>
      <c r="D12" s="2">
        <v>184</v>
      </c>
    </row>
    <row r="13" spans="1:4" x14ac:dyDescent="0.3">
      <c r="A13" s="2" t="s">
        <v>124</v>
      </c>
      <c r="B13" s="2" t="s">
        <v>138</v>
      </c>
      <c r="C13" s="2">
        <v>228</v>
      </c>
      <c r="D13" s="2">
        <v>285</v>
      </c>
    </row>
    <row r="14" spans="1:4" x14ac:dyDescent="0.3">
      <c r="A14" s="2" t="s">
        <v>125</v>
      </c>
      <c r="B14" s="2" t="s">
        <v>139</v>
      </c>
      <c r="C14" s="2">
        <v>110</v>
      </c>
      <c r="D14" s="2">
        <v>170</v>
      </c>
    </row>
    <row r="15" spans="1:4" x14ac:dyDescent="0.3">
      <c r="A15" s="2" t="s">
        <v>126</v>
      </c>
      <c r="B15" s="2" t="s">
        <v>140</v>
      </c>
      <c r="C15" s="2">
        <v>220</v>
      </c>
      <c r="D15" s="2">
        <v>290</v>
      </c>
    </row>
    <row r="16" spans="1:4" x14ac:dyDescent="0.3">
      <c r="A16" s="2" t="s">
        <v>127</v>
      </c>
      <c r="B16" s="2" t="s">
        <v>139</v>
      </c>
      <c r="C16" s="2">
        <v>180</v>
      </c>
      <c r="D16" s="2">
        <v>160</v>
      </c>
    </row>
    <row r="17" spans="1:4" x14ac:dyDescent="0.3">
      <c r="A17" s="2" t="s">
        <v>128</v>
      </c>
      <c r="B17" s="2" t="s">
        <v>141</v>
      </c>
      <c r="C17" s="2">
        <v>150</v>
      </c>
      <c r="D17" s="2">
        <v>140</v>
      </c>
    </row>
    <row r="18" spans="1:4" x14ac:dyDescent="0.3">
      <c r="A18" s="2" t="s">
        <v>129</v>
      </c>
      <c r="B18" s="2" t="s">
        <v>141</v>
      </c>
      <c r="C18" s="2">
        <v>270</v>
      </c>
      <c r="D18" s="2">
        <v>130</v>
      </c>
    </row>
    <row r="19" spans="1:4" x14ac:dyDescent="0.3">
      <c r="A19" s="2" t="s">
        <v>130</v>
      </c>
      <c r="B19" s="2" t="s">
        <v>139</v>
      </c>
      <c r="C19" s="2">
        <v>250</v>
      </c>
      <c r="D19" s="2">
        <v>110</v>
      </c>
    </row>
    <row r="20" spans="1:4" x14ac:dyDescent="0.3">
      <c r="A20" s="2" t="s">
        <v>131</v>
      </c>
      <c r="B20" s="2" t="s">
        <v>141</v>
      </c>
      <c r="C20" s="2">
        <v>160</v>
      </c>
      <c r="D20" s="2">
        <v>170</v>
      </c>
    </row>
    <row r="21" spans="1:4" x14ac:dyDescent="0.3">
      <c r="A21" s="2" t="s">
        <v>132</v>
      </c>
      <c r="B21" s="2" t="s">
        <v>139</v>
      </c>
      <c r="C21" s="2">
        <v>150</v>
      </c>
      <c r="D21" s="2">
        <v>180</v>
      </c>
    </row>
    <row r="22" spans="1:4" x14ac:dyDescent="0.3">
      <c r="A22" s="2" t="s">
        <v>133</v>
      </c>
      <c r="B22" s="2" t="s">
        <v>139</v>
      </c>
      <c r="C22" s="2">
        <v>220</v>
      </c>
      <c r="D22" s="2">
        <v>150</v>
      </c>
    </row>
    <row r="23" spans="1:4" x14ac:dyDescent="0.3">
      <c r="A23" s="2" t="s">
        <v>134</v>
      </c>
      <c r="B23" s="2" t="s">
        <v>140</v>
      </c>
      <c r="C23" s="2">
        <v>180</v>
      </c>
      <c r="D23" s="2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B4" sqref="B4"/>
    </sheetView>
  </sheetViews>
  <sheetFormatPr defaultColWidth="9" defaultRowHeight="16.5" x14ac:dyDescent="0.3"/>
  <cols>
    <col min="1" max="1" width="13" style="1" customWidth="1"/>
    <col min="2" max="2" width="14.25" style="1" customWidth="1"/>
    <col min="3" max="5" width="9" style="1"/>
    <col min="6" max="6" width="14.25" style="1" customWidth="1"/>
    <col min="7" max="16384" width="9" style="1"/>
  </cols>
  <sheetData>
    <row r="2" spans="1:8" s="56" customFormat="1" x14ac:dyDescent="0.3">
      <c r="A2" s="156" t="s">
        <v>152</v>
      </c>
      <c r="B2" s="156"/>
      <c r="C2" s="156"/>
      <c r="D2" s="156"/>
      <c r="E2" s="156"/>
      <c r="F2" s="156"/>
      <c r="G2" s="156"/>
      <c r="H2" s="156"/>
    </row>
    <row r="3" spans="1:8" x14ac:dyDescent="0.3">
      <c r="A3" s="4" t="s">
        <v>111</v>
      </c>
      <c r="B3" s="4" t="s">
        <v>112</v>
      </c>
      <c r="C3" s="4" t="s">
        <v>113</v>
      </c>
      <c r="D3" s="4" t="s">
        <v>114</v>
      </c>
      <c r="E3" s="4" t="s">
        <v>142</v>
      </c>
      <c r="F3" s="4" t="s">
        <v>143</v>
      </c>
      <c r="G3" s="4" t="s">
        <v>144</v>
      </c>
      <c r="H3" s="4" t="s">
        <v>145</v>
      </c>
    </row>
    <row r="4" spans="1:8" x14ac:dyDescent="0.3">
      <c r="A4" s="4" t="s">
        <v>115</v>
      </c>
      <c r="B4" s="4" t="s">
        <v>135</v>
      </c>
      <c r="C4" s="4">
        <v>170</v>
      </c>
      <c r="D4" s="4">
        <v>150</v>
      </c>
      <c r="E4" s="4" t="s">
        <v>58</v>
      </c>
      <c r="F4" s="4" t="s">
        <v>59</v>
      </c>
      <c r="G4" s="4" t="s">
        <v>60</v>
      </c>
      <c r="H4" s="4" t="s">
        <v>34</v>
      </c>
    </row>
    <row r="5" spans="1:8" x14ac:dyDescent="0.3">
      <c r="A5" s="4" t="s">
        <v>116</v>
      </c>
      <c r="B5" s="4" t="s">
        <v>135</v>
      </c>
      <c r="C5" s="4">
        <v>125</v>
      </c>
      <c r="D5" s="4">
        <v>137</v>
      </c>
      <c r="E5" s="7"/>
      <c r="F5" s="7"/>
      <c r="G5" s="7"/>
      <c r="H5" s="7"/>
    </row>
    <row r="6" spans="1:8" x14ac:dyDescent="0.3">
      <c r="A6" s="4" t="s">
        <v>117</v>
      </c>
      <c r="B6" s="4" t="s">
        <v>136</v>
      </c>
      <c r="C6" s="4">
        <v>138</v>
      </c>
      <c r="D6" s="4">
        <v>145</v>
      </c>
      <c r="E6" s="7"/>
      <c r="F6" s="7"/>
      <c r="G6" s="7"/>
      <c r="H6" s="7"/>
    </row>
    <row r="7" spans="1:8" x14ac:dyDescent="0.3">
      <c r="A7" s="4" t="s">
        <v>118</v>
      </c>
      <c r="B7" s="4" t="s">
        <v>136</v>
      </c>
      <c r="C7" s="4">
        <v>180</v>
      </c>
      <c r="D7" s="4">
        <v>225</v>
      </c>
      <c r="E7" s="7"/>
      <c r="F7" s="7"/>
      <c r="G7" s="7"/>
      <c r="H7" s="7"/>
    </row>
    <row r="8" spans="1:8" x14ac:dyDescent="0.3">
      <c r="A8" s="4" t="s">
        <v>119</v>
      </c>
      <c r="B8" s="4" t="s">
        <v>136</v>
      </c>
      <c r="C8" s="4">
        <v>240</v>
      </c>
      <c r="D8" s="4">
        <v>195</v>
      </c>
      <c r="E8" s="7"/>
      <c r="F8" s="7"/>
      <c r="G8" s="7"/>
      <c r="H8" s="7"/>
    </row>
    <row r="9" spans="1:8" x14ac:dyDescent="0.3">
      <c r="A9" s="4" t="s">
        <v>120</v>
      </c>
      <c r="B9" s="4" t="s">
        <v>137</v>
      </c>
      <c r="C9" s="4">
        <v>145</v>
      </c>
      <c r="D9" s="4">
        <v>140</v>
      </c>
      <c r="E9" s="7"/>
      <c r="F9" s="7"/>
      <c r="G9" s="7"/>
      <c r="H9" s="7"/>
    </row>
    <row r="10" spans="1:8" x14ac:dyDescent="0.3">
      <c r="A10" s="4" t="s">
        <v>121</v>
      </c>
      <c r="B10" s="4" t="s">
        <v>137</v>
      </c>
      <c r="C10" s="4">
        <v>157</v>
      </c>
      <c r="D10" s="4">
        <v>202</v>
      </c>
      <c r="E10" s="7"/>
      <c r="F10" s="7"/>
      <c r="G10" s="7"/>
      <c r="H10" s="7"/>
    </row>
    <row r="11" spans="1:8" x14ac:dyDescent="0.3">
      <c r="A11" s="4" t="s">
        <v>122</v>
      </c>
      <c r="B11" s="4" t="s">
        <v>137</v>
      </c>
      <c r="C11" s="4">
        <v>110</v>
      </c>
      <c r="D11" s="4">
        <v>142</v>
      </c>
      <c r="E11" s="7"/>
      <c r="F11" s="7"/>
      <c r="G11" s="7"/>
      <c r="H11" s="7"/>
    </row>
    <row r="12" spans="1:8" x14ac:dyDescent="0.3">
      <c r="A12" s="4" t="s">
        <v>123</v>
      </c>
      <c r="B12" s="4" t="s">
        <v>138</v>
      </c>
      <c r="C12" s="4">
        <v>190</v>
      </c>
      <c r="D12" s="4">
        <v>184</v>
      </c>
      <c r="E12" s="7"/>
      <c r="F12" s="7"/>
      <c r="G12" s="7"/>
      <c r="H12" s="7"/>
    </row>
    <row r="13" spans="1:8" x14ac:dyDescent="0.3">
      <c r="A13" s="4" t="s">
        <v>124</v>
      </c>
      <c r="B13" s="4" t="s">
        <v>138</v>
      </c>
      <c r="C13" s="4">
        <v>228</v>
      </c>
      <c r="D13" s="4">
        <v>285</v>
      </c>
      <c r="E13" s="7"/>
      <c r="F13" s="7"/>
      <c r="G13" s="7"/>
      <c r="H13" s="7"/>
    </row>
    <row r="14" spans="1:8" x14ac:dyDescent="0.3">
      <c r="A14" s="4" t="s">
        <v>125</v>
      </c>
      <c r="B14" s="4" t="s">
        <v>139</v>
      </c>
      <c r="C14" s="4">
        <v>110</v>
      </c>
      <c r="D14" s="4">
        <v>170</v>
      </c>
      <c r="E14" s="7"/>
      <c r="F14" s="7"/>
      <c r="G14" s="7"/>
      <c r="H14" s="7"/>
    </row>
    <row r="15" spans="1:8" x14ac:dyDescent="0.3">
      <c r="A15" s="4" t="s">
        <v>126</v>
      </c>
      <c r="B15" s="4" t="s">
        <v>140</v>
      </c>
      <c r="C15" s="4">
        <v>220</v>
      </c>
      <c r="D15" s="4">
        <v>290</v>
      </c>
      <c r="E15" s="7"/>
      <c r="F15" s="7"/>
      <c r="G15" s="7"/>
      <c r="H15" s="7"/>
    </row>
    <row r="16" spans="1:8" x14ac:dyDescent="0.3">
      <c r="A16" s="4" t="s">
        <v>127</v>
      </c>
      <c r="B16" s="4" t="s">
        <v>139</v>
      </c>
      <c r="C16" s="4">
        <v>180</v>
      </c>
      <c r="D16" s="4">
        <v>160</v>
      </c>
      <c r="E16" s="7"/>
      <c r="F16" s="7"/>
      <c r="G16" s="7"/>
      <c r="H16" s="7"/>
    </row>
    <row r="17" spans="1:8" x14ac:dyDescent="0.3">
      <c r="A17" s="4" t="s">
        <v>128</v>
      </c>
      <c r="B17" s="4" t="s">
        <v>141</v>
      </c>
      <c r="C17" s="4">
        <v>150</v>
      </c>
      <c r="D17" s="4">
        <v>140</v>
      </c>
      <c r="E17" s="7"/>
      <c r="F17" s="7"/>
      <c r="G17" s="7"/>
      <c r="H17" s="7"/>
    </row>
    <row r="18" spans="1:8" x14ac:dyDescent="0.3">
      <c r="A18" s="4" t="s">
        <v>129</v>
      </c>
      <c r="B18" s="4" t="s">
        <v>141</v>
      </c>
      <c r="C18" s="4">
        <v>270</v>
      </c>
      <c r="D18" s="4">
        <v>130</v>
      </c>
      <c r="E18" s="7"/>
      <c r="F18" s="7"/>
      <c r="G18" s="7"/>
      <c r="H18" s="7"/>
    </row>
    <row r="19" spans="1:8" x14ac:dyDescent="0.3">
      <c r="A19" s="4" t="s">
        <v>130</v>
      </c>
      <c r="B19" s="4" t="s">
        <v>139</v>
      </c>
      <c r="C19" s="4">
        <v>250</v>
      </c>
      <c r="D19" s="4">
        <v>110</v>
      </c>
      <c r="E19" s="7"/>
      <c r="F19" s="7"/>
      <c r="G19" s="7"/>
      <c r="H19" s="7"/>
    </row>
    <row r="20" spans="1:8" x14ac:dyDescent="0.3">
      <c r="A20" s="4" t="s">
        <v>131</v>
      </c>
      <c r="B20" s="4" t="s">
        <v>141</v>
      </c>
      <c r="C20" s="4">
        <v>160</v>
      </c>
      <c r="D20" s="4">
        <v>170</v>
      </c>
      <c r="E20" s="7"/>
      <c r="F20" s="7"/>
      <c r="G20" s="7"/>
      <c r="H20" s="7"/>
    </row>
    <row r="21" spans="1:8" x14ac:dyDescent="0.3">
      <c r="A21" s="4" t="s">
        <v>132</v>
      </c>
      <c r="B21" s="4" t="s">
        <v>139</v>
      </c>
      <c r="C21" s="4">
        <v>150</v>
      </c>
      <c r="D21" s="4">
        <v>180</v>
      </c>
      <c r="E21" s="7"/>
      <c r="F21" s="7"/>
      <c r="G21" s="7"/>
      <c r="H21" s="7"/>
    </row>
    <row r="22" spans="1:8" x14ac:dyDescent="0.3">
      <c r="A22" s="4" t="s">
        <v>133</v>
      </c>
      <c r="B22" s="4" t="s">
        <v>139</v>
      </c>
      <c r="C22" s="4">
        <v>220</v>
      </c>
      <c r="D22" s="4">
        <v>150</v>
      </c>
      <c r="E22" s="7"/>
      <c r="F22" s="7"/>
      <c r="G22" s="7"/>
      <c r="H22" s="7"/>
    </row>
    <row r="23" spans="1:8" x14ac:dyDescent="0.3">
      <c r="A23" s="4" t="s">
        <v>134</v>
      </c>
      <c r="B23" s="4" t="s">
        <v>140</v>
      </c>
      <c r="C23" s="4">
        <v>180</v>
      </c>
      <c r="D23" s="4">
        <v>250</v>
      </c>
      <c r="E23" s="7"/>
      <c r="F23" s="7"/>
      <c r="G23" s="7"/>
      <c r="H23" s="7"/>
    </row>
    <row r="24" spans="1:8" x14ac:dyDescent="0.3">
      <c r="A24" s="119" t="s">
        <v>146</v>
      </c>
      <c r="B24" s="119"/>
      <c r="C24" s="119"/>
      <c r="D24" s="119"/>
      <c r="E24" s="155" t="s">
        <v>35</v>
      </c>
      <c r="F24" s="121"/>
      <c r="G24" s="121"/>
      <c r="H24" s="122"/>
    </row>
    <row r="25" spans="1:8" x14ac:dyDescent="0.3">
      <c r="A25" s="119" t="s">
        <v>147</v>
      </c>
      <c r="B25" s="119"/>
      <c r="C25" s="119"/>
      <c r="D25" s="119"/>
      <c r="E25" s="4" t="s">
        <v>24</v>
      </c>
      <c r="F25" s="4" t="s">
        <v>25</v>
      </c>
      <c r="G25" s="157"/>
      <c r="H25" s="157"/>
    </row>
    <row r="26" spans="1:8" x14ac:dyDescent="0.3">
      <c r="A26" s="119" t="s">
        <v>148</v>
      </c>
      <c r="B26" s="119"/>
      <c r="C26" s="119"/>
      <c r="D26" s="119"/>
      <c r="E26" s="4" t="s">
        <v>26</v>
      </c>
      <c r="F26" s="4" t="s">
        <v>27</v>
      </c>
      <c r="G26" s="157"/>
      <c r="H26" s="157"/>
    </row>
    <row r="27" spans="1:8" x14ac:dyDescent="0.3">
      <c r="A27" s="119" t="s">
        <v>149</v>
      </c>
      <c r="B27" s="119"/>
      <c r="C27" s="119"/>
      <c r="D27" s="119"/>
      <c r="E27" s="4" t="s">
        <v>28</v>
      </c>
      <c r="F27" s="4" t="s">
        <v>29</v>
      </c>
      <c r="G27" s="157"/>
      <c r="H27" s="157"/>
    </row>
    <row r="28" spans="1:8" x14ac:dyDescent="0.3">
      <c r="A28" s="119" t="s">
        <v>150</v>
      </c>
      <c r="B28" s="119"/>
      <c r="C28" s="119"/>
      <c r="D28" s="119"/>
      <c r="E28" s="4" t="s">
        <v>30</v>
      </c>
      <c r="F28" s="4" t="s">
        <v>31</v>
      </c>
      <c r="G28" s="157"/>
      <c r="H28" s="157"/>
    </row>
    <row r="29" spans="1:8" x14ac:dyDescent="0.3">
      <c r="A29" s="154" t="s">
        <v>151</v>
      </c>
      <c r="B29" s="154"/>
      <c r="C29" s="154"/>
      <c r="D29" s="154"/>
      <c r="E29" s="154"/>
      <c r="F29" s="154"/>
      <c r="G29" s="154"/>
      <c r="H29" s="154"/>
    </row>
  </sheetData>
  <mergeCells count="9">
    <mergeCell ref="A29:H29"/>
    <mergeCell ref="E24:H24"/>
    <mergeCell ref="A2:H2"/>
    <mergeCell ref="G25:H28"/>
    <mergeCell ref="A28:D28"/>
    <mergeCell ref="A27:D27"/>
    <mergeCell ref="A26:D26"/>
    <mergeCell ref="A25:D25"/>
    <mergeCell ref="A24:D2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9"/>
  <sheetViews>
    <sheetView tabSelected="1" topLeftCell="A2" workbookViewId="0">
      <selection activeCell="J19" sqref="J19"/>
    </sheetView>
  </sheetViews>
  <sheetFormatPr defaultColWidth="9" defaultRowHeight="16.5" x14ac:dyDescent="0.3"/>
  <cols>
    <col min="1" max="1" width="12.125" style="1" customWidth="1"/>
    <col min="2" max="2" width="13" style="1" customWidth="1"/>
    <col min="3" max="5" width="9" style="1"/>
    <col min="6" max="6" width="11.625" style="1" customWidth="1"/>
    <col min="7" max="7" width="10.125" style="1" customWidth="1"/>
    <col min="8" max="16384" width="9" style="1"/>
  </cols>
  <sheetData>
    <row r="1" spans="1:9" hidden="1" x14ac:dyDescent="0.3"/>
    <row r="2" spans="1:9" s="56" customFormat="1" ht="31.5" x14ac:dyDescent="0.55000000000000004">
      <c r="A2" s="160" t="s">
        <v>152</v>
      </c>
      <c r="B2" s="160"/>
      <c r="C2" s="160"/>
      <c r="D2" s="160"/>
      <c r="E2" s="160"/>
      <c r="F2" s="160"/>
      <c r="G2" s="160"/>
      <c r="H2" s="160"/>
    </row>
    <row r="3" spans="1:9" s="14" customFormat="1" ht="12" x14ac:dyDescent="0.2">
      <c r="A3" s="15" t="s">
        <v>111</v>
      </c>
      <c r="B3" s="15" t="s">
        <v>112</v>
      </c>
      <c r="C3" s="15" t="s">
        <v>113</v>
      </c>
      <c r="D3" s="15" t="s">
        <v>114</v>
      </c>
      <c r="E3" s="15" t="s">
        <v>142</v>
      </c>
      <c r="F3" s="15" t="s">
        <v>143</v>
      </c>
      <c r="G3" s="15" t="s">
        <v>144</v>
      </c>
      <c r="H3" s="15" t="s">
        <v>145</v>
      </c>
    </row>
    <row r="4" spans="1:9" s="14" customFormat="1" ht="12" x14ac:dyDescent="0.2">
      <c r="A4" s="24" t="s">
        <v>119</v>
      </c>
      <c r="B4" s="24" t="s">
        <v>136</v>
      </c>
      <c r="C4" s="25">
        <v>240</v>
      </c>
      <c r="D4" s="25">
        <v>195</v>
      </c>
      <c r="E4" s="116">
        <f>IF((C4*0.1+D4*0.9)*10&gt;=1500,((C4*0.9)+(D4*0.1))*10,(C4*0.1+D4*0.9)*10)</f>
        <v>2355</v>
      </c>
      <c r="F4" s="25">
        <f t="shared" ref="F4:F23" si="0">(C4+D4)/2</f>
        <v>217.5</v>
      </c>
      <c r="G4" s="58">
        <f>ROUND(D4/C4,1)</f>
        <v>0.8</v>
      </c>
      <c r="H4" s="50">
        <f>RANK(E4,$E$4:$E$23)</f>
        <v>1</v>
      </c>
      <c r="I4" s="48"/>
    </row>
    <row r="5" spans="1:9" s="14" customFormat="1" ht="12" x14ac:dyDescent="0.2">
      <c r="A5" s="31" t="s">
        <v>124</v>
      </c>
      <c r="B5" s="31" t="s">
        <v>138</v>
      </c>
      <c r="C5" s="32">
        <v>228</v>
      </c>
      <c r="D5" s="32">
        <v>285</v>
      </c>
      <c r="E5" s="117">
        <f t="shared" ref="E5:E23" si="1">IF((C5*0.1+D5*0.9)*10&gt;=1500,((C5*0.9)+(D5*0.1))*10,(C5*0.1+D5*0.9)*10)</f>
        <v>2337</v>
      </c>
      <c r="F5" s="32">
        <f t="shared" si="0"/>
        <v>256.5</v>
      </c>
      <c r="G5" s="59">
        <f t="shared" ref="G5:G23" si="2">ROUND(D5/C5,1)</f>
        <v>1.3</v>
      </c>
      <c r="H5" s="52">
        <f t="shared" ref="H5:H23" si="3">RANK(E5,$E$4:$E$23)</f>
        <v>2</v>
      </c>
      <c r="I5" s="48"/>
    </row>
    <row r="6" spans="1:9" s="14" customFormat="1" ht="12" x14ac:dyDescent="0.2">
      <c r="A6" s="31" t="s">
        <v>126</v>
      </c>
      <c r="B6" s="31" t="s">
        <v>140</v>
      </c>
      <c r="C6" s="32">
        <v>220</v>
      </c>
      <c r="D6" s="32">
        <v>290</v>
      </c>
      <c r="E6" s="117">
        <f t="shared" si="1"/>
        <v>2270</v>
      </c>
      <c r="F6" s="32">
        <f t="shared" si="0"/>
        <v>255</v>
      </c>
      <c r="G6" s="59">
        <f t="shared" si="2"/>
        <v>1.3</v>
      </c>
      <c r="H6" s="52">
        <f t="shared" si="3"/>
        <v>3</v>
      </c>
      <c r="I6" s="48"/>
    </row>
    <row r="7" spans="1:9" s="14" customFormat="1" ht="12" x14ac:dyDescent="0.2">
      <c r="A7" s="31" t="s">
        <v>133</v>
      </c>
      <c r="B7" s="31" t="s">
        <v>139</v>
      </c>
      <c r="C7" s="32">
        <v>220</v>
      </c>
      <c r="D7" s="32">
        <v>150</v>
      </c>
      <c r="E7" s="117">
        <f t="shared" si="1"/>
        <v>2130</v>
      </c>
      <c r="F7" s="32">
        <f t="shared" si="0"/>
        <v>185</v>
      </c>
      <c r="G7" s="59">
        <f t="shared" si="2"/>
        <v>0.7</v>
      </c>
      <c r="H7" s="52">
        <f t="shared" si="3"/>
        <v>4</v>
      </c>
      <c r="I7" s="48"/>
    </row>
    <row r="8" spans="1:9" s="14" customFormat="1" ht="12" x14ac:dyDescent="0.2">
      <c r="A8" s="31" t="s">
        <v>123</v>
      </c>
      <c r="B8" s="31" t="s">
        <v>138</v>
      </c>
      <c r="C8" s="32">
        <v>190</v>
      </c>
      <c r="D8" s="32">
        <v>184</v>
      </c>
      <c r="E8" s="117">
        <f t="shared" si="1"/>
        <v>1894</v>
      </c>
      <c r="F8" s="32">
        <f t="shared" si="0"/>
        <v>187</v>
      </c>
      <c r="G8" s="59">
        <f t="shared" si="2"/>
        <v>1</v>
      </c>
      <c r="H8" s="52">
        <f t="shared" si="3"/>
        <v>5</v>
      </c>
      <c r="I8" s="48"/>
    </row>
    <row r="9" spans="1:9" s="14" customFormat="1" ht="12" x14ac:dyDescent="0.2">
      <c r="A9" s="31" t="s">
        <v>134</v>
      </c>
      <c r="B9" s="31" t="s">
        <v>140</v>
      </c>
      <c r="C9" s="32">
        <v>180</v>
      </c>
      <c r="D9" s="32">
        <v>250</v>
      </c>
      <c r="E9" s="117">
        <f t="shared" si="1"/>
        <v>1870</v>
      </c>
      <c r="F9" s="32">
        <f t="shared" si="0"/>
        <v>215</v>
      </c>
      <c r="G9" s="59">
        <f t="shared" si="2"/>
        <v>1.4</v>
      </c>
      <c r="H9" s="52">
        <f t="shared" si="3"/>
        <v>6</v>
      </c>
      <c r="I9" s="48"/>
    </row>
    <row r="10" spans="1:9" s="14" customFormat="1" ht="12" x14ac:dyDescent="0.2">
      <c r="A10" s="31" t="s">
        <v>118</v>
      </c>
      <c r="B10" s="31" t="s">
        <v>154</v>
      </c>
      <c r="C10" s="32">
        <v>180</v>
      </c>
      <c r="D10" s="32">
        <v>225</v>
      </c>
      <c r="E10" s="117">
        <f t="shared" si="1"/>
        <v>1845</v>
      </c>
      <c r="F10" s="32">
        <f t="shared" si="0"/>
        <v>202.5</v>
      </c>
      <c r="G10" s="59">
        <f t="shared" si="2"/>
        <v>1.3</v>
      </c>
      <c r="H10" s="52">
        <f t="shared" si="3"/>
        <v>7</v>
      </c>
      <c r="I10" s="48"/>
    </row>
    <row r="11" spans="1:9" s="14" customFormat="1" ht="12" x14ac:dyDescent="0.2">
      <c r="A11" s="31" t="s">
        <v>127</v>
      </c>
      <c r="B11" s="31" t="s">
        <v>139</v>
      </c>
      <c r="C11" s="32">
        <v>180</v>
      </c>
      <c r="D11" s="32">
        <v>160</v>
      </c>
      <c r="E11" s="117">
        <f t="shared" si="1"/>
        <v>1780</v>
      </c>
      <c r="F11" s="32">
        <f t="shared" si="0"/>
        <v>170</v>
      </c>
      <c r="G11" s="59">
        <f t="shared" si="2"/>
        <v>0.9</v>
      </c>
      <c r="H11" s="52">
        <f t="shared" si="3"/>
        <v>8</v>
      </c>
      <c r="I11" s="48"/>
    </row>
    <row r="12" spans="1:9" s="14" customFormat="1" ht="12" x14ac:dyDescent="0.2">
      <c r="A12" s="31" t="s">
        <v>115</v>
      </c>
      <c r="B12" s="31" t="s">
        <v>153</v>
      </c>
      <c r="C12" s="32">
        <v>170</v>
      </c>
      <c r="D12" s="32">
        <v>150</v>
      </c>
      <c r="E12" s="117">
        <f t="shared" si="1"/>
        <v>1680</v>
      </c>
      <c r="F12" s="32">
        <f t="shared" si="0"/>
        <v>160</v>
      </c>
      <c r="G12" s="59">
        <f t="shared" si="2"/>
        <v>0.9</v>
      </c>
      <c r="H12" s="52">
        <f t="shared" si="3"/>
        <v>9</v>
      </c>
      <c r="I12" s="48"/>
    </row>
    <row r="13" spans="1:9" s="14" customFormat="1" ht="12" x14ac:dyDescent="0.2">
      <c r="A13" s="31" t="s">
        <v>121</v>
      </c>
      <c r="B13" s="31" t="s">
        <v>137</v>
      </c>
      <c r="C13" s="32">
        <v>157</v>
      </c>
      <c r="D13" s="32">
        <v>202</v>
      </c>
      <c r="E13" s="117">
        <f t="shared" si="1"/>
        <v>1615</v>
      </c>
      <c r="F13" s="32">
        <f t="shared" si="0"/>
        <v>179.5</v>
      </c>
      <c r="G13" s="59">
        <f t="shared" si="2"/>
        <v>1.3</v>
      </c>
      <c r="H13" s="52">
        <f t="shared" si="3"/>
        <v>10</v>
      </c>
      <c r="I13" s="48"/>
    </row>
    <row r="14" spans="1:9" s="14" customFormat="1" ht="12" x14ac:dyDescent="0.2">
      <c r="A14" s="31" t="s">
        <v>131</v>
      </c>
      <c r="B14" s="31" t="s">
        <v>141</v>
      </c>
      <c r="C14" s="32">
        <v>160</v>
      </c>
      <c r="D14" s="32">
        <v>170</v>
      </c>
      <c r="E14" s="117">
        <f t="shared" si="1"/>
        <v>1610</v>
      </c>
      <c r="F14" s="32">
        <f t="shared" si="0"/>
        <v>165</v>
      </c>
      <c r="G14" s="59">
        <f t="shared" si="2"/>
        <v>1.1000000000000001</v>
      </c>
      <c r="H14" s="52">
        <f t="shared" si="3"/>
        <v>11</v>
      </c>
      <c r="I14" s="48"/>
    </row>
    <row r="15" spans="1:9" s="14" customFormat="1" ht="12" x14ac:dyDescent="0.2">
      <c r="A15" s="31" t="s">
        <v>132</v>
      </c>
      <c r="B15" s="31" t="s">
        <v>139</v>
      </c>
      <c r="C15" s="32">
        <v>150</v>
      </c>
      <c r="D15" s="32">
        <v>180</v>
      </c>
      <c r="E15" s="117">
        <f t="shared" si="1"/>
        <v>1530</v>
      </c>
      <c r="F15" s="32">
        <f t="shared" si="0"/>
        <v>165</v>
      </c>
      <c r="G15" s="59">
        <f t="shared" si="2"/>
        <v>1.2</v>
      </c>
      <c r="H15" s="52">
        <f t="shared" si="3"/>
        <v>12</v>
      </c>
      <c r="I15" s="48"/>
    </row>
    <row r="16" spans="1:9" s="14" customFormat="1" ht="12" x14ac:dyDescent="0.2">
      <c r="A16" s="31" t="s">
        <v>117</v>
      </c>
      <c r="B16" s="31" t="s">
        <v>136</v>
      </c>
      <c r="C16" s="32">
        <v>138</v>
      </c>
      <c r="D16" s="32">
        <v>145</v>
      </c>
      <c r="E16" s="117">
        <f t="shared" si="1"/>
        <v>1443</v>
      </c>
      <c r="F16" s="32">
        <f t="shared" si="0"/>
        <v>141.5</v>
      </c>
      <c r="G16" s="59">
        <f t="shared" si="2"/>
        <v>1.1000000000000001</v>
      </c>
      <c r="H16" s="52">
        <f t="shared" si="3"/>
        <v>13</v>
      </c>
      <c r="I16" s="48"/>
    </row>
    <row r="17" spans="1:9" s="14" customFormat="1" ht="12" x14ac:dyDescent="0.2">
      <c r="A17" s="31" t="s">
        <v>129</v>
      </c>
      <c r="B17" s="31" t="s">
        <v>141</v>
      </c>
      <c r="C17" s="32">
        <v>270</v>
      </c>
      <c r="D17" s="32">
        <v>130</v>
      </c>
      <c r="E17" s="117">
        <f t="shared" si="1"/>
        <v>1440</v>
      </c>
      <c r="F17" s="32">
        <f t="shared" si="0"/>
        <v>200</v>
      </c>
      <c r="G17" s="59">
        <f t="shared" si="2"/>
        <v>0.5</v>
      </c>
      <c r="H17" s="52">
        <f t="shared" si="3"/>
        <v>14</v>
      </c>
      <c r="I17" s="48"/>
    </row>
    <row r="18" spans="1:9" s="14" customFormat="1" ht="12" x14ac:dyDescent="0.2">
      <c r="A18" s="31" t="s">
        <v>128</v>
      </c>
      <c r="B18" s="31" t="s">
        <v>141</v>
      </c>
      <c r="C18" s="32">
        <v>150</v>
      </c>
      <c r="D18" s="32">
        <v>140</v>
      </c>
      <c r="E18" s="117">
        <f t="shared" si="1"/>
        <v>1410</v>
      </c>
      <c r="F18" s="32">
        <f t="shared" si="0"/>
        <v>145</v>
      </c>
      <c r="G18" s="59">
        <f t="shared" si="2"/>
        <v>0.9</v>
      </c>
      <c r="H18" s="52">
        <f t="shared" si="3"/>
        <v>15</v>
      </c>
      <c r="I18" s="48"/>
    </row>
    <row r="19" spans="1:9" s="14" customFormat="1" ht="12" x14ac:dyDescent="0.2">
      <c r="A19" s="31" t="s">
        <v>120</v>
      </c>
      <c r="B19" s="31" t="s">
        <v>137</v>
      </c>
      <c r="C19" s="32">
        <v>145</v>
      </c>
      <c r="D19" s="32">
        <v>140</v>
      </c>
      <c r="E19" s="117">
        <f t="shared" si="1"/>
        <v>1405</v>
      </c>
      <c r="F19" s="32">
        <f t="shared" si="0"/>
        <v>142.5</v>
      </c>
      <c r="G19" s="59">
        <f t="shared" si="2"/>
        <v>1</v>
      </c>
      <c r="H19" s="52">
        <f t="shared" si="3"/>
        <v>16</v>
      </c>
      <c r="I19" s="48"/>
    </row>
    <row r="20" spans="1:9" s="14" customFormat="1" ht="12" x14ac:dyDescent="0.2">
      <c r="A20" s="31" t="s">
        <v>122</v>
      </c>
      <c r="B20" s="31" t="s">
        <v>137</v>
      </c>
      <c r="C20" s="32">
        <v>110</v>
      </c>
      <c r="D20" s="32">
        <v>142</v>
      </c>
      <c r="E20" s="117">
        <f t="shared" si="1"/>
        <v>1388</v>
      </c>
      <c r="F20" s="32">
        <f t="shared" si="0"/>
        <v>126</v>
      </c>
      <c r="G20" s="59">
        <f t="shared" si="2"/>
        <v>1.3</v>
      </c>
      <c r="H20" s="52">
        <f t="shared" si="3"/>
        <v>17</v>
      </c>
      <c r="I20" s="48"/>
    </row>
    <row r="21" spans="1:9" s="14" customFormat="1" ht="12" x14ac:dyDescent="0.2">
      <c r="A21" s="31" t="s">
        <v>116</v>
      </c>
      <c r="B21" s="31" t="s">
        <v>135</v>
      </c>
      <c r="C21" s="32">
        <v>125</v>
      </c>
      <c r="D21" s="32">
        <v>137</v>
      </c>
      <c r="E21" s="117">
        <f t="shared" si="1"/>
        <v>1358</v>
      </c>
      <c r="F21" s="32">
        <f t="shared" si="0"/>
        <v>131</v>
      </c>
      <c r="G21" s="59">
        <f t="shared" si="2"/>
        <v>1.1000000000000001</v>
      </c>
      <c r="H21" s="52">
        <f t="shared" si="3"/>
        <v>18</v>
      </c>
      <c r="I21" s="48"/>
    </row>
    <row r="22" spans="1:9" s="14" customFormat="1" ht="12" x14ac:dyDescent="0.2">
      <c r="A22" s="31" t="s">
        <v>130</v>
      </c>
      <c r="B22" s="31" t="s">
        <v>139</v>
      </c>
      <c r="C22" s="32">
        <v>250</v>
      </c>
      <c r="D22" s="32">
        <v>110</v>
      </c>
      <c r="E22" s="117">
        <f t="shared" si="1"/>
        <v>1240</v>
      </c>
      <c r="F22" s="32">
        <f t="shared" si="0"/>
        <v>180</v>
      </c>
      <c r="G22" s="59">
        <f t="shared" si="2"/>
        <v>0.4</v>
      </c>
      <c r="H22" s="52">
        <f t="shared" si="3"/>
        <v>19</v>
      </c>
      <c r="I22" s="48"/>
    </row>
    <row r="23" spans="1:9" s="14" customFormat="1" ht="12" x14ac:dyDescent="0.2">
      <c r="A23" s="38" t="s">
        <v>125</v>
      </c>
      <c r="B23" s="38" t="s">
        <v>139</v>
      </c>
      <c r="C23" s="39">
        <v>110</v>
      </c>
      <c r="D23" s="39">
        <v>170</v>
      </c>
      <c r="E23" s="118">
        <f t="shared" si="1"/>
        <v>1160</v>
      </c>
      <c r="F23" s="39">
        <f t="shared" si="0"/>
        <v>140</v>
      </c>
      <c r="G23" s="60">
        <f t="shared" si="2"/>
        <v>1.5</v>
      </c>
      <c r="H23" s="54">
        <f t="shared" si="3"/>
        <v>20</v>
      </c>
      <c r="I23" s="48"/>
    </row>
    <row r="24" spans="1:9" s="14" customFormat="1" ht="12" x14ac:dyDescent="0.2">
      <c r="A24" s="138" t="s">
        <v>146</v>
      </c>
      <c r="B24" s="138"/>
      <c r="C24" s="138"/>
      <c r="D24" s="138"/>
      <c r="E24" s="133" t="s">
        <v>308</v>
      </c>
      <c r="F24" s="134"/>
      <c r="G24" s="134"/>
      <c r="H24" s="135"/>
    </row>
    <row r="25" spans="1:9" s="14" customFormat="1" ht="12" x14ac:dyDescent="0.2">
      <c r="A25" s="138" t="s">
        <v>147</v>
      </c>
      <c r="B25" s="138"/>
      <c r="C25" s="138"/>
      <c r="D25" s="138"/>
      <c r="E25" s="17">
        <f>SUMIF($A$4:$A$23,"*종로*",E4:E23)</f>
        <v>7140</v>
      </c>
      <c r="F25" s="17">
        <f>SUMIF($A$4:$A$23,"*종로*",F4:F23)</f>
        <v>730</v>
      </c>
      <c r="G25" s="161"/>
      <c r="H25" s="161"/>
    </row>
    <row r="26" spans="1:9" s="14" customFormat="1" ht="12" x14ac:dyDescent="0.2">
      <c r="A26" s="138" t="s">
        <v>148</v>
      </c>
      <c r="B26" s="138"/>
      <c r="C26" s="138"/>
      <c r="D26" s="138"/>
      <c r="E26" s="17">
        <f>SUMIF($A$4:$A$23,"*2",E4:E23)</f>
        <v>12195</v>
      </c>
      <c r="F26" s="17">
        <f>SUMIF($A$4:$A$23,"*2",F4:F23)</f>
        <v>1369.5</v>
      </c>
      <c r="G26" s="161"/>
      <c r="H26" s="161"/>
    </row>
    <row r="27" spans="1:9" s="14" customFormat="1" ht="12" x14ac:dyDescent="0.2">
      <c r="A27" s="138" t="s">
        <v>149</v>
      </c>
      <c r="B27" s="138"/>
      <c r="C27" s="138"/>
      <c r="D27" s="138"/>
      <c r="E27" s="17">
        <f>SUMIFS(E4:E23,$A$4:$A$23,"*종로*",$B$4:$B$23,"Dell")</f>
        <v>3660</v>
      </c>
      <c r="F27" s="17">
        <f>SUMIFS(F4:F23,$A$4:$A$23,"*종로*",$B$4:$B$23,"Dell")</f>
        <v>350</v>
      </c>
      <c r="G27" s="161"/>
      <c r="H27" s="161"/>
    </row>
    <row r="28" spans="1:9" s="14" customFormat="1" ht="12" x14ac:dyDescent="0.2">
      <c r="A28" s="138" t="s">
        <v>150</v>
      </c>
      <c r="B28" s="138"/>
      <c r="C28" s="138"/>
      <c r="D28" s="138"/>
      <c r="E28" s="17">
        <f>SUMIFS(E4:E23,$C$4:$C$23,"&gt;=130",$C$4:$C$23,"&lt;180")</f>
        <v>10693</v>
      </c>
      <c r="F28" s="17">
        <f>SUMIFS(F4:F23,$C$4:$C$23,"&gt;=130",$C$4:$C$23,"&lt;180")</f>
        <v>1098.5</v>
      </c>
      <c r="G28" s="161"/>
      <c r="H28" s="161"/>
    </row>
    <row r="29" spans="1:9" s="14" customFormat="1" ht="12" x14ac:dyDescent="0.2">
      <c r="A29" s="158" t="s">
        <v>307</v>
      </c>
      <c r="B29" s="159"/>
      <c r="C29" s="159"/>
      <c r="D29" s="159"/>
      <c r="E29" s="159"/>
      <c r="F29" s="159"/>
      <c r="G29" s="159"/>
      <c r="H29" s="159"/>
    </row>
  </sheetData>
  <sortState ref="A4:H23">
    <sortCondition ref="H4:H23"/>
    <sortCondition ref="G4:G23"/>
  </sortState>
  <mergeCells count="9">
    <mergeCell ref="A29:H29"/>
    <mergeCell ref="A2:H2"/>
    <mergeCell ref="A24:D24"/>
    <mergeCell ref="E24:H24"/>
    <mergeCell ref="A25:D25"/>
    <mergeCell ref="G25:H28"/>
    <mergeCell ref="A26:D26"/>
    <mergeCell ref="A27:D27"/>
    <mergeCell ref="A28:D28"/>
  </mergeCells>
  <phoneticPr fontId="3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E23"/>
  <sheetViews>
    <sheetView workbookViewId="0">
      <selection activeCell="F21" sqref="F21"/>
    </sheetView>
  </sheetViews>
  <sheetFormatPr defaultColWidth="9" defaultRowHeight="16.5" x14ac:dyDescent="0.3"/>
  <cols>
    <col min="1" max="1" width="13.875" style="56" customWidth="1"/>
    <col min="2" max="16384" width="9" style="56"/>
  </cols>
  <sheetData>
    <row r="2" spans="1:5" x14ac:dyDescent="0.3">
      <c r="A2" s="57" t="s">
        <v>155</v>
      </c>
    </row>
    <row r="3" spans="1:5" x14ac:dyDescent="0.3">
      <c r="A3" s="64" t="s">
        <v>163</v>
      </c>
      <c r="B3" s="64" t="s">
        <v>157</v>
      </c>
      <c r="C3" s="64" t="s">
        <v>158</v>
      </c>
      <c r="D3" s="64" t="s">
        <v>159</v>
      </c>
      <c r="E3" s="64" t="s">
        <v>160</v>
      </c>
    </row>
    <row r="4" spans="1:5" x14ac:dyDescent="0.3">
      <c r="A4" s="64" t="s">
        <v>164</v>
      </c>
      <c r="B4" s="64">
        <v>10</v>
      </c>
      <c r="C4" s="64">
        <v>24</v>
      </c>
      <c r="D4" s="65"/>
      <c r="E4" s="65"/>
    </row>
    <row r="5" spans="1:5" x14ac:dyDescent="0.3">
      <c r="A5" s="64" t="s">
        <v>165</v>
      </c>
      <c r="B5" s="64">
        <v>16</v>
      </c>
      <c r="C5" s="64">
        <v>29</v>
      </c>
      <c r="D5" s="63"/>
      <c r="E5" s="66">
        <v>2000</v>
      </c>
    </row>
    <row r="6" spans="1:5" x14ac:dyDescent="0.3">
      <c r="A6" s="64" t="s">
        <v>166</v>
      </c>
      <c r="B6" s="64">
        <v>34</v>
      </c>
      <c r="C6" s="64">
        <v>58</v>
      </c>
      <c r="D6" s="64" t="s">
        <v>161</v>
      </c>
      <c r="E6" s="65"/>
    </row>
    <row r="7" spans="1:5" x14ac:dyDescent="0.3">
      <c r="A7" s="64" t="s">
        <v>167</v>
      </c>
      <c r="B7" s="64">
        <v>68</v>
      </c>
      <c r="C7" s="64">
        <v>86</v>
      </c>
      <c r="D7" s="64" t="s">
        <v>161</v>
      </c>
      <c r="E7" s="65"/>
    </row>
    <row r="8" spans="1:5" x14ac:dyDescent="0.3">
      <c r="A8" s="64" t="s">
        <v>168</v>
      </c>
      <c r="B8" s="64">
        <v>32</v>
      </c>
      <c r="C8" s="64">
        <v>98</v>
      </c>
      <c r="D8" s="64" t="s">
        <v>161</v>
      </c>
      <c r="E8" s="65"/>
    </row>
    <row r="9" spans="1:5" x14ac:dyDescent="0.3">
      <c r="A9" s="64" t="s">
        <v>169</v>
      </c>
      <c r="B9" s="64">
        <v>107</v>
      </c>
      <c r="C9" s="64">
        <v>132</v>
      </c>
      <c r="D9" s="65"/>
      <c r="E9" s="65"/>
    </row>
    <row r="10" spans="1:5" x14ac:dyDescent="0.3">
      <c r="A10" s="64" t="s">
        <v>170</v>
      </c>
      <c r="B10" s="64">
        <v>145</v>
      </c>
      <c r="C10" s="64">
        <v>167</v>
      </c>
      <c r="D10" s="64" t="s">
        <v>353</v>
      </c>
      <c r="E10" s="66">
        <v>8000</v>
      </c>
    </row>
    <row r="11" spans="1:5" x14ac:dyDescent="0.3">
      <c r="A11" s="64" t="s">
        <v>171</v>
      </c>
      <c r="B11" s="64">
        <v>23</v>
      </c>
      <c r="C11" s="64">
        <v>179</v>
      </c>
      <c r="D11" s="64" t="s">
        <v>352</v>
      </c>
      <c r="E11" s="65"/>
    </row>
    <row r="12" spans="1:5" x14ac:dyDescent="0.3">
      <c r="A12" s="64" t="s">
        <v>172</v>
      </c>
      <c r="B12" s="64">
        <v>82</v>
      </c>
      <c r="C12" s="64">
        <v>226</v>
      </c>
      <c r="D12" s="63"/>
      <c r="E12" s="66">
        <v>3200</v>
      </c>
    </row>
    <row r="13" spans="1:5" x14ac:dyDescent="0.3">
      <c r="A13" s="64" t="s">
        <v>173</v>
      </c>
      <c r="B13" s="64">
        <v>125</v>
      </c>
      <c r="C13" s="64">
        <v>239</v>
      </c>
      <c r="D13" s="63"/>
      <c r="E13" s="66">
        <v>25000</v>
      </c>
    </row>
    <row r="14" spans="1:5" x14ac:dyDescent="0.3">
      <c r="A14" s="64" t="s">
        <v>174</v>
      </c>
      <c r="B14" s="64">
        <v>35</v>
      </c>
      <c r="C14" s="64">
        <v>38</v>
      </c>
      <c r="D14" s="65"/>
      <c r="E14" s="65"/>
    </row>
    <row r="15" spans="1:5" x14ac:dyDescent="0.3">
      <c r="A15" s="64" t="s">
        <v>175</v>
      </c>
      <c r="B15" s="64">
        <v>47</v>
      </c>
      <c r="C15" s="64">
        <v>56</v>
      </c>
      <c r="D15" s="65"/>
      <c r="E15" s="65"/>
    </row>
    <row r="16" spans="1:5" x14ac:dyDescent="0.3">
      <c r="A16" s="64" t="s">
        <v>176</v>
      </c>
      <c r="B16" s="64">
        <v>58</v>
      </c>
      <c r="C16" s="64">
        <v>62</v>
      </c>
      <c r="D16" s="64" t="s">
        <v>161</v>
      </c>
      <c r="E16" s="65"/>
    </row>
    <row r="17" spans="1:5" x14ac:dyDescent="0.3">
      <c r="A17" s="64" t="s">
        <v>177</v>
      </c>
      <c r="B17" s="64">
        <v>62</v>
      </c>
      <c r="C17" s="64">
        <v>68</v>
      </c>
      <c r="D17" s="64" t="s">
        <v>161</v>
      </c>
      <c r="E17" s="65"/>
    </row>
    <row r="18" spans="1:5" x14ac:dyDescent="0.3">
      <c r="A18" s="64" t="s">
        <v>178</v>
      </c>
      <c r="B18" s="64">
        <v>20</v>
      </c>
      <c r="C18" s="64">
        <v>42</v>
      </c>
      <c r="D18" s="65"/>
      <c r="E18" s="65"/>
    </row>
    <row r="19" spans="1:5" x14ac:dyDescent="0.3">
      <c r="A19" s="64" t="s">
        <v>179</v>
      </c>
      <c r="B19" s="64">
        <v>10</v>
      </c>
      <c r="C19" s="64">
        <v>12</v>
      </c>
      <c r="D19" s="63"/>
      <c r="E19" s="66">
        <v>35000</v>
      </c>
    </row>
    <row r="20" spans="1:5" x14ac:dyDescent="0.3">
      <c r="A20" s="64" t="s">
        <v>180</v>
      </c>
      <c r="B20" s="64">
        <v>56</v>
      </c>
      <c r="C20" s="64">
        <v>58</v>
      </c>
      <c r="D20" s="65"/>
      <c r="E20" s="65"/>
    </row>
    <row r="21" spans="1:5" x14ac:dyDescent="0.3">
      <c r="A21" s="64" t="s">
        <v>181</v>
      </c>
      <c r="B21" s="64">
        <v>80</v>
      </c>
      <c r="C21" s="64">
        <v>88</v>
      </c>
      <c r="D21" s="65"/>
      <c r="E21" s="65"/>
    </row>
    <row r="22" spans="1:5" x14ac:dyDescent="0.3">
      <c r="A22" s="64" t="s">
        <v>182</v>
      </c>
      <c r="B22" s="64">
        <v>48</v>
      </c>
      <c r="C22" s="64">
        <v>54</v>
      </c>
      <c r="D22" s="64" t="s">
        <v>161</v>
      </c>
      <c r="E22" s="65"/>
    </row>
    <row r="23" spans="1:5" x14ac:dyDescent="0.3">
      <c r="A23" s="64" t="s">
        <v>183</v>
      </c>
      <c r="B23" s="64">
        <v>28</v>
      </c>
      <c r="C23" s="64">
        <v>35</v>
      </c>
      <c r="D23" s="63"/>
      <c r="E23" s="66">
        <v>9000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" workbookViewId="0">
      <selection activeCell="A3" sqref="A3"/>
    </sheetView>
  </sheetViews>
  <sheetFormatPr defaultColWidth="9" defaultRowHeight="16.5" x14ac:dyDescent="0.3"/>
  <cols>
    <col min="1" max="1" width="9.5" style="56" bestFit="1" customWidth="1"/>
    <col min="2" max="2" width="5.25" style="56" bestFit="1" customWidth="1"/>
    <col min="3" max="4" width="9" style="56"/>
    <col min="5" max="5" width="7.125" style="56" bestFit="1" customWidth="1"/>
    <col min="6" max="7" width="9" style="56"/>
    <col min="8" max="8" width="7.125" style="56" bestFit="1" customWidth="1"/>
    <col min="9" max="16384" width="9" style="56"/>
  </cols>
  <sheetData>
    <row r="1" spans="1:10" hidden="1" x14ac:dyDescent="0.3"/>
    <row r="2" spans="1:10" ht="31.5" x14ac:dyDescent="0.55000000000000004">
      <c r="A2" s="160" t="s">
        <v>360</v>
      </c>
      <c r="B2" s="160"/>
      <c r="C2" s="160"/>
      <c r="D2" s="160"/>
      <c r="E2" s="160"/>
      <c r="F2" s="160"/>
      <c r="G2" s="160"/>
      <c r="H2" s="160"/>
      <c r="I2" s="160"/>
      <c r="J2" s="160"/>
    </row>
    <row r="3" spans="1:10" x14ac:dyDescent="0.3">
      <c r="A3" s="64" t="s">
        <v>163</v>
      </c>
      <c r="B3" s="64" t="s">
        <v>184</v>
      </c>
      <c r="C3" s="64" t="s">
        <v>157</v>
      </c>
      <c r="D3" s="64" t="s">
        <v>158</v>
      </c>
      <c r="E3" s="64" t="s">
        <v>185</v>
      </c>
      <c r="F3" s="64" t="s">
        <v>186</v>
      </c>
      <c r="G3" s="64" t="s">
        <v>159</v>
      </c>
      <c r="H3" s="64" t="s">
        <v>160</v>
      </c>
      <c r="I3" s="64" t="s">
        <v>55</v>
      </c>
      <c r="J3" s="64" t="s">
        <v>187</v>
      </c>
    </row>
    <row r="4" spans="1:10" x14ac:dyDescent="0.3">
      <c r="A4" s="64" t="s">
        <v>164</v>
      </c>
      <c r="B4" s="64" t="s">
        <v>17</v>
      </c>
      <c r="C4" s="61">
        <v>10</v>
      </c>
      <c r="D4" s="61">
        <v>24</v>
      </c>
      <c r="E4" s="61" t="s">
        <v>21</v>
      </c>
      <c r="F4" s="61" t="s">
        <v>22</v>
      </c>
      <c r="G4" s="65"/>
      <c r="H4" s="67"/>
      <c r="I4" s="61" t="s">
        <v>61</v>
      </c>
      <c r="J4" s="61" t="s">
        <v>35</v>
      </c>
    </row>
    <row r="5" spans="1:10" x14ac:dyDescent="0.3">
      <c r="A5" s="64" t="s">
        <v>165</v>
      </c>
      <c r="B5" s="64"/>
      <c r="C5" s="61">
        <v>16</v>
      </c>
      <c r="D5" s="61">
        <v>29</v>
      </c>
      <c r="E5" s="61"/>
      <c r="F5" s="61"/>
      <c r="G5" s="65"/>
      <c r="H5" s="62">
        <v>2000</v>
      </c>
      <c r="I5" s="67"/>
      <c r="J5" s="67"/>
    </row>
    <row r="6" spans="1:10" x14ac:dyDescent="0.3">
      <c r="A6" s="64" t="s">
        <v>166</v>
      </c>
      <c r="B6" s="64"/>
      <c r="C6" s="61">
        <v>34</v>
      </c>
      <c r="D6" s="61">
        <v>58</v>
      </c>
      <c r="E6" s="61"/>
      <c r="F6" s="61"/>
      <c r="G6" s="64" t="s">
        <v>161</v>
      </c>
      <c r="H6" s="67"/>
      <c r="I6" s="67"/>
      <c r="J6" s="67"/>
    </row>
    <row r="7" spans="1:10" x14ac:dyDescent="0.3">
      <c r="A7" s="64" t="s">
        <v>167</v>
      </c>
      <c r="B7" s="64"/>
      <c r="C7" s="61">
        <v>68</v>
      </c>
      <c r="D7" s="61">
        <v>86</v>
      </c>
      <c r="E7" s="61"/>
      <c r="F7" s="61"/>
      <c r="G7" s="64" t="s">
        <v>161</v>
      </c>
      <c r="H7" s="67"/>
      <c r="I7" s="67"/>
      <c r="J7" s="67"/>
    </row>
    <row r="8" spans="1:10" x14ac:dyDescent="0.3">
      <c r="A8" s="64" t="s">
        <v>168</v>
      </c>
      <c r="B8" s="64"/>
      <c r="C8" s="61">
        <v>32</v>
      </c>
      <c r="D8" s="61">
        <v>98</v>
      </c>
      <c r="E8" s="61"/>
      <c r="F8" s="61"/>
      <c r="G8" s="64" t="s">
        <v>161</v>
      </c>
      <c r="H8" s="67"/>
      <c r="I8" s="67"/>
      <c r="J8" s="67"/>
    </row>
    <row r="9" spans="1:10" x14ac:dyDescent="0.3">
      <c r="A9" s="64" t="s">
        <v>169</v>
      </c>
      <c r="B9" s="64"/>
      <c r="C9" s="61">
        <v>107</v>
      </c>
      <c r="D9" s="61">
        <v>132</v>
      </c>
      <c r="E9" s="61"/>
      <c r="F9" s="61"/>
      <c r="G9" s="65"/>
      <c r="H9" s="67"/>
      <c r="I9" s="67"/>
      <c r="J9" s="67"/>
    </row>
    <row r="10" spans="1:10" x14ac:dyDescent="0.3">
      <c r="A10" s="64" t="s">
        <v>170</v>
      </c>
      <c r="B10" s="64"/>
      <c r="C10" s="61">
        <v>145</v>
      </c>
      <c r="D10" s="61">
        <v>167</v>
      </c>
      <c r="E10" s="61"/>
      <c r="F10" s="61"/>
      <c r="G10" s="64" t="s">
        <v>162</v>
      </c>
      <c r="H10" s="62">
        <v>8000</v>
      </c>
      <c r="I10" s="67"/>
      <c r="J10" s="67"/>
    </row>
    <row r="11" spans="1:10" x14ac:dyDescent="0.3">
      <c r="A11" s="64" t="s">
        <v>171</v>
      </c>
      <c r="B11" s="64"/>
      <c r="C11" s="61">
        <v>23</v>
      </c>
      <c r="D11" s="61">
        <v>179</v>
      </c>
      <c r="E11" s="61"/>
      <c r="F11" s="61"/>
      <c r="G11" s="64" t="s">
        <v>161</v>
      </c>
      <c r="H11" s="67"/>
      <c r="I11" s="67"/>
      <c r="J11" s="67"/>
    </row>
    <row r="12" spans="1:10" x14ac:dyDescent="0.3">
      <c r="A12" s="64" t="s">
        <v>172</v>
      </c>
      <c r="B12" s="64"/>
      <c r="C12" s="61">
        <v>82</v>
      </c>
      <c r="D12" s="61">
        <v>226</v>
      </c>
      <c r="E12" s="61"/>
      <c r="F12" s="61"/>
      <c r="G12" s="65"/>
      <c r="H12" s="62">
        <v>3200</v>
      </c>
      <c r="I12" s="67"/>
      <c r="J12" s="67"/>
    </row>
    <row r="13" spans="1:10" x14ac:dyDescent="0.3">
      <c r="A13" s="64" t="s">
        <v>173</v>
      </c>
      <c r="B13" s="64"/>
      <c r="C13" s="61">
        <v>125</v>
      </c>
      <c r="D13" s="61">
        <v>239</v>
      </c>
      <c r="E13" s="61"/>
      <c r="F13" s="61"/>
      <c r="G13" s="65"/>
      <c r="H13" s="62">
        <v>25000</v>
      </c>
      <c r="I13" s="67"/>
      <c r="J13" s="67"/>
    </row>
    <row r="14" spans="1:10" x14ac:dyDescent="0.3">
      <c r="A14" s="64" t="s">
        <v>174</v>
      </c>
      <c r="B14" s="64"/>
      <c r="C14" s="61">
        <v>35</v>
      </c>
      <c r="D14" s="61">
        <v>38</v>
      </c>
      <c r="E14" s="61"/>
      <c r="F14" s="61"/>
      <c r="G14" s="65"/>
      <c r="H14" s="67"/>
      <c r="I14" s="67"/>
      <c r="J14" s="67"/>
    </row>
    <row r="15" spans="1:10" x14ac:dyDescent="0.3">
      <c r="A15" s="64" t="s">
        <v>175</v>
      </c>
      <c r="B15" s="64"/>
      <c r="C15" s="61">
        <v>47</v>
      </c>
      <c r="D15" s="61">
        <v>56</v>
      </c>
      <c r="E15" s="61"/>
      <c r="F15" s="61"/>
      <c r="G15" s="65"/>
      <c r="H15" s="67"/>
      <c r="I15" s="67"/>
      <c r="J15" s="67"/>
    </row>
    <row r="16" spans="1:10" x14ac:dyDescent="0.3">
      <c r="A16" s="64" t="s">
        <v>176</v>
      </c>
      <c r="B16" s="64"/>
      <c r="C16" s="61">
        <v>58</v>
      </c>
      <c r="D16" s="61">
        <v>62</v>
      </c>
      <c r="E16" s="61"/>
      <c r="F16" s="61"/>
      <c r="G16" s="64" t="s">
        <v>161</v>
      </c>
      <c r="H16" s="67"/>
      <c r="I16" s="67"/>
      <c r="J16" s="67"/>
    </row>
    <row r="17" spans="1:10" x14ac:dyDescent="0.3">
      <c r="A17" s="64" t="s">
        <v>177</v>
      </c>
      <c r="B17" s="64"/>
      <c r="C17" s="61">
        <v>62</v>
      </c>
      <c r="D17" s="61">
        <v>68</v>
      </c>
      <c r="E17" s="61"/>
      <c r="F17" s="61"/>
      <c r="G17" s="64" t="s">
        <v>161</v>
      </c>
      <c r="H17" s="67"/>
      <c r="I17" s="67"/>
      <c r="J17" s="67"/>
    </row>
    <row r="18" spans="1:10" x14ac:dyDescent="0.3">
      <c r="A18" s="64" t="s">
        <v>178</v>
      </c>
      <c r="B18" s="64"/>
      <c r="C18" s="61">
        <v>20</v>
      </c>
      <c r="D18" s="61">
        <v>42</v>
      </c>
      <c r="E18" s="61"/>
      <c r="F18" s="61"/>
      <c r="G18" s="65"/>
      <c r="H18" s="67"/>
      <c r="I18" s="67"/>
      <c r="J18" s="67"/>
    </row>
    <row r="19" spans="1:10" x14ac:dyDescent="0.3">
      <c r="A19" s="64" t="s">
        <v>179</v>
      </c>
      <c r="B19" s="64"/>
      <c r="C19" s="61">
        <v>10</v>
      </c>
      <c r="D19" s="61">
        <v>12</v>
      </c>
      <c r="E19" s="61"/>
      <c r="F19" s="61"/>
      <c r="G19" s="65"/>
      <c r="H19" s="62">
        <v>35000</v>
      </c>
      <c r="I19" s="67"/>
      <c r="J19" s="67"/>
    </row>
    <row r="20" spans="1:10" x14ac:dyDescent="0.3">
      <c r="A20" s="64" t="s">
        <v>180</v>
      </c>
      <c r="B20" s="64"/>
      <c r="C20" s="61">
        <v>56</v>
      </c>
      <c r="D20" s="61">
        <v>58</v>
      </c>
      <c r="E20" s="61"/>
      <c r="F20" s="61"/>
      <c r="G20" s="65"/>
      <c r="H20" s="67"/>
      <c r="I20" s="67"/>
      <c r="J20" s="67"/>
    </row>
    <row r="21" spans="1:10" x14ac:dyDescent="0.3">
      <c r="A21" s="64" t="s">
        <v>181</v>
      </c>
      <c r="B21" s="64"/>
      <c r="C21" s="61">
        <v>80</v>
      </c>
      <c r="D21" s="61">
        <v>88</v>
      </c>
      <c r="E21" s="61"/>
      <c r="F21" s="61"/>
      <c r="G21" s="65"/>
      <c r="H21" s="67"/>
      <c r="I21" s="67"/>
      <c r="J21" s="67"/>
    </row>
    <row r="22" spans="1:10" x14ac:dyDescent="0.3">
      <c r="A22" s="64" t="s">
        <v>182</v>
      </c>
      <c r="B22" s="64"/>
      <c r="C22" s="61">
        <v>48</v>
      </c>
      <c r="D22" s="61">
        <v>54</v>
      </c>
      <c r="E22" s="61"/>
      <c r="F22" s="61"/>
      <c r="G22" s="64" t="s">
        <v>161</v>
      </c>
      <c r="H22" s="67"/>
      <c r="I22" s="67"/>
      <c r="J22" s="67"/>
    </row>
    <row r="23" spans="1:10" x14ac:dyDescent="0.3">
      <c r="A23" s="64" t="s">
        <v>183</v>
      </c>
      <c r="B23" s="64"/>
      <c r="C23" s="61">
        <v>28</v>
      </c>
      <c r="D23" s="61">
        <v>35</v>
      </c>
      <c r="E23" s="61"/>
      <c r="F23" s="61"/>
      <c r="G23" s="65"/>
      <c r="H23" s="62">
        <v>9000</v>
      </c>
      <c r="I23" s="67"/>
      <c r="J23" s="67"/>
    </row>
    <row r="24" spans="1:10" x14ac:dyDescent="0.3">
      <c r="A24" s="170" t="s">
        <v>188</v>
      </c>
      <c r="B24" s="171"/>
      <c r="C24" s="172"/>
      <c r="D24" s="179" t="s">
        <v>354</v>
      </c>
      <c r="E24" s="179"/>
      <c r="F24" s="64" t="s">
        <v>24</v>
      </c>
      <c r="G24" s="163"/>
      <c r="H24" s="64" t="s">
        <v>24</v>
      </c>
      <c r="I24" s="64" t="s">
        <v>24</v>
      </c>
      <c r="J24" s="64" t="s">
        <v>25</v>
      </c>
    </row>
    <row r="25" spans="1:10" x14ac:dyDescent="0.3">
      <c r="A25" s="173"/>
      <c r="B25" s="174"/>
      <c r="C25" s="175"/>
      <c r="D25" s="179" t="s">
        <v>355</v>
      </c>
      <c r="E25" s="179"/>
      <c r="F25" s="64" t="s">
        <v>26</v>
      </c>
      <c r="G25" s="163"/>
      <c r="H25" s="64" t="s">
        <v>26</v>
      </c>
      <c r="I25" s="64" t="s">
        <v>26</v>
      </c>
      <c r="J25" s="64" t="s">
        <v>27</v>
      </c>
    </row>
    <row r="26" spans="1:10" x14ac:dyDescent="0.3">
      <c r="A26" s="176"/>
      <c r="B26" s="177"/>
      <c r="C26" s="178"/>
      <c r="D26" s="179" t="s">
        <v>356</v>
      </c>
      <c r="E26" s="179"/>
      <c r="F26" s="64" t="s">
        <v>28</v>
      </c>
      <c r="G26" s="163"/>
      <c r="H26" s="64" t="s">
        <v>28</v>
      </c>
      <c r="I26" s="64" t="s">
        <v>28</v>
      </c>
      <c r="J26" s="64" t="s">
        <v>29</v>
      </c>
    </row>
    <row r="27" spans="1:10" x14ac:dyDescent="0.3">
      <c r="A27" s="162" t="s">
        <v>189</v>
      </c>
      <c r="B27" s="162"/>
      <c r="C27" s="162"/>
      <c r="D27" s="162"/>
      <c r="E27" s="162"/>
      <c r="F27" s="162"/>
      <c r="G27" s="163"/>
      <c r="H27" s="65" t="s">
        <v>195</v>
      </c>
      <c r="I27" s="65"/>
      <c r="J27" s="65"/>
    </row>
    <row r="28" spans="1:10" x14ac:dyDescent="0.3">
      <c r="A28" s="162" t="s">
        <v>190</v>
      </c>
      <c r="B28" s="162"/>
      <c r="C28" s="162"/>
      <c r="D28" s="162"/>
      <c r="E28" s="162"/>
      <c r="F28" s="65" t="s">
        <v>151</v>
      </c>
      <c r="G28" s="164"/>
      <c r="H28" s="165"/>
      <c r="I28" s="165"/>
      <c r="J28" s="166"/>
    </row>
    <row r="29" spans="1:10" x14ac:dyDescent="0.3">
      <c r="A29" s="162" t="s">
        <v>191</v>
      </c>
      <c r="B29" s="162"/>
      <c r="C29" s="162"/>
      <c r="D29" s="162"/>
      <c r="E29" s="162"/>
      <c r="F29" s="65" t="s">
        <v>196</v>
      </c>
      <c r="G29" s="167"/>
      <c r="H29" s="168"/>
      <c r="I29" s="168"/>
      <c r="J29" s="169"/>
    </row>
    <row r="30" spans="1:10" x14ac:dyDescent="0.3">
      <c r="A30" s="162" t="s">
        <v>192</v>
      </c>
      <c r="B30" s="162"/>
      <c r="C30" s="162"/>
      <c r="D30" s="162"/>
      <c r="E30" s="162"/>
      <c r="F30" s="162"/>
      <c r="G30" s="162"/>
      <c r="H30" s="162"/>
      <c r="I30" s="162"/>
      <c r="J30" s="162"/>
    </row>
    <row r="31" spans="1:10" x14ac:dyDescent="0.3">
      <c r="A31" s="162" t="s">
        <v>194</v>
      </c>
      <c r="B31" s="162"/>
      <c r="C31" s="162"/>
      <c r="D31" s="162"/>
      <c r="E31" s="162"/>
      <c r="F31" s="162"/>
      <c r="G31" s="162"/>
      <c r="H31" s="162"/>
      <c r="I31" s="162"/>
      <c r="J31" s="162"/>
    </row>
  </sheetData>
  <mergeCells count="12">
    <mergeCell ref="A2:J2"/>
    <mergeCell ref="A24:C26"/>
    <mergeCell ref="D26:E26"/>
    <mergeCell ref="D25:E25"/>
    <mergeCell ref="D24:E24"/>
    <mergeCell ref="A31:J31"/>
    <mergeCell ref="A30:J30"/>
    <mergeCell ref="A29:E29"/>
    <mergeCell ref="A28:E28"/>
    <mergeCell ref="A27:F27"/>
    <mergeCell ref="G24:G27"/>
    <mergeCell ref="G28:J29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4"/>
  <sheetViews>
    <sheetView topLeftCell="A2" zoomScale="110" zoomScaleNormal="110" workbookViewId="0">
      <selection activeCell="H9" sqref="H9"/>
    </sheetView>
  </sheetViews>
  <sheetFormatPr defaultColWidth="9" defaultRowHeight="16.5" x14ac:dyDescent="0.3"/>
  <cols>
    <col min="1" max="1" width="9.5" style="56" bestFit="1" customWidth="1"/>
    <col min="2" max="2" width="7.125" style="56" bestFit="1" customWidth="1"/>
    <col min="3" max="3" width="8.25" style="56" customWidth="1"/>
    <col min="4" max="4" width="9" style="56"/>
    <col min="5" max="5" width="7.125" style="56" bestFit="1" customWidth="1"/>
    <col min="6" max="6" width="9" style="56"/>
    <col min="7" max="7" width="8" style="56" customWidth="1"/>
    <col min="8" max="8" width="7.375" style="56" bestFit="1" customWidth="1"/>
    <col min="9" max="10" width="9.125" style="56" bestFit="1" customWidth="1"/>
    <col min="11" max="16384" width="9" style="56"/>
  </cols>
  <sheetData>
    <row r="1" spans="1:11" hidden="1" x14ac:dyDescent="0.3"/>
    <row r="2" spans="1:11" ht="31.5" x14ac:dyDescent="0.55000000000000004">
      <c r="A2" s="160" t="s">
        <v>359</v>
      </c>
      <c r="B2" s="160"/>
      <c r="C2" s="160"/>
      <c r="D2" s="160"/>
      <c r="E2" s="160"/>
      <c r="F2" s="160"/>
      <c r="G2" s="160"/>
      <c r="H2" s="160"/>
      <c r="I2" s="160"/>
      <c r="J2" s="160"/>
    </row>
    <row r="3" spans="1:11" s="69" customFormat="1" ht="12.6" customHeight="1" x14ac:dyDescent="0.2">
      <c r="A3" s="115" t="s">
        <v>163</v>
      </c>
      <c r="B3" s="115" t="s">
        <v>184</v>
      </c>
      <c r="C3" s="115" t="s">
        <v>157</v>
      </c>
      <c r="D3" s="115" t="s">
        <v>158</v>
      </c>
      <c r="E3" s="115" t="s">
        <v>185</v>
      </c>
      <c r="F3" s="86" t="s">
        <v>186</v>
      </c>
      <c r="G3" s="115" t="s">
        <v>159</v>
      </c>
      <c r="H3" s="115" t="s">
        <v>160</v>
      </c>
      <c r="I3" s="115" t="s">
        <v>55</v>
      </c>
      <c r="J3" s="115" t="s">
        <v>187</v>
      </c>
    </row>
    <row r="4" spans="1:11" s="69" customFormat="1" ht="12.6" customHeight="1" x14ac:dyDescent="0.2">
      <c r="A4" s="72" t="s">
        <v>173</v>
      </c>
      <c r="B4" s="72" t="str">
        <f t="shared" ref="B4:B23" si="0">IF(LEFT(A4,1)="H","가정용",IF(LEFT(A4,1)="F","공장용","사무용"))</f>
        <v>공장용</v>
      </c>
      <c r="C4" s="73">
        <v>125</v>
      </c>
      <c r="D4" s="73">
        <v>239</v>
      </c>
      <c r="E4" s="73">
        <f t="shared" ref="E4:E23" si="1">D4-C4</f>
        <v>114</v>
      </c>
      <c r="F4" s="82">
        <f t="shared" ref="F4:F23" si="2">E4*IF(B4="가정용",550,IF(B4="공장용",250,350))</f>
        <v>28500</v>
      </c>
      <c r="G4" s="74"/>
      <c r="H4" s="82">
        <v>25000</v>
      </c>
      <c r="I4" s="82">
        <f t="shared" ref="I4:I23" si="3">IF(G4="실시",F4*12%,F4*0%)</f>
        <v>0</v>
      </c>
      <c r="J4" s="82">
        <f t="shared" ref="J4:J23" si="4">F4+H4+IF(H4&gt;1,H4*10%)-I4</f>
        <v>56000</v>
      </c>
    </row>
    <row r="5" spans="1:11" s="69" customFormat="1" ht="12.6" customHeight="1" x14ac:dyDescent="0.2">
      <c r="A5" s="75" t="s">
        <v>172</v>
      </c>
      <c r="B5" s="75" t="str">
        <f t="shared" si="0"/>
        <v>공장용</v>
      </c>
      <c r="C5" s="76">
        <v>82</v>
      </c>
      <c r="D5" s="76">
        <v>226</v>
      </c>
      <c r="E5" s="76">
        <f t="shared" si="1"/>
        <v>144</v>
      </c>
      <c r="F5" s="83">
        <f t="shared" si="2"/>
        <v>36000</v>
      </c>
      <c r="G5" s="77"/>
      <c r="H5" s="83">
        <v>3200</v>
      </c>
      <c r="I5" s="83">
        <f t="shared" si="3"/>
        <v>0</v>
      </c>
      <c r="J5" s="83">
        <f t="shared" si="4"/>
        <v>39520</v>
      </c>
      <c r="K5" s="81"/>
    </row>
    <row r="6" spans="1:11" s="69" customFormat="1" ht="12.6" customHeight="1" x14ac:dyDescent="0.2">
      <c r="A6" s="75" t="s">
        <v>179</v>
      </c>
      <c r="B6" s="75" t="str">
        <f t="shared" si="0"/>
        <v>사무용</v>
      </c>
      <c r="C6" s="76">
        <v>10</v>
      </c>
      <c r="D6" s="76">
        <v>12</v>
      </c>
      <c r="E6" s="76">
        <f t="shared" si="1"/>
        <v>2</v>
      </c>
      <c r="F6" s="83">
        <f t="shared" si="2"/>
        <v>700</v>
      </c>
      <c r="G6" s="77"/>
      <c r="H6" s="83">
        <v>35000</v>
      </c>
      <c r="I6" s="83">
        <f t="shared" si="3"/>
        <v>0</v>
      </c>
      <c r="J6" s="83">
        <f t="shared" si="4"/>
        <v>39200</v>
      </c>
      <c r="K6" s="81"/>
    </row>
    <row r="7" spans="1:11" s="69" customFormat="1" ht="12.6" customHeight="1" x14ac:dyDescent="0.2">
      <c r="A7" s="75" t="s">
        <v>171</v>
      </c>
      <c r="B7" s="75" t="str">
        <f t="shared" si="0"/>
        <v>공장용</v>
      </c>
      <c r="C7" s="76">
        <v>23</v>
      </c>
      <c r="D7" s="76">
        <v>179</v>
      </c>
      <c r="E7" s="76">
        <f t="shared" si="1"/>
        <v>156</v>
      </c>
      <c r="F7" s="83">
        <f t="shared" si="2"/>
        <v>39000</v>
      </c>
      <c r="G7" s="75" t="s">
        <v>198</v>
      </c>
      <c r="H7" s="84"/>
      <c r="I7" s="83">
        <f t="shared" si="3"/>
        <v>4680</v>
      </c>
      <c r="J7" s="83">
        <f t="shared" si="4"/>
        <v>34320</v>
      </c>
      <c r="K7" s="81"/>
    </row>
    <row r="8" spans="1:11" s="69" customFormat="1" ht="12.6" customHeight="1" x14ac:dyDescent="0.2">
      <c r="A8" s="75" t="s">
        <v>168</v>
      </c>
      <c r="B8" s="75" t="str">
        <f t="shared" si="0"/>
        <v>사무용</v>
      </c>
      <c r="C8" s="76">
        <v>32</v>
      </c>
      <c r="D8" s="76">
        <v>98</v>
      </c>
      <c r="E8" s="76">
        <f t="shared" si="1"/>
        <v>66</v>
      </c>
      <c r="F8" s="83">
        <f t="shared" si="2"/>
        <v>23100</v>
      </c>
      <c r="G8" s="75" t="s">
        <v>198</v>
      </c>
      <c r="H8" s="84"/>
      <c r="I8" s="83">
        <f t="shared" si="3"/>
        <v>2772</v>
      </c>
      <c r="J8" s="83">
        <f t="shared" si="4"/>
        <v>20328</v>
      </c>
      <c r="K8" s="81"/>
    </row>
    <row r="9" spans="1:11" s="69" customFormat="1" ht="12.6" customHeight="1" x14ac:dyDescent="0.2">
      <c r="A9" s="75" t="s">
        <v>170</v>
      </c>
      <c r="B9" s="75" t="str">
        <f t="shared" si="0"/>
        <v>가정용</v>
      </c>
      <c r="C9" s="76">
        <v>145</v>
      </c>
      <c r="D9" s="76">
        <v>167</v>
      </c>
      <c r="E9" s="76">
        <f t="shared" si="1"/>
        <v>22</v>
      </c>
      <c r="F9" s="83">
        <f t="shared" si="2"/>
        <v>12100</v>
      </c>
      <c r="G9" s="75" t="s">
        <v>197</v>
      </c>
      <c r="H9" s="83">
        <v>8000</v>
      </c>
      <c r="I9" s="83">
        <f t="shared" si="3"/>
        <v>1452</v>
      </c>
      <c r="J9" s="83">
        <f t="shared" si="4"/>
        <v>19448</v>
      </c>
      <c r="K9" s="81"/>
    </row>
    <row r="10" spans="1:11" s="69" customFormat="1" ht="12.6" customHeight="1" x14ac:dyDescent="0.2">
      <c r="A10" s="75" t="s">
        <v>169</v>
      </c>
      <c r="B10" s="75" t="str">
        <f t="shared" si="0"/>
        <v>가정용</v>
      </c>
      <c r="C10" s="76">
        <v>107</v>
      </c>
      <c r="D10" s="76">
        <v>132</v>
      </c>
      <c r="E10" s="76">
        <f t="shared" si="1"/>
        <v>25</v>
      </c>
      <c r="F10" s="83">
        <f t="shared" si="2"/>
        <v>13750</v>
      </c>
      <c r="G10" s="77"/>
      <c r="H10" s="84"/>
      <c r="I10" s="83">
        <f t="shared" si="3"/>
        <v>0</v>
      </c>
      <c r="J10" s="83">
        <f t="shared" si="4"/>
        <v>13750</v>
      </c>
      <c r="K10" s="81"/>
    </row>
    <row r="11" spans="1:11" s="69" customFormat="1" ht="12.6" customHeight="1" x14ac:dyDescent="0.2">
      <c r="A11" s="75" t="s">
        <v>183</v>
      </c>
      <c r="B11" s="75" t="str">
        <f t="shared" si="0"/>
        <v>사무용</v>
      </c>
      <c r="C11" s="76">
        <v>28</v>
      </c>
      <c r="D11" s="76">
        <v>35</v>
      </c>
      <c r="E11" s="76">
        <f t="shared" si="1"/>
        <v>7</v>
      </c>
      <c r="F11" s="83">
        <f t="shared" si="2"/>
        <v>2450</v>
      </c>
      <c r="G11" s="77"/>
      <c r="H11" s="83">
        <v>9000</v>
      </c>
      <c r="I11" s="83">
        <f t="shared" si="3"/>
        <v>0</v>
      </c>
      <c r="J11" s="83">
        <f t="shared" si="4"/>
        <v>12350</v>
      </c>
    </row>
    <row r="12" spans="1:11" s="69" customFormat="1" ht="12.6" customHeight="1" x14ac:dyDescent="0.2">
      <c r="A12" s="75" t="s">
        <v>167</v>
      </c>
      <c r="B12" s="75" t="str">
        <f t="shared" si="0"/>
        <v>가정용</v>
      </c>
      <c r="C12" s="76">
        <v>68</v>
      </c>
      <c r="D12" s="76">
        <v>86</v>
      </c>
      <c r="E12" s="76">
        <f t="shared" si="1"/>
        <v>18</v>
      </c>
      <c r="F12" s="83">
        <f t="shared" si="2"/>
        <v>9900</v>
      </c>
      <c r="G12" s="75" t="s">
        <v>198</v>
      </c>
      <c r="H12" s="84"/>
      <c r="I12" s="83">
        <f t="shared" si="3"/>
        <v>1188</v>
      </c>
      <c r="J12" s="83">
        <f t="shared" si="4"/>
        <v>8712</v>
      </c>
    </row>
    <row r="13" spans="1:11" s="69" customFormat="1" ht="12.6" customHeight="1" x14ac:dyDescent="0.2">
      <c r="A13" s="75" t="s">
        <v>164</v>
      </c>
      <c r="B13" s="75" t="str">
        <f t="shared" si="0"/>
        <v>가정용</v>
      </c>
      <c r="C13" s="76">
        <v>10</v>
      </c>
      <c r="D13" s="76">
        <v>24</v>
      </c>
      <c r="E13" s="76">
        <f t="shared" si="1"/>
        <v>14</v>
      </c>
      <c r="F13" s="83">
        <f t="shared" si="2"/>
        <v>7700</v>
      </c>
      <c r="G13" s="77"/>
      <c r="H13" s="84"/>
      <c r="I13" s="83">
        <f t="shared" si="3"/>
        <v>0</v>
      </c>
      <c r="J13" s="83">
        <f t="shared" si="4"/>
        <v>7700</v>
      </c>
    </row>
    <row r="14" spans="1:11" s="69" customFormat="1" ht="12.6" customHeight="1" x14ac:dyDescent="0.2">
      <c r="A14" s="75" t="s">
        <v>166</v>
      </c>
      <c r="B14" s="75" t="str">
        <f t="shared" si="0"/>
        <v>사무용</v>
      </c>
      <c r="C14" s="76">
        <v>34</v>
      </c>
      <c r="D14" s="76">
        <v>58</v>
      </c>
      <c r="E14" s="76">
        <f t="shared" si="1"/>
        <v>24</v>
      </c>
      <c r="F14" s="83">
        <f t="shared" si="2"/>
        <v>8400</v>
      </c>
      <c r="G14" s="75" t="s">
        <v>197</v>
      </c>
      <c r="H14" s="84"/>
      <c r="I14" s="83">
        <f t="shared" si="3"/>
        <v>1008</v>
      </c>
      <c r="J14" s="83">
        <f t="shared" si="4"/>
        <v>7392</v>
      </c>
    </row>
    <row r="15" spans="1:11" s="69" customFormat="1" ht="12.6" customHeight="1" x14ac:dyDescent="0.2">
      <c r="A15" s="75" t="s">
        <v>165</v>
      </c>
      <c r="B15" s="75" t="str">
        <f t="shared" si="0"/>
        <v>사무용</v>
      </c>
      <c r="C15" s="76">
        <v>16</v>
      </c>
      <c r="D15" s="76">
        <v>29</v>
      </c>
      <c r="E15" s="76">
        <f t="shared" si="1"/>
        <v>13</v>
      </c>
      <c r="F15" s="83">
        <f t="shared" si="2"/>
        <v>4550</v>
      </c>
      <c r="G15" s="77"/>
      <c r="H15" s="83">
        <v>2000</v>
      </c>
      <c r="I15" s="83">
        <f t="shared" si="3"/>
        <v>0</v>
      </c>
      <c r="J15" s="83">
        <f t="shared" si="4"/>
        <v>6750</v>
      </c>
    </row>
    <row r="16" spans="1:11" s="69" customFormat="1" ht="12.6" customHeight="1" x14ac:dyDescent="0.2">
      <c r="A16" s="75" t="s">
        <v>178</v>
      </c>
      <c r="B16" s="75" t="str">
        <f t="shared" si="0"/>
        <v>공장용</v>
      </c>
      <c r="C16" s="76">
        <v>20</v>
      </c>
      <c r="D16" s="76">
        <v>42</v>
      </c>
      <c r="E16" s="76">
        <f t="shared" si="1"/>
        <v>22</v>
      </c>
      <c r="F16" s="83">
        <f t="shared" si="2"/>
        <v>5500</v>
      </c>
      <c r="G16" s="77"/>
      <c r="H16" s="84"/>
      <c r="I16" s="83">
        <f t="shared" si="3"/>
        <v>0</v>
      </c>
      <c r="J16" s="83">
        <f t="shared" si="4"/>
        <v>5500</v>
      </c>
    </row>
    <row r="17" spans="1:10" s="69" customFormat="1" ht="12.6" customHeight="1" x14ac:dyDescent="0.2">
      <c r="A17" s="75" t="s">
        <v>175</v>
      </c>
      <c r="B17" s="75" t="str">
        <f t="shared" si="0"/>
        <v>가정용</v>
      </c>
      <c r="C17" s="76">
        <v>47</v>
      </c>
      <c r="D17" s="76">
        <v>56</v>
      </c>
      <c r="E17" s="76">
        <f t="shared" si="1"/>
        <v>9</v>
      </c>
      <c r="F17" s="83">
        <f t="shared" si="2"/>
        <v>4950</v>
      </c>
      <c r="G17" s="77"/>
      <c r="H17" s="84"/>
      <c r="I17" s="83">
        <f t="shared" si="3"/>
        <v>0</v>
      </c>
      <c r="J17" s="83">
        <f t="shared" si="4"/>
        <v>4950</v>
      </c>
    </row>
    <row r="18" spans="1:10" s="69" customFormat="1" ht="12.6" customHeight="1" x14ac:dyDescent="0.2">
      <c r="A18" s="75" t="s">
        <v>177</v>
      </c>
      <c r="B18" s="75" t="str">
        <f t="shared" si="0"/>
        <v>가정용</v>
      </c>
      <c r="C18" s="76">
        <v>62</v>
      </c>
      <c r="D18" s="76">
        <v>68</v>
      </c>
      <c r="E18" s="76">
        <f t="shared" si="1"/>
        <v>6</v>
      </c>
      <c r="F18" s="83">
        <f t="shared" si="2"/>
        <v>3300</v>
      </c>
      <c r="G18" s="75" t="s">
        <v>198</v>
      </c>
      <c r="H18" s="84"/>
      <c r="I18" s="83">
        <f t="shared" si="3"/>
        <v>396</v>
      </c>
      <c r="J18" s="83">
        <f t="shared" si="4"/>
        <v>2904</v>
      </c>
    </row>
    <row r="19" spans="1:10" s="69" customFormat="1" ht="12.6" customHeight="1" x14ac:dyDescent="0.2">
      <c r="A19" s="75" t="s">
        <v>181</v>
      </c>
      <c r="B19" s="75" t="str">
        <f t="shared" si="0"/>
        <v>공장용</v>
      </c>
      <c r="C19" s="76">
        <v>80</v>
      </c>
      <c r="D19" s="76">
        <v>88</v>
      </c>
      <c r="E19" s="76">
        <f t="shared" si="1"/>
        <v>8</v>
      </c>
      <c r="F19" s="83">
        <f t="shared" si="2"/>
        <v>2000</v>
      </c>
      <c r="G19" s="77"/>
      <c r="H19" s="84"/>
      <c r="I19" s="83">
        <f t="shared" si="3"/>
        <v>0</v>
      </c>
      <c r="J19" s="83">
        <f t="shared" si="4"/>
        <v>2000</v>
      </c>
    </row>
    <row r="20" spans="1:10" s="69" customFormat="1" ht="12.6" customHeight="1" x14ac:dyDescent="0.2">
      <c r="A20" s="75" t="s">
        <v>176</v>
      </c>
      <c r="B20" s="75" t="str">
        <f t="shared" si="0"/>
        <v>가정용</v>
      </c>
      <c r="C20" s="76">
        <v>58</v>
      </c>
      <c r="D20" s="76">
        <v>62</v>
      </c>
      <c r="E20" s="76">
        <f t="shared" si="1"/>
        <v>4</v>
      </c>
      <c r="F20" s="83">
        <f t="shared" si="2"/>
        <v>2200</v>
      </c>
      <c r="G20" s="75" t="s">
        <v>198</v>
      </c>
      <c r="H20" s="84"/>
      <c r="I20" s="83">
        <f t="shared" si="3"/>
        <v>264</v>
      </c>
      <c r="J20" s="83">
        <f t="shared" si="4"/>
        <v>1936</v>
      </c>
    </row>
    <row r="21" spans="1:10" s="69" customFormat="1" ht="12.6" customHeight="1" x14ac:dyDescent="0.2">
      <c r="A21" s="75" t="s">
        <v>182</v>
      </c>
      <c r="B21" s="75" t="str">
        <f t="shared" si="0"/>
        <v>공장용</v>
      </c>
      <c r="C21" s="76">
        <v>48</v>
      </c>
      <c r="D21" s="76">
        <v>54</v>
      </c>
      <c r="E21" s="76">
        <f t="shared" si="1"/>
        <v>6</v>
      </c>
      <c r="F21" s="83">
        <f t="shared" si="2"/>
        <v>1500</v>
      </c>
      <c r="G21" s="75" t="s">
        <v>161</v>
      </c>
      <c r="H21" s="84"/>
      <c r="I21" s="83">
        <f t="shared" si="3"/>
        <v>180</v>
      </c>
      <c r="J21" s="83">
        <f t="shared" si="4"/>
        <v>1320</v>
      </c>
    </row>
    <row r="22" spans="1:10" s="69" customFormat="1" ht="12.6" customHeight="1" x14ac:dyDescent="0.2">
      <c r="A22" s="75" t="s">
        <v>174</v>
      </c>
      <c r="B22" s="75" t="str">
        <f t="shared" si="0"/>
        <v>사무용</v>
      </c>
      <c r="C22" s="76">
        <v>35</v>
      </c>
      <c r="D22" s="76">
        <v>38</v>
      </c>
      <c r="E22" s="76">
        <f t="shared" si="1"/>
        <v>3</v>
      </c>
      <c r="F22" s="83">
        <f t="shared" si="2"/>
        <v>1050</v>
      </c>
      <c r="G22" s="77"/>
      <c r="H22" s="84"/>
      <c r="I22" s="83">
        <f t="shared" si="3"/>
        <v>0</v>
      </c>
      <c r="J22" s="83">
        <f t="shared" si="4"/>
        <v>1050</v>
      </c>
    </row>
    <row r="23" spans="1:10" s="69" customFormat="1" ht="12.6" customHeight="1" x14ac:dyDescent="0.2">
      <c r="A23" s="78" t="s">
        <v>180</v>
      </c>
      <c r="B23" s="78" t="str">
        <f t="shared" si="0"/>
        <v>사무용</v>
      </c>
      <c r="C23" s="79">
        <v>56</v>
      </c>
      <c r="D23" s="79">
        <v>58</v>
      </c>
      <c r="E23" s="79">
        <f t="shared" si="1"/>
        <v>2</v>
      </c>
      <c r="F23" s="85">
        <f t="shared" si="2"/>
        <v>700</v>
      </c>
      <c r="G23" s="80"/>
      <c r="H23" s="89"/>
      <c r="I23" s="85">
        <f t="shared" si="3"/>
        <v>0</v>
      </c>
      <c r="J23" s="85">
        <f t="shared" si="4"/>
        <v>700</v>
      </c>
    </row>
    <row r="24" spans="1:10" s="69" customFormat="1" ht="12.6" customHeight="1" x14ac:dyDescent="0.2">
      <c r="A24" s="180" t="s">
        <v>188</v>
      </c>
      <c r="B24" s="181"/>
      <c r="C24" s="182"/>
      <c r="D24" s="189" t="s">
        <v>199</v>
      </c>
      <c r="E24" s="189"/>
      <c r="F24" s="87">
        <f>SUMIF($B$4:$B$23,$D24,F$4:F$23)</f>
        <v>53900</v>
      </c>
      <c r="G24" s="190"/>
      <c r="H24" s="87">
        <f t="shared" ref="H24:J26" si="5">SUMIF($B$4:$B$23,$D24,H$4:H$23)</f>
        <v>8000</v>
      </c>
      <c r="I24" s="87">
        <f t="shared" si="5"/>
        <v>3300</v>
      </c>
      <c r="J24" s="87">
        <f t="shared" si="5"/>
        <v>59400</v>
      </c>
    </row>
    <row r="25" spans="1:10" s="69" customFormat="1" ht="12.6" customHeight="1" x14ac:dyDescent="0.2">
      <c r="A25" s="183"/>
      <c r="B25" s="184"/>
      <c r="C25" s="185"/>
      <c r="D25" s="189" t="s">
        <v>200</v>
      </c>
      <c r="E25" s="189"/>
      <c r="F25" s="87">
        <f t="shared" ref="F25:F26" si="6">SUMIF($B$4:$B$23,$D25,F$4:F$23)</f>
        <v>112500</v>
      </c>
      <c r="G25" s="191"/>
      <c r="H25" s="87">
        <f t="shared" si="5"/>
        <v>28200</v>
      </c>
      <c r="I25" s="87">
        <f t="shared" si="5"/>
        <v>4860</v>
      </c>
      <c r="J25" s="87">
        <f t="shared" si="5"/>
        <v>138660</v>
      </c>
    </row>
    <row r="26" spans="1:10" s="69" customFormat="1" ht="12.6" customHeight="1" x14ac:dyDescent="0.2">
      <c r="A26" s="186"/>
      <c r="B26" s="187"/>
      <c r="C26" s="188"/>
      <c r="D26" s="189" t="s">
        <v>201</v>
      </c>
      <c r="E26" s="189"/>
      <c r="F26" s="87">
        <f t="shared" si="6"/>
        <v>40950</v>
      </c>
      <c r="G26" s="191"/>
      <c r="H26" s="87">
        <f t="shared" si="5"/>
        <v>46000</v>
      </c>
      <c r="I26" s="87">
        <f t="shared" si="5"/>
        <v>3780</v>
      </c>
      <c r="J26" s="87">
        <f t="shared" si="5"/>
        <v>87770</v>
      </c>
    </row>
    <row r="27" spans="1:10" s="69" customFormat="1" ht="12.6" customHeight="1" x14ac:dyDescent="0.2">
      <c r="A27" s="193" t="s">
        <v>189</v>
      </c>
      <c r="B27" s="193"/>
      <c r="C27" s="193"/>
      <c r="D27" s="193"/>
      <c r="E27" s="193"/>
      <c r="F27" s="193"/>
      <c r="G27" s="192"/>
      <c r="H27" s="88">
        <f>SUMIF($A$4:$A$23,"*87",H4:H23)</f>
        <v>69000</v>
      </c>
      <c r="I27" s="88">
        <f t="shared" ref="I27:J27" si="7">SUMIF($A$4:$A$23,"*87",I4:I23)</f>
        <v>840</v>
      </c>
      <c r="J27" s="88">
        <f t="shared" si="7"/>
        <v>127910</v>
      </c>
    </row>
    <row r="28" spans="1:10" s="69" customFormat="1" ht="12" x14ac:dyDescent="0.2">
      <c r="A28" s="193" t="s">
        <v>190</v>
      </c>
      <c r="B28" s="193"/>
      <c r="C28" s="193"/>
      <c r="D28" s="193"/>
      <c r="E28" s="193"/>
      <c r="F28" s="88">
        <f>SUMIFS(F4:F23,F4:F23,"&gt;=1000",F4:F23,"&lt;15000")</f>
        <v>79350</v>
      </c>
      <c r="G28" s="194"/>
      <c r="H28" s="195"/>
      <c r="I28" s="195"/>
      <c r="J28" s="196"/>
    </row>
    <row r="29" spans="1:10" s="69" customFormat="1" ht="12.6" customHeight="1" x14ac:dyDescent="0.2">
      <c r="A29" s="193" t="s">
        <v>191</v>
      </c>
      <c r="B29" s="193"/>
      <c r="C29" s="193"/>
      <c r="D29" s="193"/>
      <c r="E29" s="193"/>
      <c r="F29" s="71">
        <f>COUNTIF(G4:G23,"실시")</f>
        <v>8</v>
      </c>
      <c r="G29" s="197"/>
      <c r="H29" s="198"/>
      <c r="I29" s="198"/>
      <c r="J29" s="199"/>
    </row>
    <row r="30" spans="1:10" s="69" customFormat="1" ht="12.6" customHeight="1" x14ac:dyDescent="0.2">
      <c r="A30" s="200" t="s">
        <v>202</v>
      </c>
      <c r="B30" s="193"/>
      <c r="C30" s="193"/>
      <c r="D30" s="193"/>
      <c r="E30" s="193"/>
      <c r="F30" s="193"/>
      <c r="G30" s="193"/>
      <c r="H30" s="193"/>
      <c r="I30" s="193"/>
      <c r="J30" s="193"/>
    </row>
    <row r="31" spans="1:10" s="69" customFormat="1" ht="12.6" customHeight="1" x14ac:dyDescent="0.2">
      <c r="A31" s="200" t="s">
        <v>203</v>
      </c>
      <c r="B31" s="193"/>
      <c r="C31" s="193"/>
      <c r="D31" s="193"/>
      <c r="E31" s="193"/>
      <c r="F31" s="193"/>
      <c r="G31" s="193"/>
      <c r="H31" s="193"/>
      <c r="I31" s="193"/>
      <c r="J31" s="193"/>
    </row>
    <row r="32" spans="1:10" s="69" customFormat="1" ht="12" x14ac:dyDescent="0.2"/>
    <row r="33" s="69" customFormat="1" ht="12" x14ac:dyDescent="0.2"/>
    <row r="34" s="69" customFormat="1" ht="12" x14ac:dyDescent="0.2"/>
  </sheetData>
  <sortState ref="A4:J23">
    <sortCondition descending="1" ref="J4:J23"/>
    <sortCondition ref="A4:A23"/>
  </sortState>
  <mergeCells count="12">
    <mergeCell ref="A28:E28"/>
    <mergeCell ref="G28:J29"/>
    <mergeCell ref="A29:E29"/>
    <mergeCell ref="A30:J30"/>
    <mergeCell ref="A31:J31"/>
    <mergeCell ref="A2:J2"/>
    <mergeCell ref="A24:C26"/>
    <mergeCell ref="D24:E24"/>
    <mergeCell ref="G24:G27"/>
    <mergeCell ref="D25:E25"/>
    <mergeCell ref="D26:E26"/>
    <mergeCell ref="A27:F27"/>
  </mergeCells>
  <phoneticPr fontId="3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E23"/>
  <sheetViews>
    <sheetView workbookViewId="0">
      <selection activeCell="I12" sqref="I12"/>
    </sheetView>
  </sheetViews>
  <sheetFormatPr defaultColWidth="9" defaultRowHeight="16.5" x14ac:dyDescent="0.3"/>
  <cols>
    <col min="1" max="1" width="8.5" style="56" customWidth="1"/>
    <col min="2" max="2" width="7.125" style="56" bestFit="1" customWidth="1"/>
    <col min="3" max="3" width="5.25" style="56" bestFit="1" customWidth="1"/>
    <col min="4" max="4" width="11.125" style="56" customWidth="1"/>
    <col min="5" max="5" width="9.75" style="56" bestFit="1" customWidth="1"/>
    <col min="6" max="16384" width="9" style="56"/>
  </cols>
  <sheetData>
    <row r="2" spans="1:5" x14ac:dyDescent="0.3">
      <c r="A2" s="57" t="s">
        <v>208</v>
      </c>
    </row>
    <row r="3" spans="1:5" x14ac:dyDescent="0.3">
      <c r="A3" s="61" t="s">
        <v>156</v>
      </c>
      <c r="B3" s="61" t="s">
        <v>204</v>
      </c>
      <c r="C3" s="61" t="s">
        <v>205</v>
      </c>
      <c r="D3" s="61" t="s">
        <v>206</v>
      </c>
      <c r="E3" s="61" t="s">
        <v>207</v>
      </c>
    </row>
    <row r="4" spans="1:5" x14ac:dyDescent="0.3">
      <c r="A4" s="61" t="s">
        <v>209</v>
      </c>
      <c r="B4" s="61" t="s">
        <v>210</v>
      </c>
      <c r="C4" s="61" t="s">
        <v>211</v>
      </c>
      <c r="D4" s="61">
        <v>500</v>
      </c>
      <c r="E4" s="62">
        <v>700000</v>
      </c>
    </row>
    <row r="5" spans="1:5" x14ac:dyDescent="0.3">
      <c r="A5" s="61" t="s">
        <v>212</v>
      </c>
      <c r="B5" s="61" t="s">
        <v>213</v>
      </c>
      <c r="C5" s="61" t="s">
        <v>214</v>
      </c>
      <c r="D5" s="61">
        <v>200</v>
      </c>
      <c r="E5" s="62">
        <v>1200000</v>
      </c>
    </row>
    <row r="6" spans="1:5" x14ac:dyDescent="0.3">
      <c r="A6" s="61" t="s">
        <v>215</v>
      </c>
      <c r="B6" s="61" t="s">
        <v>216</v>
      </c>
      <c r="C6" s="61" t="s">
        <v>217</v>
      </c>
      <c r="D6" s="61">
        <v>300</v>
      </c>
      <c r="E6" s="62">
        <v>350000</v>
      </c>
    </row>
    <row r="7" spans="1:5" x14ac:dyDescent="0.3">
      <c r="A7" s="61" t="s">
        <v>218</v>
      </c>
      <c r="B7" s="61" t="s">
        <v>219</v>
      </c>
      <c r="C7" s="61" t="s">
        <v>214</v>
      </c>
      <c r="D7" s="61">
        <v>200</v>
      </c>
      <c r="E7" s="62">
        <v>2100000</v>
      </c>
    </row>
    <row r="8" spans="1:5" x14ac:dyDescent="0.3">
      <c r="A8" s="61" t="s">
        <v>220</v>
      </c>
      <c r="B8" s="61" t="s">
        <v>221</v>
      </c>
      <c r="C8" s="61" t="s">
        <v>211</v>
      </c>
      <c r="D8" s="61">
        <v>500</v>
      </c>
      <c r="E8" s="62">
        <v>1800000</v>
      </c>
    </row>
    <row r="9" spans="1:5" x14ac:dyDescent="0.3">
      <c r="A9" s="61" t="s">
        <v>222</v>
      </c>
      <c r="B9" s="61" t="s">
        <v>223</v>
      </c>
      <c r="C9" s="61" t="s">
        <v>214</v>
      </c>
      <c r="D9" s="61">
        <v>200</v>
      </c>
      <c r="E9" s="62">
        <v>1500000</v>
      </c>
    </row>
    <row r="10" spans="1:5" x14ac:dyDescent="0.3">
      <c r="A10" s="61" t="s">
        <v>224</v>
      </c>
      <c r="B10" s="61" t="s">
        <v>225</v>
      </c>
      <c r="C10" s="61" t="s">
        <v>211</v>
      </c>
      <c r="D10" s="61">
        <v>500</v>
      </c>
      <c r="E10" s="62">
        <v>1900000</v>
      </c>
    </row>
    <row r="11" spans="1:5" x14ac:dyDescent="0.3">
      <c r="A11" s="61" t="s">
        <v>226</v>
      </c>
      <c r="B11" s="61" t="s">
        <v>227</v>
      </c>
      <c r="C11" s="61" t="s">
        <v>214</v>
      </c>
      <c r="D11" s="61">
        <v>200</v>
      </c>
      <c r="E11" s="62">
        <v>2700000</v>
      </c>
    </row>
    <row r="12" spans="1:5" x14ac:dyDescent="0.3">
      <c r="A12" s="61" t="s">
        <v>228</v>
      </c>
      <c r="B12" s="61" t="s">
        <v>229</v>
      </c>
      <c r="C12" s="61" t="s">
        <v>217</v>
      </c>
      <c r="D12" s="61">
        <v>300</v>
      </c>
      <c r="E12" s="62">
        <v>500000</v>
      </c>
    </row>
    <row r="13" spans="1:5" x14ac:dyDescent="0.3">
      <c r="A13" s="61" t="s">
        <v>230</v>
      </c>
      <c r="B13" s="61" t="s">
        <v>231</v>
      </c>
      <c r="C13" s="61" t="s">
        <v>217</v>
      </c>
      <c r="D13" s="61">
        <v>300</v>
      </c>
      <c r="E13" s="62">
        <v>210000</v>
      </c>
    </row>
    <row r="14" spans="1:5" x14ac:dyDescent="0.3">
      <c r="A14" s="61" t="s">
        <v>232</v>
      </c>
      <c r="B14" s="61" t="s">
        <v>233</v>
      </c>
      <c r="C14" s="61" t="s">
        <v>211</v>
      </c>
      <c r="D14" s="61">
        <v>500</v>
      </c>
      <c r="E14" s="62">
        <v>310000</v>
      </c>
    </row>
    <row r="15" spans="1:5" x14ac:dyDescent="0.3">
      <c r="A15" s="61" t="s">
        <v>234</v>
      </c>
      <c r="B15" s="61" t="s">
        <v>235</v>
      </c>
      <c r="C15" s="61" t="s">
        <v>214</v>
      </c>
      <c r="D15" s="61">
        <v>200</v>
      </c>
      <c r="E15" s="62">
        <v>270000</v>
      </c>
    </row>
    <row r="16" spans="1:5" x14ac:dyDescent="0.3">
      <c r="A16" s="61" t="s">
        <v>236</v>
      </c>
      <c r="B16" s="61" t="s">
        <v>237</v>
      </c>
      <c r="C16" s="61" t="s">
        <v>211</v>
      </c>
      <c r="D16" s="61">
        <v>500</v>
      </c>
      <c r="E16" s="62">
        <v>90000</v>
      </c>
    </row>
    <row r="17" spans="1:5" x14ac:dyDescent="0.3">
      <c r="A17" s="61" t="s">
        <v>238</v>
      </c>
      <c r="B17" s="61" t="s">
        <v>239</v>
      </c>
      <c r="C17" s="61" t="s">
        <v>211</v>
      </c>
      <c r="D17" s="61">
        <v>300</v>
      </c>
      <c r="E17" s="62">
        <v>700000</v>
      </c>
    </row>
    <row r="18" spans="1:5" x14ac:dyDescent="0.3">
      <c r="A18" s="61" t="s">
        <v>240</v>
      </c>
      <c r="B18" s="61" t="s">
        <v>241</v>
      </c>
      <c r="C18" s="61" t="s">
        <v>214</v>
      </c>
      <c r="D18" s="61">
        <v>200</v>
      </c>
      <c r="E18" s="62">
        <v>950000</v>
      </c>
    </row>
    <row r="19" spans="1:5" x14ac:dyDescent="0.3">
      <c r="A19" s="61" t="s">
        <v>242</v>
      </c>
      <c r="B19" s="61" t="s">
        <v>243</v>
      </c>
      <c r="C19" s="61" t="s">
        <v>217</v>
      </c>
      <c r="D19" s="61">
        <v>500</v>
      </c>
      <c r="E19" s="62">
        <v>350000</v>
      </c>
    </row>
    <row r="20" spans="1:5" x14ac:dyDescent="0.3">
      <c r="A20" s="61" t="s">
        <v>244</v>
      </c>
      <c r="B20" s="61" t="s">
        <v>245</v>
      </c>
      <c r="C20" s="61" t="s">
        <v>217</v>
      </c>
      <c r="D20" s="61">
        <v>200</v>
      </c>
      <c r="E20" s="62">
        <v>2000000</v>
      </c>
    </row>
    <row r="21" spans="1:5" x14ac:dyDescent="0.3">
      <c r="A21" s="61" t="s">
        <v>246</v>
      </c>
      <c r="B21" s="61" t="s">
        <v>247</v>
      </c>
      <c r="C21" s="61" t="s">
        <v>211</v>
      </c>
      <c r="D21" s="61">
        <v>500</v>
      </c>
      <c r="E21" s="62">
        <v>1700000</v>
      </c>
    </row>
    <row r="22" spans="1:5" x14ac:dyDescent="0.3">
      <c r="A22" s="61" t="s">
        <v>248</v>
      </c>
      <c r="B22" s="61" t="s">
        <v>249</v>
      </c>
      <c r="C22" s="61" t="s">
        <v>214</v>
      </c>
      <c r="D22" s="61">
        <v>200</v>
      </c>
      <c r="E22" s="62">
        <v>500000</v>
      </c>
    </row>
    <row r="23" spans="1:5" x14ac:dyDescent="0.3">
      <c r="A23" s="61" t="s">
        <v>250</v>
      </c>
      <c r="B23" s="61" t="s">
        <v>251</v>
      </c>
      <c r="C23" s="61" t="s">
        <v>211</v>
      </c>
      <c r="D23" s="61">
        <v>300</v>
      </c>
      <c r="E23" s="62">
        <v>310000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F4" sqref="F4"/>
    </sheetView>
  </sheetViews>
  <sheetFormatPr defaultColWidth="9" defaultRowHeight="16.5" x14ac:dyDescent="0.3"/>
  <cols>
    <col min="1" max="1" width="8.5" style="56" customWidth="1"/>
    <col min="2" max="2" width="7.125" style="56" bestFit="1" customWidth="1"/>
    <col min="3" max="3" width="5.25" style="56" bestFit="1" customWidth="1"/>
    <col min="4" max="4" width="11.125" style="56" customWidth="1"/>
    <col min="5" max="5" width="9.75" style="56" bestFit="1" customWidth="1"/>
    <col min="6" max="6" width="10.875" style="56" customWidth="1"/>
    <col min="7" max="16384" width="9" style="56"/>
  </cols>
  <sheetData>
    <row r="2" spans="1:9" x14ac:dyDescent="0.3">
      <c r="B2" s="91" t="s">
        <v>261</v>
      </c>
      <c r="C2" s="91"/>
      <c r="D2" s="91"/>
      <c r="E2" s="91"/>
      <c r="F2" s="91"/>
      <c r="G2" s="91"/>
      <c r="H2" s="91"/>
      <c r="I2" s="91"/>
    </row>
    <row r="3" spans="1:9" x14ac:dyDescent="0.3">
      <c r="A3" s="90" t="s">
        <v>156</v>
      </c>
      <c r="B3" s="61" t="s">
        <v>204</v>
      </c>
      <c r="C3" s="61" t="s">
        <v>205</v>
      </c>
      <c r="D3" s="61" t="s">
        <v>206</v>
      </c>
      <c r="E3" s="61" t="s">
        <v>207</v>
      </c>
      <c r="F3" s="61" t="s">
        <v>252</v>
      </c>
      <c r="G3" s="61" t="s">
        <v>253</v>
      </c>
      <c r="H3" s="61" t="s">
        <v>254</v>
      </c>
      <c r="I3" s="61" t="s">
        <v>145</v>
      </c>
    </row>
    <row r="4" spans="1:9" x14ac:dyDescent="0.3">
      <c r="A4" s="61" t="s">
        <v>209</v>
      </c>
      <c r="B4" s="61" t="s">
        <v>210</v>
      </c>
      <c r="C4" s="61" t="s">
        <v>211</v>
      </c>
      <c r="D4" s="61">
        <v>500</v>
      </c>
      <c r="E4" s="62">
        <v>700000</v>
      </c>
      <c r="F4" s="61" t="s">
        <v>58</v>
      </c>
      <c r="G4" s="61" t="s">
        <v>59</v>
      </c>
      <c r="H4" s="61" t="s">
        <v>60</v>
      </c>
      <c r="I4" s="61" t="s">
        <v>34</v>
      </c>
    </row>
    <row r="5" spans="1:9" x14ac:dyDescent="0.3">
      <c r="A5" s="61" t="s">
        <v>212</v>
      </c>
      <c r="B5" s="61" t="s">
        <v>213</v>
      </c>
      <c r="C5" s="61" t="s">
        <v>214</v>
      </c>
      <c r="D5" s="61">
        <v>200</v>
      </c>
      <c r="E5" s="62">
        <v>1200000</v>
      </c>
      <c r="F5" s="63"/>
      <c r="G5" s="63"/>
      <c r="H5" s="63"/>
      <c r="I5" s="63"/>
    </row>
    <row r="6" spans="1:9" x14ac:dyDescent="0.3">
      <c r="A6" s="61" t="s">
        <v>215</v>
      </c>
      <c r="B6" s="61" t="s">
        <v>216</v>
      </c>
      <c r="C6" s="61" t="s">
        <v>217</v>
      </c>
      <c r="D6" s="61">
        <v>300</v>
      </c>
      <c r="E6" s="62">
        <v>350000</v>
      </c>
      <c r="F6" s="63"/>
      <c r="G6" s="63"/>
      <c r="H6" s="63"/>
      <c r="I6" s="63"/>
    </row>
    <row r="7" spans="1:9" x14ac:dyDescent="0.3">
      <c r="A7" s="61" t="s">
        <v>218</v>
      </c>
      <c r="B7" s="61" t="s">
        <v>219</v>
      </c>
      <c r="C7" s="61" t="s">
        <v>214</v>
      </c>
      <c r="D7" s="61">
        <v>200</v>
      </c>
      <c r="E7" s="62">
        <v>2100000</v>
      </c>
      <c r="F7" s="63"/>
      <c r="G7" s="63"/>
      <c r="H7" s="63"/>
      <c r="I7" s="63"/>
    </row>
    <row r="8" spans="1:9" x14ac:dyDescent="0.3">
      <c r="A8" s="61" t="s">
        <v>220</v>
      </c>
      <c r="B8" s="61" t="s">
        <v>221</v>
      </c>
      <c r="C8" s="61" t="s">
        <v>211</v>
      </c>
      <c r="D8" s="61">
        <v>500</v>
      </c>
      <c r="E8" s="62">
        <v>1800000</v>
      </c>
      <c r="F8" s="63"/>
      <c r="G8" s="63"/>
      <c r="H8" s="63"/>
      <c r="I8" s="63"/>
    </row>
    <row r="9" spans="1:9" x14ac:dyDescent="0.3">
      <c r="A9" s="61" t="s">
        <v>222</v>
      </c>
      <c r="B9" s="61" t="s">
        <v>223</v>
      </c>
      <c r="C9" s="61" t="s">
        <v>214</v>
      </c>
      <c r="D9" s="61">
        <v>200</v>
      </c>
      <c r="E9" s="62">
        <v>1500000</v>
      </c>
      <c r="F9" s="63"/>
      <c r="G9" s="63"/>
      <c r="H9" s="63"/>
      <c r="I9" s="63"/>
    </row>
    <row r="10" spans="1:9" x14ac:dyDescent="0.3">
      <c r="A10" s="61" t="s">
        <v>224</v>
      </c>
      <c r="B10" s="61" t="s">
        <v>225</v>
      </c>
      <c r="C10" s="61" t="s">
        <v>211</v>
      </c>
      <c r="D10" s="61">
        <v>500</v>
      </c>
      <c r="E10" s="62">
        <v>1900000</v>
      </c>
      <c r="F10" s="63"/>
      <c r="G10" s="63"/>
      <c r="H10" s="63"/>
      <c r="I10" s="63"/>
    </row>
    <row r="11" spans="1:9" x14ac:dyDescent="0.3">
      <c r="A11" s="61" t="s">
        <v>226</v>
      </c>
      <c r="B11" s="61" t="s">
        <v>227</v>
      </c>
      <c r="C11" s="61" t="s">
        <v>214</v>
      </c>
      <c r="D11" s="61">
        <v>200</v>
      </c>
      <c r="E11" s="62">
        <v>2700000</v>
      </c>
      <c r="F11" s="63"/>
      <c r="G11" s="63"/>
      <c r="H11" s="63"/>
      <c r="I11" s="63"/>
    </row>
    <row r="12" spans="1:9" x14ac:dyDescent="0.3">
      <c r="A12" s="61" t="s">
        <v>228</v>
      </c>
      <c r="B12" s="61" t="s">
        <v>229</v>
      </c>
      <c r="C12" s="61" t="s">
        <v>217</v>
      </c>
      <c r="D12" s="61">
        <v>300</v>
      </c>
      <c r="E12" s="62">
        <v>500000</v>
      </c>
      <c r="F12" s="63"/>
      <c r="G12" s="63"/>
      <c r="H12" s="63"/>
      <c r="I12" s="63"/>
    </row>
    <row r="13" spans="1:9" x14ac:dyDescent="0.3">
      <c r="A13" s="61" t="s">
        <v>230</v>
      </c>
      <c r="B13" s="61" t="s">
        <v>231</v>
      </c>
      <c r="C13" s="61" t="s">
        <v>217</v>
      </c>
      <c r="D13" s="61">
        <v>300</v>
      </c>
      <c r="E13" s="62">
        <v>210000</v>
      </c>
      <c r="F13" s="63"/>
      <c r="G13" s="63"/>
      <c r="H13" s="63"/>
      <c r="I13" s="63"/>
    </row>
    <row r="14" spans="1:9" x14ac:dyDescent="0.3">
      <c r="A14" s="61" t="s">
        <v>232</v>
      </c>
      <c r="B14" s="61" t="s">
        <v>233</v>
      </c>
      <c r="C14" s="61" t="s">
        <v>211</v>
      </c>
      <c r="D14" s="61">
        <v>500</v>
      </c>
      <c r="E14" s="62">
        <v>310000</v>
      </c>
      <c r="F14" s="63"/>
      <c r="G14" s="63"/>
      <c r="H14" s="63"/>
      <c r="I14" s="63"/>
    </row>
    <row r="15" spans="1:9" x14ac:dyDescent="0.3">
      <c r="A15" s="61" t="s">
        <v>234</v>
      </c>
      <c r="B15" s="61" t="s">
        <v>235</v>
      </c>
      <c r="C15" s="61" t="s">
        <v>214</v>
      </c>
      <c r="D15" s="61">
        <v>200</v>
      </c>
      <c r="E15" s="62">
        <v>270000</v>
      </c>
      <c r="F15" s="63"/>
      <c r="G15" s="63"/>
      <c r="H15" s="63"/>
      <c r="I15" s="63"/>
    </row>
    <row r="16" spans="1:9" x14ac:dyDescent="0.3">
      <c r="A16" s="61" t="s">
        <v>236</v>
      </c>
      <c r="B16" s="61" t="s">
        <v>237</v>
      </c>
      <c r="C16" s="61" t="s">
        <v>211</v>
      </c>
      <c r="D16" s="61">
        <v>500</v>
      </c>
      <c r="E16" s="62">
        <v>90000</v>
      </c>
      <c r="F16" s="63"/>
      <c r="G16" s="63"/>
      <c r="H16" s="63"/>
      <c r="I16" s="63"/>
    </row>
    <row r="17" spans="1:9" x14ac:dyDescent="0.3">
      <c r="A17" s="61" t="s">
        <v>238</v>
      </c>
      <c r="B17" s="61" t="s">
        <v>239</v>
      </c>
      <c r="C17" s="61" t="s">
        <v>211</v>
      </c>
      <c r="D17" s="61">
        <v>300</v>
      </c>
      <c r="E17" s="62">
        <v>700000</v>
      </c>
      <c r="F17" s="63"/>
      <c r="G17" s="63"/>
      <c r="H17" s="63"/>
      <c r="I17" s="63"/>
    </row>
    <row r="18" spans="1:9" x14ac:dyDescent="0.3">
      <c r="A18" s="61" t="s">
        <v>240</v>
      </c>
      <c r="B18" s="61" t="s">
        <v>241</v>
      </c>
      <c r="C18" s="61" t="s">
        <v>214</v>
      </c>
      <c r="D18" s="61">
        <v>200</v>
      </c>
      <c r="E18" s="62">
        <v>950000</v>
      </c>
      <c r="F18" s="63"/>
      <c r="G18" s="63"/>
      <c r="H18" s="63"/>
      <c r="I18" s="63"/>
    </row>
    <row r="19" spans="1:9" x14ac:dyDescent="0.3">
      <c r="A19" s="61" t="s">
        <v>242</v>
      </c>
      <c r="B19" s="61" t="s">
        <v>243</v>
      </c>
      <c r="C19" s="61" t="s">
        <v>217</v>
      </c>
      <c r="D19" s="61">
        <v>500</v>
      </c>
      <c r="E19" s="62">
        <v>350000</v>
      </c>
      <c r="F19" s="63"/>
      <c r="G19" s="63"/>
      <c r="H19" s="63"/>
      <c r="I19" s="63"/>
    </row>
    <row r="20" spans="1:9" x14ac:dyDescent="0.3">
      <c r="A20" s="61" t="s">
        <v>244</v>
      </c>
      <c r="B20" s="61" t="s">
        <v>245</v>
      </c>
      <c r="C20" s="61" t="s">
        <v>217</v>
      </c>
      <c r="D20" s="61">
        <v>200</v>
      </c>
      <c r="E20" s="62">
        <v>2000000</v>
      </c>
      <c r="F20" s="63"/>
      <c r="G20" s="63"/>
      <c r="H20" s="63"/>
      <c r="I20" s="63"/>
    </row>
    <row r="21" spans="1:9" x14ac:dyDescent="0.3">
      <c r="A21" s="61" t="s">
        <v>246</v>
      </c>
      <c r="B21" s="61" t="s">
        <v>247</v>
      </c>
      <c r="C21" s="61" t="s">
        <v>211</v>
      </c>
      <c r="D21" s="61">
        <v>500</v>
      </c>
      <c r="E21" s="62">
        <v>1700000</v>
      </c>
      <c r="F21" s="63"/>
      <c r="G21" s="63"/>
      <c r="H21" s="63"/>
      <c r="I21" s="63"/>
    </row>
    <row r="22" spans="1:9" x14ac:dyDescent="0.3">
      <c r="A22" s="61" t="s">
        <v>248</v>
      </c>
      <c r="B22" s="61" t="s">
        <v>249</v>
      </c>
      <c r="C22" s="61" t="s">
        <v>214</v>
      </c>
      <c r="D22" s="61">
        <v>200</v>
      </c>
      <c r="E22" s="62">
        <v>500000</v>
      </c>
      <c r="F22" s="63"/>
      <c r="G22" s="63"/>
      <c r="H22" s="63"/>
      <c r="I22" s="63"/>
    </row>
    <row r="23" spans="1:9" x14ac:dyDescent="0.3">
      <c r="A23" s="61" t="s">
        <v>250</v>
      </c>
      <c r="B23" s="61" t="s">
        <v>251</v>
      </c>
      <c r="C23" s="61" t="s">
        <v>211</v>
      </c>
      <c r="D23" s="61">
        <v>300</v>
      </c>
      <c r="E23" s="62">
        <v>310000</v>
      </c>
      <c r="F23" s="63"/>
      <c r="G23" s="63"/>
      <c r="H23" s="63"/>
      <c r="I23" s="63"/>
    </row>
    <row r="24" spans="1:9" x14ac:dyDescent="0.3">
      <c r="A24" s="179" t="s">
        <v>255</v>
      </c>
      <c r="B24" s="179"/>
      <c r="C24" s="179"/>
      <c r="D24" s="179"/>
      <c r="E24" s="179"/>
      <c r="F24" s="61" t="s">
        <v>256</v>
      </c>
      <c r="G24" s="61" t="s">
        <v>35</v>
      </c>
      <c r="H24" s="201"/>
      <c r="I24" s="201"/>
    </row>
    <row r="25" spans="1:9" x14ac:dyDescent="0.3">
      <c r="A25" s="179" t="s">
        <v>257</v>
      </c>
      <c r="B25" s="179"/>
      <c r="C25" s="179"/>
      <c r="D25" s="179"/>
      <c r="E25" s="179"/>
      <c r="F25" s="61" t="s">
        <v>24</v>
      </c>
      <c r="G25" s="61" t="s">
        <v>25</v>
      </c>
      <c r="H25" s="201"/>
      <c r="I25" s="201"/>
    </row>
    <row r="26" spans="1:9" x14ac:dyDescent="0.3">
      <c r="A26" s="179" t="s">
        <v>258</v>
      </c>
      <c r="B26" s="179"/>
      <c r="C26" s="179"/>
      <c r="D26" s="179"/>
      <c r="E26" s="179"/>
      <c r="F26" s="61" t="s">
        <v>26</v>
      </c>
      <c r="G26" s="61" t="s">
        <v>27</v>
      </c>
      <c r="H26" s="201"/>
      <c r="I26" s="201"/>
    </row>
    <row r="27" spans="1:9" x14ac:dyDescent="0.3">
      <c r="A27" s="179" t="s">
        <v>259</v>
      </c>
      <c r="B27" s="179"/>
      <c r="C27" s="179"/>
      <c r="D27" s="179"/>
      <c r="E27" s="179"/>
      <c r="F27" s="61" t="s">
        <v>28</v>
      </c>
      <c r="G27" s="61" t="s">
        <v>29</v>
      </c>
      <c r="H27" s="201"/>
      <c r="I27" s="201"/>
    </row>
    <row r="28" spans="1:9" x14ac:dyDescent="0.3">
      <c r="A28" s="179" t="s">
        <v>260</v>
      </c>
      <c r="B28" s="179"/>
      <c r="C28" s="179"/>
      <c r="D28" s="179"/>
      <c r="E28" s="179"/>
      <c r="F28" s="61" t="s">
        <v>30</v>
      </c>
      <c r="G28" s="61" t="s">
        <v>31</v>
      </c>
      <c r="H28" s="201"/>
      <c r="I28" s="201"/>
    </row>
    <row r="29" spans="1:9" x14ac:dyDescent="0.3">
      <c r="A29" s="202" t="s">
        <v>151</v>
      </c>
      <c r="B29" s="202"/>
      <c r="C29" s="202"/>
      <c r="D29" s="202"/>
      <c r="E29" s="202"/>
      <c r="F29" s="202"/>
      <c r="G29" s="202"/>
      <c r="H29" s="202"/>
      <c r="I29" s="202"/>
    </row>
    <row r="30" spans="1:9" x14ac:dyDescent="0.3">
      <c r="A30" s="202" t="s">
        <v>196</v>
      </c>
      <c r="B30" s="202"/>
      <c r="C30" s="202"/>
      <c r="D30" s="202"/>
      <c r="E30" s="202"/>
      <c r="F30" s="202"/>
      <c r="G30" s="202"/>
      <c r="H30" s="202"/>
      <c r="I30" s="202"/>
    </row>
  </sheetData>
  <mergeCells count="8">
    <mergeCell ref="A24:E24"/>
    <mergeCell ref="H24:I28"/>
    <mergeCell ref="A30:I30"/>
    <mergeCell ref="A29:I29"/>
    <mergeCell ref="A28:E28"/>
    <mergeCell ref="A27:E27"/>
    <mergeCell ref="A26:E26"/>
    <mergeCell ref="A25:E25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I35"/>
  <sheetViews>
    <sheetView topLeftCell="B2" workbookViewId="0">
      <selection activeCell="F28" sqref="F28"/>
    </sheetView>
  </sheetViews>
  <sheetFormatPr defaultColWidth="9" defaultRowHeight="16.5" x14ac:dyDescent="0.3"/>
  <cols>
    <col min="1" max="1" width="9.125" style="56" hidden="1" customWidth="1"/>
    <col min="2" max="2" width="7.125" style="56" bestFit="1" customWidth="1"/>
    <col min="3" max="3" width="5.25" style="56" bestFit="1" customWidth="1"/>
    <col min="4" max="4" width="9.625" style="56" customWidth="1"/>
    <col min="5" max="5" width="13.875" style="56" customWidth="1"/>
    <col min="6" max="6" width="11.625" style="56" customWidth="1"/>
    <col min="7" max="7" width="12.125" style="56" customWidth="1"/>
    <col min="8" max="8" width="11.5" style="56" customWidth="1"/>
    <col min="9" max="9" width="7.25" style="56" customWidth="1"/>
    <col min="10" max="16384" width="9" style="56"/>
  </cols>
  <sheetData>
    <row r="1" spans="1:9" hidden="1" x14ac:dyDescent="0.3"/>
    <row r="2" spans="1:9" ht="31.5" x14ac:dyDescent="0.55000000000000004">
      <c r="B2" s="160" t="s">
        <v>261</v>
      </c>
      <c r="C2" s="160"/>
      <c r="D2" s="160"/>
      <c r="E2" s="160"/>
      <c r="F2" s="160"/>
      <c r="G2" s="160"/>
      <c r="H2" s="160"/>
      <c r="I2" s="160"/>
    </row>
    <row r="3" spans="1:9" s="69" customFormat="1" ht="12" customHeight="1" x14ac:dyDescent="0.2">
      <c r="A3" s="101" t="s">
        <v>156</v>
      </c>
      <c r="B3" s="100" t="s">
        <v>204</v>
      </c>
      <c r="C3" s="100" t="s">
        <v>205</v>
      </c>
      <c r="D3" s="100" t="s">
        <v>206</v>
      </c>
      <c r="E3" s="100" t="s">
        <v>207</v>
      </c>
      <c r="F3" s="100" t="s">
        <v>252</v>
      </c>
      <c r="G3" s="100" t="s">
        <v>253</v>
      </c>
      <c r="H3" s="100" t="s">
        <v>254</v>
      </c>
      <c r="I3" s="100" t="s">
        <v>145</v>
      </c>
    </row>
    <row r="4" spans="1:9" s="69" customFormat="1" ht="12" customHeight="1" x14ac:dyDescent="0.2">
      <c r="A4" s="72" t="s">
        <v>248</v>
      </c>
      <c r="B4" s="72" t="s">
        <v>249</v>
      </c>
      <c r="C4" s="72" t="s">
        <v>214</v>
      </c>
      <c r="D4" s="73">
        <v>200</v>
      </c>
      <c r="E4" s="93">
        <v>500000</v>
      </c>
      <c r="F4" s="96">
        <f t="shared" ref="F4:F23" si="0">IF(E4&gt;=1300000,E4*5%,E4*3%)</f>
        <v>15000</v>
      </c>
      <c r="G4" s="73">
        <f t="shared" ref="G4:G23" si="1">D4+F4</f>
        <v>15200</v>
      </c>
      <c r="H4" s="72" t="str">
        <f t="shared" ref="H4:H23" si="2">IF(G4&gt;=10000,"청소기",IF(G4&gt;=5000,"상품권",IF(G4&gt;=1000,"타월","")))</f>
        <v>청소기</v>
      </c>
      <c r="I4" s="73">
        <f t="shared" ref="I4:I23" si="3">RANK(G4,$G$4:$G$23,1)</f>
        <v>8</v>
      </c>
    </row>
    <row r="5" spans="1:9" s="69" customFormat="1" ht="12" customHeight="1" x14ac:dyDescent="0.2">
      <c r="A5" s="75" t="s">
        <v>234</v>
      </c>
      <c r="B5" s="75" t="s">
        <v>235</v>
      </c>
      <c r="C5" s="75" t="s">
        <v>214</v>
      </c>
      <c r="D5" s="76">
        <v>200</v>
      </c>
      <c r="E5" s="94">
        <v>270000</v>
      </c>
      <c r="F5" s="97">
        <f t="shared" si="0"/>
        <v>8100</v>
      </c>
      <c r="G5" s="76">
        <f t="shared" si="1"/>
        <v>8300</v>
      </c>
      <c r="H5" s="75" t="str">
        <f t="shared" si="2"/>
        <v>상품권</v>
      </c>
      <c r="I5" s="76">
        <f t="shared" si="3"/>
        <v>3</v>
      </c>
    </row>
    <row r="6" spans="1:9" s="69" customFormat="1" ht="12" customHeight="1" x14ac:dyDescent="0.2">
      <c r="A6" s="75" t="s">
        <v>240</v>
      </c>
      <c r="B6" s="75" t="s">
        <v>241</v>
      </c>
      <c r="C6" s="75" t="s">
        <v>214</v>
      </c>
      <c r="D6" s="76">
        <v>200</v>
      </c>
      <c r="E6" s="94">
        <v>950000</v>
      </c>
      <c r="F6" s="97">
        <f t="shared" si="0"/>
        <v>28500</v>
      </c>
      <c r="G6" s="76">
        <f t="shared" si="1"/>
        <v>28700</v>
      </c>
      <c r="H6" s="75" t="str">
        <f t="shared" si="2"/>
        <v>청소기</v>
      </c>
      <c r="I6" s="76">
        <f t="shared" si="3"/>
        <v>12</v>
      </c>
    </row>
    <row r="7" spans="1:9" s="69" customFormat="1" ht="12" customHeight="1" x14ac:dyDescent="0.2">
      <c r="A7" s="75" t="s">
        <v>212</v>
      </c>
      <c r="B7" s="75" t="s">
        <v>213</v>
      </c>
      <c r="C7" s="75" t="s">
        <v>214</v>
      </c>
      <c r="D7" s="76">
        <v>200</v>
      </c>
      <c r="E7" s="94">
        <v>1200000</v>
      </c>
      <c r="F7" s="97">
        <f t="shared" si="0"/>
        <v>36000</v>
      </c>
      <c r="G7" s="76">
        <f t="shared" si="1"/>
        <v>36200</v>
      </c>
      <c r="H7" s="75" t="str">
        <f t="shared" si="2"/>
        <v>청소기</v>
      </c>
      <c r="I7" s="76">
        <f t="shared" si="3"/>
        <v>13</v>
      </c>
    </row>
    <row r="8" spans="1:9" s="69" customFormat="1" ht="12" customHeight="1" x14ac:dyDescent="0.2">
      <c r="A8" s="75" t="s">
        <v>226</v>
      </c>
      <c r="B8" s="75" t="s">
        <v>227</v>
      </c>
      <c r="C8" s="75" t="s">
        <v>214</v>
      </c>
      <c r="D8" s="76">
        <v>200</v>
      </c>
      <c r="E8" s="94">
        <v>2700000</v>
      </c>
      <c r="F8" s="97">
        <f t="shared" si="0"/>
        <v>135000</v>
      </c>
      <c r="G8" s="76">
        <f t="shared" si="1"/>
        <v>135200</v>
      </c>
      <c r="H8" s="75" t="str">
        <f t="shared" si="2"/>
        <v>청소기</v>
      </c>
      <c r="I8" s="76">
        <f t="shared" si="3"/>
        <v>20</v>
      </c>
    </row>
    <row r="9" spans="1:9" s="69" customFormat="1" ht="12" customHeight="1" x14ac:dyDescent="0.2">
      <c r="A9" s="75" t="s">
        <v>222</v>
      </c>
      <c r="B9" s="75" t="s">
        <v>223</v>
      </c>
      <c r="C9" s="75" t="s">
        <v>214</v>
      </c>
      <c r="D9" s="76">
        <v>200</v>
      </c>
      <c r="E9" s="94">
        <v>1500000</v>
      </c>
      <c r="F9" s="97">
        <f t="shared" si="0"/>
        <v>75000</v>
      </c>
      <c r="G9" s="76">
        <f t="shared" si="1"/>
        <v>75200</v>
      </c>
      <c r="H9" s="75" t="str">
        <f t="shared" si="2"/>
        <v>청소기</v>
      </c>
      <c r="I9" s="76">
        <f t="shared" si="3"/>
        <v>14</v>
      </c>
    </row>
    <row r="10" spans="1:9" s="69" customFormat="1" ht="12" customHeight="1" x14ac:dyDescent="0.2">
      <c r="A10" s="75" t="s">
        <v>218</v>
      </c>
      <c r="B10" s="75" t="s">
        <v>219</v>
      </c>
      <c r="C10" s="75" t="s">
        <v>214</v>
      </c>
      <c r="D10" s="76">
        <v>200</v>
      </c>
      <c r="E10" s="94">
        <v>2100000</v>
      </c>
      <c r="F10" s="97">
        <f t="shared" si="0"/>
        <v>105000</v>
      </c>
      <c r="G10" s="76">
        <f t="shared" si="1"/>
        <v>105200</v>
      </c>
      <c r="H10" s="75" t="str">
        <f t="shared" si="2"/>
        <v>청소기</v>
      </c>
      <c r="I10" s="76">
        <f t="shared" si="3"/>
        <v>19</v>
      </c>
    </row>
    <row r="11" spans="1:9" s="69" customFormat="1" ht="12" customHeight="1" x14ac:dyDescent="0.2">
      <c r="A11" s="75" t="s">
        <v>220</v>
      </c>
      <c r="B11" s="75" t="s">
        <v>221</v>
      </c>
      <c r="C11" s="75" t="s">
        <v>211</v>
      </c>
      <c r="D11" s="76">
        <v>500</v>
      </c>
      <c r="E11" s="94">
        <v>1800000</v>
      </c>
      <c r="F11" s="97">
        <f t="shared" si="0"/>
        <v>90000</v>
      </c>
      <c r="G11" s="76">
        <f t="shared" si="1"/>
        <v>90500</v>
      </c>
      <c r="H11" s="75" t="str">
        <f t="shared" si="2"/>
        <v>청소기</v>
      </c>
      <c r="I11" s="76">
        <f t="shared" si="3"/>
        <v>16</v>
      </c>
    </row>
    <row r="12" spans="1:9" s="69" customFormat="1" ht="12" customHeight="1" x14ac:dyDescent="0.2">
      <c r="A12" s="75" t="s">
        <v>232</v>
      </c>
      <c r="B12" s="75" t="s">
        <v>233</v>
      </c>
      <c r="C12" s="75" t="s">
        <v>211</v>
      </c>
      <c r="D12" s="76">
        <v>500</v>
      </c>
      <c r="E12" s="94">
        <v>310000</v>
      </c>
      <c r="F12" s="97">
        <f t="shared" si="0"/>
        <v>9300</v>
      </c>
      <c r="G12" s="76">
        <f t="shared" si="1"/>
        <v>9800</v>
      </c>
      <c r="H12" s="75" t="str">
        <f t="shared" si="2"/>
        <v>상품권</v>
      </c>
      <c r="I12" s="76">
        <f t="shared" si="3"/>
        <v>5</v>
      </c>
    </row>
    <row r="13" spans="1:9" s="69" customFormat="1" ht="12" customHeight="1" x14ac:dyDescent="0.2">
      <c r="A13" s="75" t="s">
        <v>250</v>
      </c>
      <c r="B13" s="75" t="s">
        <v>251</v>
      </c>
      <c r="C13" s="75" t="s">
        <v>211</v>
      </c>
      <c r="D13" s="76">
        <v>300</v>
      </c>
      <c r="E13" s="94">
        <v>310000</v>
      </c>
      <c r="F13" s="97">
        <f t="shared" si="0"/>
        <v>9300</v>
      </c>
      <c r="G13" s="76">
        <f t="shared" si="1"/>
        <v>9600</v>
      </c>
      <c r="H13" s="75" t="str">
        <f t="shared" si="2"/>
        <v>상품권</v>
      </c>
      <c r="I13" s="76">
        <f t="shared" si="3"/>
        <v>4</v>
      </c>
    </row>
    <row r="14" spans="1:9" s="69" customFormat="1" ht="12" customHeight="1" x14ac:dyDescent="0.2">
      <c r="A14" s="75" t="s">
        <v>209</v>
      </c>
      <c r="B14" s="75" t="s">
        <v>210</v>
      </c>
      <c r="C14" s="75" t="s">
        <v>211</v>
      </c>
      <c r="D14" s="76">
        <v>500</v>
      </c>
      <c r="E14" s="94">
        <v>700000</v>
      </c>
      <c r="F14" s="97">
        <f t="shared" si="0"/>
        <v>21000</v>
      </c>
      <c r="G14" s="76">
        <f t="shared" si="1"/>
        <v>21500</v>
      </c>
      <c r="H14" s="75" t="str">
        <f t="shared" si="2"/>
        <v>청소기</v>
      </c>
      <c r="I14" s="76">
        <f t="shared" si="3"/>
        <v>11</v>
      </c>
    </row>
    <row r="15" spans="1:9" s="69" customFormat="1" ht="12" customHeight="1" x14ac:dyDescent="0.2">
      <c r="A15" s="75" t="s">
        <v>224</v>
      </c>
      <c r="B15" s="75" t="s">
        <v>225</v>
      </c>
      <c r="C15" s="75" t="s">
        <v>211</v>
      </c>
      <c r="D15" s="76">
        <v>500</v>
      </c>
      <c r="E15" s="94">
        <v>1900000</v>
      </c>
      <c r="F15" s="97">
        <f t="shared" si="0"/>
        <v>95000</v>
      </c>
      <c r="G15" s="76">
        <f t="shared" si="1"/>
        <v>95500</v>
      </c>
      <c r="H15" s="75" t="str">
        <f t="shared" si="2"/>
        <v>청소기</v>
      </c>
      <c r="I15" s="76">
        <f t="shared" si="3"/>
        <v>17</v>
      </c>
    </row>
    <row r="16" spans="1:9" s="69" customFormat="1" ht="12" customHeight="1" x14ac:dyDescent="0.2">
      <c r="A16" s="75" t="s">
        <v>238</v>
      </c>
      <c r="B16" s="75" t="s">
        <v>239</v>
      </c>
      <c r="C16" s="75" t="s">
        <v>211</v>
      </c>
      <c r="D16" s="76">
        <v>300</v>
      </c>
      <c r="E16" s="94">
        <v>700000</v>
      </c>
      <c r="F16" s="97">
        <f t="shared" si="0"/>
        <v>21000</v>
      </c>
      <c r="G16" s="76">
        <f t="shared" si="1"/>
        <v>21300</v>
      </c>
      <c r="H16" s="75" t="str">
        <f t="shared" si="2"/>
        <v>청소기</v>
      </c>
      <c r="I16" s="76">
        <f t="shared" si="3"/>
        <v>10</v>
      </c>
    </row>
    <row r="17" spans="1:9" s="69" customFormat="1" ht="12" customHeight="1" x14ac:dyDescent="0.2">
      <c r="A17" s="75" t="s">
        <v>236</v>
      </c>
      <c r="B17" s="75" t="s">
        <v>237</v>
      </c>
      <c r="C17" s="75" t="s">
        <v>211</v>
      </c>
      <c r="D17" s="76">
        <v>500</v>
      </c>
      <c r="E17" s="94">
        <v>90000</v>
      </c>
      <c r="F17" s="97">
        <f t="shared" si="0"/>
        <v>2700</v>
      </c>
      <c r="G17" s="76">
        <f t="shared" si="1"/>
        <v>3200</v>
      </c>
      <c r="H17" s="75" t="str">
        <f t="shared" si="2"/>
        <v>타월</v>
      </c>
      <c r="I17" s="76">
        <f t="shared" si="3"/>
        <v>1</v>
      </c>
    </row>
    <row r="18" spans="1:9" s="69" customFormat="1" ht="12" customHeight="1" x14ac:dyDescent="0.2">
      <c r="A18" s="75" t="s">
        <v>246</v>
      </c>
      <c r="B18" s="75" t="s">
        <v>247</v>
      </c>
      <c r="C18" s="75" t="s">
        <v>211</v>
      </c>
      <c r="D18" s="76">
        <v>500</v>
      </c>
      <c r="E18" s="94">
        <v>1700000</v>
      </c>
      <c r="F18" s="97">
        <f t="shared" si="0"/>
        <v>85000</v>
      </c>
      <c r="G18" s="76">
        <f t="shared" si="1"/>
        <v>85500</v>
      </c>
      <c r="H18" s="75" t="str">
        <f t="shared" si="2"/>
        <v>청소기</v>
      </c>
      <c r="I18" s="76">
        <f t="shared" si="3"/>
        <v>15</v>
      </c>
    </row>
    <row r="19" spans="1:9" s="69" customFormat="1" ht="12" customHeight="1" x14ac:dyDescent="0.2">
      <c r="A19" s="75" t="s">
        <v>242</v>
      </c>
      <c r="B19" s="75" t="s">
        <v>243</v>
      </c>
      <c r="C19" s="75" t="s">
        <v>217</v>
      </c>
      <c r="D19" s="76">
        <v>500</v>
      </c>
      <c r="E19" s="94">
        <v>350000</v>
      </c>
      <c r="F19" s="97">
        <f t="shared" si="0"/>
        <v>10500</v>
      </c>
      <c r="G19" s="76">
        <f t="shared" si="1"/>
        <v>11000</v>
      </c>
      <c r="H19" s="75" t="str">
        <f t="shared" si="2"/>
        <v>청소기</v>
      </c>
      <c r="I19" s="76">
        <f t="shared" si="3"/>
        <v>7</v>
      </c>
    </row>
    <row r="20" spans="1:9" s="69" customFormat="1" ht="12" customHeight="1" x14ac:dyDescent="0.2">
      <c r="A20" s="75" t="s">
        <v>244</v>
      </c>
      <c r="B20" s="75" t="s">
        <v>245</v>
      </c>
      <c r="C20" s="75" t="s">
        <v>217</v>
      </c>
      <c r="D20" s="76">
        <v>200</v>
      </c>
      <c r="E20" s="94">
        <v>2000000</v>
      </c>
      <c r="F20" s="97">
        <f t="shared" si="0"/>
        <v>100000</v>
      </c>
      <c r="G20" s="76">
        <f t="shared" si="1"/>
        <v>100200</v>
      </c>
      <c r="H20" s="75" t="str">
        <f t="shared" si="2"/>
        <v>청소기</v>
      </c>
      <c r="I20" s="76">
        <f t="shared" si="3"/>
        <v>18</v>
      </c>
    </row>
    <row r="21" spans="1:9" s="69" customFormat="1" ht="12" customHeight="1" x14ac:dyDescent="0.2">
      <c r="A21" s="75" t="s">
        <v>215</v>
      </c>
      <c r="B21" s="75" t="s">
        <v>216</v>
      </c>
      <c r="C21" s="75" t="s">
        <v>217</v>
      </c>
      <c r="D21" s="76">
        <v>300</v>
      </c>
      <c r="E21" s="94">
        <v>350000</v>
      </c>
      <c r="F21" s="97">
        <f t="shared" si="0"/>
        <v>10500</v>
      </c>
      <c r="G21" s="76">
        <f t="shared" si="1"/>
        <v>10800</v>
      </c>
      <c r="H21" s="75" t="str">
        <f t="shared" si="2"/>
        <v>청소기</v>
      </c>
      <c r="I21" s="76">
        <f t="shared" si="3"/>
        <v>6</v>
      </c>
    </row>
    <row r="22" spans="1:9" s="69" customFormat="1" ht="12" customHeight="1" x14ac:dyDescent="0.2">
      <c r="A22" s="75" t="s">
        <v>230</v>
      </c>
      <c r="B22" s="75" t="s">
        <v>231</v>
      </c>
      <c r="C22" s="75" t="s">
        <v>217</v>
      </c>
      <c r="D22" s="76">
        <v>300</v>
      </c>
      <c r="E22" s="94">
        <v>210000</v>
      </c>
      <c r="F22" s="97">
        <f t="shared" si="0"/>
        <v>6300</v>
      </c>
      <c r="G22" s="76">
        <f t="shared" si="1"/>
        <v>6600</v>
      </c>
      <c r="H22" s="75" t="str">
        <f t="shared" si="2"/>
        <v>상품권</v>
      </c>
      <c r="I22" s="76">
        <f t="shared" si="3"/>
        <v>2</v>
      </c>
    </row>
    <row r="23" spans="1:9" s="69" customFormat="1" ht="12" customHeight="1" x14ac:dyDescent="0.2">
      <c r="A23" s="78" t="s">
        <v>228</v>
      </c>
      <c r="B23" s="78" t="s">
        <v>229</v>
      </c>
      <c r="C23" s="78" t="s">
        <v>217</v>
      </c>
      <c r="D23" s="79">
        <v>300</v>
      </c>
      <c r="E23" s="95">
        <v>500000</v>
      </c>
      <c r="F23" s="98">
        <f t="shared" si="0"/>
        <v>15000</v>
      </c>
      <c r="G23" s="79">
        <f t="shared" si="1"/>
        <v>15300</v>
      </c>
      <c r="H23" s="78" t="str">
        <f t="shared" si="2"/>
        <v>청소기</v>
      </c>
      <c r="I23" s="79">
        <f t="shared" si="3"/>
        <v>9</v>
      </c>
    </row>
    <row r="24" spans="1:9" s="69" customFormat="1" ht="12" customHeight="1" x14ac:dyDescent="0.2">
      <c r="B24" s="206" t="s">
        <v>255</v>
      </c>
      <c r="C24" s="207"/>
      <c r="D24" s="207"/>
      <c r="E24" s="208"/>
      <c r="F24" s="99">
        <f>AVERAGE(F4:F23)</f>
        <v>43910</v>
      </c>
      <c r="G24" s="70">
        <f>AVERAGE(G4:G23)</f>
        <v>44240</v>
      </c>
      <c r="H24" s="212"/>
      <c r="I24" s="212"/>
    </row>
    <row r="25" spans="1:9" s="69" customFormat="1" ht="12" customHeight="1" x14ac:dyDescent="0.2">
      <c r="B25" s="209" t="s">
        <v>257</v>
      </c>
      <c r="C25" s="210"/>
      <c r="D25" s="210"/>
      <c r="E25" s="211"/>
      <c r="F25" s="99">
        <f>SUMIF($H$4:$H$23,"상품권",F4:F23)</f>
        <v>33000</v>
      </c>
      <c r="G25" s="70">
        <f>SUMIF($H$4:$H$23,"상품권",G4:G23)</f>
        <v>34300</v>
      </c>
      <c r="H25" s="212"/>
      <c r="I25" s="212"/>
    </row>
    <row r="26" spans="1:9" s="69" customFormat="1" ht="12" customHeight="1" x14ac:dyDescent="0.2">
      <c r="B26" s="206" t="s">
        <v>258</v>
      </c>
      <c r="C26" s="207"/>
      <c r="D26" s="207"/>
      <c r="E26" s="208"/>
      <c r="F26" s="99">
        <f>SUMIF($H$4:$H$23,"청소기",F4:F23)</f>
        <v>842500</v>
      </c>
      <c r="G26" s="70">
        <f>SUMIF($H$4:$H$23,"청소기",G4:G23)</f>
        <v>847300</v>
      </c>
      <c r="H26" s="212"/>
      <c r="I26" s="212"/>
    </row>
    <row r="27" spans="1:9" s="69" customFormat="1" ht="26.45" customHeight="1" x14ac:dyDescent="0.2">
      <c r="B27" s="206" t="s">
        <v>259</v>
      </c>
      <c r="C27" s="207"/>
      <c r="D27" s="207"/>
      <c r="E27" s="208"/>
      <c r="F27" s="99">
        <f>SUMIFS(F4:F23,$B$4:$B$23,"이*",$A$4:$A$23,"MA*")</f>
        <v>137000</v>
      </c>
      <c r="G27" s="70">
        <f>SUMIFS(G4:G23,$B$4:$B$23,"이*",$A$4:$A$23,"MA*")</f>
        <v>138300</v>
      </c>
      <c r="H27" s="212"/>
      <c r="I27" s="212"/>
    </row>
    <row r="28" spans="1:9" s="69" customFormat="1" ht="12" customHeight="1" x14ac:dyDescent="0.2">
      <c r="B28" s="206" t="s">
        <v>260</v>
      </c>
      <c r="C28" s="207"/>
      <c r="D28" s="207"/>
      <c r="E28" s="208"/>
      <c r="F28" s="99">
        <f>SUMIFS(F4:F23,$I$4:$I$23,"&gt;=10",$I$4:$I$23,"&lt;15")</f>
        <v>181500</v>
      </c>
      <c r="G28" s="70">
        <f>SUMIFS(G4:G23,$I$4:$I$23,"&gt;=10",$I$4:$I$23,"&lt;15")</f>
        <v>182900</v>
      </c>
      <c r="H28" s="212"/>
      <c r="I28" s="212"/>
    </row>
    <row r="29" spans="1:9" s="69" customFormat="1" ht="12" customHeight="1" x14ac:dyDescent="0.2">
      <c r="B29" s="203" t="s">
        <v>262</v>
      </c>
      <c r="C29" s="204"/>
      <c r="D29" s="204"/>
      <c r="E29" s="204"/>
      <c r="F29" s="204"/>
      <c r="G29" s="204"/>
      <c r="H29" s="204"/>
      <c r="I29" s="205"/>
    </row>
    <row r="30" spans="1:9" s="69" customFormat="1" ht="12" customHeight="1" x14ac:dyDescent="0.2">
      <c r="B30" s="203" t="s">
        <v>263</v>
      </c>
      <c r="C30" s="204"/>
      <c r="D30" s="204"/>
      <c r="E30" s="204"/>
      <c r="F30" s="204"/>
      <c r="G30" s="204"/>
      <c r="H30" s="204"/>
      <c r="I30" s="205"/>
    </row>
    <row r="31" spans="1:9" s="69" customFormat="1" ht="12" x14ac:dyDescent="0.2"/>
    <row r="32" spans="1:9" s="69" customFormat="1" ht="12" x14ac:dyDescent="0.2"/>
    <row r="33" s="69" customFormat="1" ht="12" x14ac:dyDescent="0.2"/>
    <row r="34" s="69" customFormat="1" ht="12" x14ac:dyDescent="0.2"/>
    <row r="35" s="69" customFormat="1" ht="12" x14ac:dyDescent="0.2"/>
  </sheetData>
  <sortState ref="B4:I23">
    <sortCondition ref="C4:C23"/>
    <sortCondition ref="B4:B23"/>
  </sortState>
  <mergeCells count="9">
    <mergeCell ref="B2:I2"/>
    <mergeCell ref="B30:I30"/>
    <mergeCell ref="B29:I29"/>
    <mergeCell ref="B28:E28"/>
    <mergeCell ref="B27:E27"/>
    <mergeCell ref="B26:E26"/>
    <mergeCell ref="B25:E25"/>
    <mergeCell ref="B24:E24"/>
    <mergeCell ref="H24:I28"/>
  </mergeCells>
  <phoneticPr fontId="3" type="noConversion"/>
  <printOptions horizontalCentered="1"/>
  <pageMargins left="0.70866141732283472" right="0.70866141732283472" top="2.3622047244094491" bottom="0.39370078740157483" header="0.31496062992125984" footer="0.31496062992125984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D23"/>
  <sheetViews>
    <sheetView workbookViewId="0">
      <selection activeCell="B4" sqref="B4"/>
    </sheetView>
  </sheetViews>
  <sheetFormatPr defaultColWidth="9" defaultRowHeight="16.5" x14ac:dyDescent="0.3"/>
  <cols>
    <col min="1" max="16384" width="9" style="56"/>
  </cols>
  <sheetData>
    <row r="3" spans="1:4" x14ac:dyDescent="0.3">
      <c r="A3" s="61" t="s">
        <v>264</v>
      </c>
      <c r="B3" s="61" t="s">
        <v>265</v>
      </c>
      <c r="C3" s="61" t="s">
        <v>266</v>
      </c>
      <c r="D3" s="61" t="s">
        <v>267</v>
      </c>
    </row>
    <row r="4" spans="1:4" x14ac:dyDescent="0.3">
      <c r="A4" s="61" t="s">
        <v>268</v>
      </c>
      <c r="B4" s="61" t="s">
        <v>269</v>
      </c>
      <c r="C4" s="61">
        <v>31</v>
      </c>
      <c r="D4" s="62">
        <v>437000</v>
      </c>
    </row>
    <row r="5" spans="1:4" x14ac:dyDescent="0.3">
      <c r="A5" s="61" t="s">
        <v>270</v>
      </c>
      <c r="B5" s="61" t="s">
        <v>269</v>
      </c>
      <c r="C5" s="61">
        <v>38</v>
      </c>
      <c r="D5" s="62">
        <v>320000</v>
      </c>
    </row>
    <row r="6" spans="1:4" x14ac:dyDescent="0.3">
      <c r="A6" s="61" t="s">
        <v>271</v>
      </c>
      <c r="B6" s="61" t="s">
        <v>272</v>
      </c>
      <c r="C6" s="61">
        <v>68</v>
      </c>
      <c r="D6" s="62">
        <v>240000</v>
      </c>
    </row>
    <row r="7" spans="1:4" x14ac:dyDescent="0.3">
      <c r="A7" s="61" t="s">
        <v>273</v>
      </c>
      <c r="B7" s="61" t="s">
        <v>274</v>
      </c>
      <c r="C7" s="61">
        <v>31</v>
      </c>
      <c r="D7" s="62">
        <v>165000</v>
      </c>
    </row>
    <row r="8" spans="1:4" x14ac:dyDescent="0.3">
      <c r="A8" s="61" t="s">
        <v>275</v>
      </c>
      <c r="B8" s="61" t="s">
        <v>272</v>
      </c>
      <c r="C8" s="61">
        <v>39</v>
      </c>
      <c r="D8" s="62">
        <v>150000</v>
      </c>
    </row>
    <row r="9" spans="1:4" x14ac:dyDescent="0.3">
      <c r="A9" s="61" t="s">
        <v>276</v>
      </c>
      <c r="B9" s="61" t="s">
        <v>274</v>
      </c>
      <c r="C9" s="61">
        <v>36</v>
      </c>
      <c r="D9" s="62">
        <v>190000</v>
      </c>
    </row>
    <row r="10" spans="1:4" x14ac:dyDescent="0.3">
      <c r="A10" s="61" t="s">
        <v>277</v>
      </c>
      <c r="B10" s="61" t="s">
        <v>274</v>
      </c>
      <c r="C10" s="61">
        <v>48</v>
      </c>
      <c r="D10" s="62">
        <v>180000</v>
      </c>
    </row>
    <row r="11" spans="1:4" x14ac:dyDescent="0.3">
      <c r="A11" s="61" t="s">
        <v>278</v>
      </c>
      <c r="B11" s="61" t="s">
        <v>272</v>
      </c>
      <c r="C11" s="61">
        <v>46</v>
      </c>
      <c r="D11" s="62">
        <v>210000</v>
      </c>
    </row>
    <row r="12" spans="1:4" x14ac:dyDescent="0.3">
      <c r="A12" s="61" t="s">
        <v>279</v>
      </c>
      <c r="B12" s="61" t="s">
        <v>274</v>
      </c>
      <c r="C12" s="61">
        <v>57</v>
      </c>
      <c r="D12" s="62">
        <v>170000</v>
      </c>
    </row>
    <row r="13" spans="1:4" x14ac:dyDescent="0.3">
      <c r="A13" s="61" t="s">
        <v>280</v>
      </c>
      <c r="B13" s="61" t="s">
        <v>281</v>
      </c>
      <c r="C13" s="61">
        <v>25</v>
      </c>
      <c r="D13" s="62">
        <v>15400</v>
      </c>
    </row>
    <row r="14" spans="1:4" x14ac:dyDescent="0.3">
      <c r="A14" s="61" t="s">
        <v>282</v>
      </c>
      <c r="B14" s="61" t="s">
        <v>281</v>
      </c>
      <c r="C14" s="61">
        <v>43</v>
      </c>
      <c r="D14" s="62">
        <v>6800</v>
      </c>
    </row>
    <row r="15" spans="1:4" x14ac:dyDescent="0.3">
      <c r="A15" s="61" t="s">
        <v>283</v>
      </c>
      <c r="B15" s="61" t="s">
        <v>269</v>
      </c>
      <c r="C15" s="61">
        <v>34</v>
      </c>
      <c r="D15" s="62">
        <v>480000</v>
      </c>
    </row>
    <row r="16" spans="1:4" x14ac:dyDescent="0.3">
      <c r="A16" s="61" t="s">
        <v>284</v>
      </c>
      <c r="B16" s="61" t="s">
        <v>272</v>
      </c>
      <c r="C16" s="61">
        <v>48</v>
      </c>
      <c r="D16" s="62">
        <v>340000</v>
      </c>
    </row>
    <row r="17" spans="1:4" x14ac:dyDescent="0.3">
      <c r="A17" s="61" t="s">
        <v>285</v>
      </c>
      <c r="B17" s="61" t="s">
        <v>274</v>
      </c>
      <c r="C17" s="61">
        <v>21</v>
      </c>
      <c r="D17" s="62">
        <v>130000</v>
      </c>
    </row>
    <row r="18" spans="1:4" x14ac:dyDescent="0.3">
      <c r="A18" s="61" t="s">
        <v>286</v>
      </c>
      <c r="B18" s="61" t="s">
        <v>272</v>
      </c>
      <c r="C18" s="61">
        <v>27</v>
      </c>
      <c r="D18" s="62">
        <v>120000</v>
      </c>
    </row>
    <row r="19" spans="1:4" x14ac:dyDescent="0.3">
      <c r="A19" s="61" t="s">
        <v>287</v>
      </c>
      <c r="B19" s="61" t="s">
        <v>274</v>
      </c>
      <c r="C19" s="61">
        <v>22</v>
      </c>
      <c r="D19" s="62">
        <v>210000</v>
      </c>
    </row>
    <row r="20" spans="1:4" x14ac:dyDescent="0.3">
      <c r="A20" s="61" t="s">
        <v>288</v>
      </c>
      <c r="B20" s="61" t="s">
        <v>274</v>
      </c>
      <c r="C20" s="61">
        <v>45</v>
      </c>
      <c r="D20" s="62">
        <v>170000</v>
      </c>
    </row>
    <row r="21" spans="1:4" x14ac:dyDescent="0.3">
      <c r="A21" s="61" t="s">
        <v>289</v>
      </c>
      <c r="B21" s="61" t="s">
        <v>272</v>
      </c>
      <c r="C21" s="61">
        <v>23</v>
      </c>
      <c r="D21" s="62">
        <v>210000</v>
      </c>
    </row>
    <row r="22" spans="1:4" x14ac:dyDescent="0.3">
      <c r="A22" s="61" t="s">
        <v>290</v>
      </c>
      <c r="B22" s="61" t="s">
        <v>274</v>
      </c>
      <c r="C22" s="61">
        <v>28</v>
      </c>
      <c r="D22" s="62">
        <v>110000</v>
      </c>
    </row>
    <row r="23" spans="1:4" x14ac:dyDescent="0.3">
      <c r="A23" s="61" t="s">
        <v>291</v>
      </c>
      <c r="B23" s="61" t="s">
        <v>281</v>
      </c>
      <c r="C23" s="61">
        <v>22</v>
      </c>
      <c r="D23" s="62">
        <v>6200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N28" sqref="N28"/>
    </sheetView>
  </sheetViews>
  <sheetFormatPr defaultColWidth="9" defaultRowHeight="16.5" x14ac:dyDescent="0.3"/>
  <cols>
    <col min="1" max="1" width="9" style="56"/>
    <col min="2" max="3" width="0" style="56" hidden="1" customWidth="1"/>
    <col min="4" max="5" width="9" style="56"/>
    <col min="6" max="6" width="10" style="56" customWidth="1"/>
    <col min="7" max="16384" width="9" style="56"/>
  </cols>
  <sheetData>
    <row r="2" spans="1:10" x14ac:dyDescent="0.3">
      <c r="A2" s="213" t="s">
        <v>300</v>
      </c>
      <c r="B2" s="213"/>
      <c r="C2" s="213"/>
      <c r="D2" s="213"/>
      <c r="E2" s="213"/>
      <c r="F2" s="213"/>
      <c r="G2" s="213"/>
      <c r="H2" s="213"/>
      <c r="I2" s="213"/>
      <c r="J2" s="213"/>
    </row>
    <row r="3" spans="1:10" x14ac:dyDescent="0.3">
      <c r="A3" s="61" t="s">
        <v>264</v>
      </c>
      <c r="B3" s="90" t="s">
        <v>265</v>
      </c>
      <c r="C3" s="90" t="s">
        <v>266</v>
      </c>
      <c r="D3" s="61" t="s">
        <v>292</v>
      </c>
      <c r="E3" s="61" t="s">
        <v>267</v>
      </c>
      <c r="F3" s="61" t="s">
        <v>293</v>
      </c>
      <c r="G3" s="61" t="s">
        <v>294</v>
      </c>
      <c r="H3" s="61" t="s">
        <v>295</v>
      </c>
      <c r="I3" s="61" t="s">
        <v>296</v>
      </c>
      <c r="J3" s="61" t="s">
        <v>145</v>
      </c>
    </row>
    <row r="4" spans="1:10" x14ac:dyDescent="0.3">
      <c r="A4" s="61" t="s">
        <v>268</v>
      </c>
      <c r="B4" s="61" t="s">
        <v>269</v>
      </c>
      <c r="C4" s="61">
        <v>31</v>
      </c>
      <c r="D4" s="64" t="s">
        <v>17</v>
      </c>
      <c r="E4" s="62">
        <v>437000</v>
      </c>
      <c r="F4" s="64" t="s">
        <v>59</v>
      </c>
      <c r="G4" s="64" t="s">
        <v>60</v>
      </c>
      <c r="H4" s="64" t="s">
        <v>61</v>
      </c>
      <c r="I4" s="64" t="s">
        <v>256</v>
      </c>
      <c r="J4" s="64" t="s">
        <v>25</v>
      </c>
    </row>
    <row r="5" spans="1:10" x14ac:dyDescent="0.3">
      <c r="A5" s="61" t="s">
        <v>270</v>
      </c>
      <c r="B5" s="61" t="s">
        <v>269</v>
      </c>
      <c r="C5" s="61">
        <v>38</v>
      </c>
      <c r="D5" s="64"/>
      <c r="E5" s="62">
        <v>320000</v>
      </c>
      <c r="F5" s="65"/>
      <c r="G5" s="65"/>
      <c r="H5" s="65"/>
      <c r="I5" s="65"/>
      <c r="J5" s="65"/>
    </row>
    <row r="6" spans="1:10" x14ac:dyDescent="0.3">
      <c r="A6" s="61" t="s">
        <v>271</v>
      </c>
      <c r="B6" s="61" t="s">
        <v>272</v>
      </c>
      <c r="C6" s="61">
        <v>68</v>
      </c>
      <c r="D6" s="64"/>
      <c r="E6" s="62">
        <v>240000</v>
      </c>
      <c r="F6" s="65"/>
      <c r="G6" s="65"/>
      <c r="H6" s="65"/>
      <c r="I6" s="65"/>
      <c r="J6" s="65"/>
    </row>
    <row r="7" spans="1:10" x14ac:dyDescent="0.3">
      <c r="A7" s="61" t="s">
        <v>273</v>
      </c>
      <c r="B7" s="61" t="s">
        <v>274</v>
      </c>
      <c r="C7" s="61">
        <v>31</v>
      </c>
      <c r="D7" s="64"/>
      <c r="E7" s="62">
        <v>165000</v>
      </c>
      <c r="F7" s="65"/>
      <c r="G7" s="65"/>
      <c r="H7" s="65"/>
      <c r="I7" s="65"/>
      <c r="J7" s="65"/>
    </row>
    <row r="8" spans="1:10" x14ac:dyDescent="0.3">
      <c r="A8" s="61" t="s">
        <v>275</v>
      </c>
      <c r="B8" s="61" t="s">
        <v>272</v>
      </c>
      <c r="C8" s="61">
        <v>39</v>
      </c>
      <c r="D8" s="64"/>
      <c r="E8" s="62">
        <v>150000</v>
      </c>
      <c r="F8" s="65"/>
      <c r="G8" s="65"/>
      <c r="H8" s="65"/>
      <c r="I8" s="65"/>
      <c r="J8" s="65"/>
    </row>
    <row r="9" spans="1:10" x14ac:dyDescent="0.3">
      <c r="A9" s="61" t="s">
        <v>276</v>
      </c>
      <c r="B9" s="61" t="s">
        <v>274</v>
      </c>
      <c r="C9" s="61">
        <v>36</v>
      </c>
      <c r="D9" s="64"/>
      <c r="E9" s="62">
        <v>190000</v>
      </c>
      <c r="F9" s="65"/>
      <c r="G9" s="65"/>
      <c r="H9" s="65"/>
      <c r="I9" s="65"/>
      <c r="J9" s="65"/>
    </row>
    <row r="10" spans="1:10" x14ac:dyDescent="0.3">
      <c r="A10" s="61" t="s">
        <v>277</v>
      </c>
      <c r="B10" s="61" t="s">
        <v>274</v>
      </c>
      <c r="C10" s="61">
        <v>48</v>
      </c>
      <c r="D10" s="64"/>
      <c r="E10" s="62">
        <v>180000</v>
      </c>
      <c r="F10" s="65"/>
      <c r="G10" s="65"/>
      <c r="H10" s="65"/>
      <c r="I10" s="65"/>
      <c r="J10" s="65"/>
    </row>
    <row r="11" spans="1:10" x14ac:dyDescent="0.3">
      <c r="A11" s="61" t="s">
        <v>278</v>
      </c>
      <c r="B11" s="61" t="s">
        <v>272</v>
      </c>
      <c r="C11" s="61">
        <v>46</v>
      </c>
      <c r="D11" s="64"/>
      <c r="E11" s="62">
        <v>210000</v>
      </c>
      <c r="F11" s="65"/>
      <c r="G11" s="65"/>
      <c r="H11" s="65"/>
      <c r="I11" s="65"/>
      <c r="J11" s="65"/>
    </row>
    <row r="12" spans="1:10" x14ac:dyDescent="0.3">
      <c r="A12" s="61" t="s">
        <v>279</v>
      </c>
      <c r="B12" s="61" t="s">
        <v>274</v>
      </c>
      <c r="C12" s="61">
        <v>57</v>
      </c>
      <c r="D12" s="64"/>
      <c r="E12" s="62">
        <v>170000</v>
      </c>
      <c r="F12" s="65"/>
      <c r="G12" s="65"/>
      <c r="H12" s="65"/>
      <c r="I12" s="65"/>
      <c r="J12" s="65"/>
    </row>
    <row r="13" spans="1:10" x14ac:dyDescent="0.3">
      <c r="A13" s="61" t="s">
        <v>280</v>
      </c>
      <c r="B13" s="61" t="s">
        <v>281</v>
      </c>
      <c r="C13" s="61">
        <v>25</v>
      </c>
      <c r="D13" s="64"/>
      <c r="E13" s="62">
        <v>15400</v>
      </c>
      <c r="F13" s="65"/>
      <c r="G13" s="65"/>
      <c r="H13" s="65"/>
      <c r="I13" s="65"/>
      <c r="J13" s="65"/>
    </row>
    <row r="14" spans="1:10" x14ac:dyDescent="0.3">
      <c r="A14" s="61" t="s">
        <v>282</v>
      </c>
      <c r="B14" s="61" t="s">
        <v>281</v>
      </c>
      <c r="C14" s="61">
        <v>43</v>
      </c>
      <c r="D14" s="64"/>
      <c r="E14" s="62">
        <v>6800</v>
      </c>
      <c r="F14" s="65"/>
      <c r="G14" s="65"/>
      <c r="H14" s="65"/>
      <c r="I14" s="65"/>
      <c r="J14" s="65"/>
    </row>
    <row r="15" spans="1:10" x14ac:dyDescent="0.3">
      <c r="A15" s="61" t="s">
        <v>283</v>
      </c>
      <c r="B15" s="61" t="s">
        <v>269</v>
      </c>
      <c r="C15" s="61">
        <v>34</v>
      </c>
      <c r="D15" s="64"/>
      <c r="E15" s="62">
        <v>480000</v>
      </c>
      <c r="F15" s="65"/>
      <c r="G15" s="65"/>
      <c r="H15" s="65"/>
      <c r="I15" s="65"/>
      <c r="J15" s="65"/>
    </row>
    <row r="16" spans="1:10" x14ac:dyDescent="0.3">
      <c r="A16" s="61" t="s">
        <v>284</v>
      </c>
      <c r="B16" s="61" t="s">
        <v>272</v>
      </c>
      <c r="C16" s="61">
        <v>48</v>
      </c>
      <c r="D16" s="64"/>
      <c r="E16" s="62">
        <v>340000</v>
      </c>
      <c r="F16" s="65"/>
      <c r="G16" s="65"/>
      <c r="H16" s="65"/>
      <c r="I16" s="65"/>
      <c r="J16" s="65"/>
    </row>
    <row r="17" spans="1:10" x14ac:dyDescent="0.3">
      <c r="A17" s="61" t="s">
        <v>285</v>
      </c>
      <c r="B17" s="61" t="s">
        <v>274</v>
      </c>
      <c r="C17" s="61">
        <v>21</v>
      </c>
      <c r="D17" s="64"/>
      <c r="E17" s="62">
        <v>130000</v>
      </c>
      <c r="F17" s="65"/>
      <c r="G17" s="65"/>
      <c r="H17" s="65"/>
      <c r="I17" s="65"/>
      <c r="J17" s="65"/>
    </row>
    <row r="18" spans="1:10" x14ac:dyDescent="0.3">
      <c r="A18" s="61" t="s">
        <v>286</v>
      </c>
      <c r="B18" s="61" t="s">
        <v>272</v>
      </c>
      <c r="C18" s="61">
        <v>27</v>
      </c>
      <c r="D18" s="64"/>
      <c r="E18" s="62">
        <v>120000</v>
      </c>
      <c r="F18" s="65"/>
      <c r="G18" s="65"/>
      <c r="H18" s="65"/>
      <c r="I18" s="65"/>
      <c r="J18" s="65"/>
    </row>
    <row r="19" spans="1:10" x14ac:dyDescent="0.3">
      <c r="A19" s="61" t="s">
        <v>287</v>
      </c>
      <c r="B19" s="61" t="s">
        <v>274</v>
      </c>
      <c r="C19" s="61">
        <v>22</v>
      </c>
      <c r="D19" s="64"/>
      <c r="E19" s="62">
        <v>210000</v>
      </c>
      <c r="F19" s="65"/>
      <c r="G19" s="65"/>
      <c r="H19" s="65"/>
      <c r="I19" s="65"/>
      <c r="J19" s="65"/>
    </row>
    <row r="20" spans="1:10" x14ac:dyDescent="0.3">
      <c r="A20" s="61" t="s">
        <v>288</v>
      </c>
      <c r="B20" s="61" t="s">
        <v>274</v>
      </c>
      <c r="C20" s="61">
        <v>45</v>
      </c>
      <c r="D20" s="64"/>
      <c r="E20" s="62">
        <v>170000</v>
      </c>
      <c r="F20" s="65"/>
      <c r="G20" s="65"/>
      <c r="H20" s="65"/>
      <c r="I20" s="65"/>
      <c r="J20" s="65"/>
    </row>
    <row r="21" spans="1:10" x14ac:dyDescent="0.3">
      <c r="A21" s="61" t="s">
        <v>289</v>
      </c>
      <c r="B21" s="61" t="s">
        <v>272</v>
      </c>
      <c r="C21" s="61">
        <v>23</v>
      </c>
      <c r="D21" s="64"/>
      <c r="E21" s="62">
        <v>210000</v>
      </c>
      <c r="F21" s="65"/>
      <c r="G21" s="65"/>
      <c r="H21" s="65"/>
      <c r="I21" s="65"/>
      <c r="J21" s="65"/>
    </row>
    <row r="22" spans="1:10" x14ac:dyDescent="0.3">
      <c r="A22" s="61" t="s">
        <v>290</v>
      </c>
      <c r="B22" s="61" t="s">
        <v>274</v>
      </c>
      <c r="C22" s="61">
        <v>28</v>
      </c>
      <c r="D22" s="64"/>
      <c r="E22" s="62">
        <v>110000</v>
      </c>
      <c r="F22" s="65"/>
      <c r="G22" s="65"/>
      <c r="H22" s="65"/>
      <c r="I22" s="65"/>
      <c r="J22" s="65"/>
    </row>
    <row r="23" spans="1:10" x14ac:dyDescent="0.3">
      <c r="A23" s="61" t="s">
        <v>291</v>
      </c>
      <c r="B23" s="61" t="s">
        <v>281</v>
      </c>
      <c r="C23" s="61">
        <v>22</v>
      </c>
      <c r="D23" s="64"/>
      <c r="E23" s="62">
        <v>6200</v>
      </c>
      <c r="F23" s="65"/>
      <c r="G23" s="65"/>
      <c r="H23" s="65"/>
      <c r="I23" s="65"/>
      <c r="J23" s="65"/>
    </row>
    <row r="24" spans="1:10" x14ac:dyDescent="0.3">
      <c r="A24" s="179" t="s">
        <v>297</v>
      </c>
      <c r="B24" s="179"/>
      <c r="C24" s="179"/>
      <c r="D24" s="179"/>
      <c r="E24" s="61" t="s">
        <v>357</v>
      </c>
      <c r="F24" s="64" t="s">
        <v>26</v>
      </c>
      <c r="G24" s="64" t="s">
        <v>27</v>
      </c>
      <c r="H24" s="65"/>
      <c r="I24" s="201"/>
      <c r="J24" s="201"/>
    </row>
    <row r="25" spans="1:10" x14ac:dyDescent="0.3">
      <c r="A25" s="179"/>
      <c r="B25" s="179"/>
      <c r="C25" s="179"/>
      <c r="D25" s="179"/>
      <c r="E25" s="61" t="s">
        <v>358</v>
      </c>
      <c r="F25" s="64" t="s">
        <v>28</v>
      </c>
      <c r="G25" s="64" t="s">
        <v>29</v>
      </c>
      <c r="H25" s="65"/>
      <c r="I25" s="201"/>
      <c r="J25" s="201"/>
    </row>
    <row r="26" spans="1:10" ht="34.5" customHeight="1" x14ac:dyDescent="0.3">
      <c r="A26" s="214" t="s">
        <v>299</v>
      </c>
      <c r="B26" s="214"/>
      <c r="C26" s="214"/>
      <c r="D26" s="214"/>
      <c r="E26" s="214"/>
      <c r="F26" s="214"/>
      <c r="G26" s="214"/>
      <c r="H26" s="65" t="s">
        <v>195</v>
      </c>
      <c r="I26" s="201"/>
      <c r="J26" s="201"/>
    </row>
    <row r="27" spans="1:10" x14ac:dyDescent="0.3">
      <c r="A27" s="179" t="s">
        <v>298</v>
      </c>
      <c r="B27" s="179"/>
      <c r="C27" s="179"/>
      <c r="D27" s="179"/>
      <c r="E27" s="179"/>
      <c r="F27" s="179"/>
      <c r="G27" s="179"/>
      <c r="H27" s="64" t="s">
        <v>32</v>
      </c>
      <c r="I27" s="201"/>
      <c r="J27" s="201"/>
    </row>
    <row r="28" spans="1:10" ht="33" customHeight="1" x14ac:dyDescent="0.3">
      <c r="A28" s="179" t="s">
        <v>301</v>
      </c>
      <c r="B28" s="179"/>
      <c r="C28" s="179"/>
      <c r="D28" s="179"/>
      <c r="E28" s="179"/>
      <c r="F28" s="179"/>
      <c r="G28" s="179"/>
      <c r="H28" s="64" t="s">
        <v>33</v>
      </c>
      <c r="I28" s="201"/>
      <c r="J28" s="201"/>
    </row>
    <row r="29" spans="1:10" x14ac:dyDescent="0.3">
      <c r="A29" s="179" t="s">
        <v>70</v>
      </c>
      <c r="B29" s="179"/>
      <c r="C29" s="179"/>
      <c r="D29" s="179"/>
      <c r="E29" s="179"/>
      <c r="F29" s="179"/>
      <c r="G29" s="179"/>
      <c r="H29" s="179"/>
      <c r="I29" s="179"/>
      <c r="J29" s="179"/>
    </row>
    <row r="30" spans="1:10" x14ac:dyDescent="0.3">
      <c r="A30" s="179" t="s">
        <v>193</v>
      </c>
      <c r="B30" s="179"/>
      <c r="C30" s="179"/>
      <c r="D30" s="179"/>
      <c r="E30" s="179"/>
      <c r="F30" s="179"/>
      <c r="G30" s="179"/>
      <c r="H30" s="179"/>
      <c r="I30" s="179"/>
      <c r="J30" s="179"/>
    </row>
  </sheetData>
  <mergeCells count="8">
    <mergeCell ref="A2:J2"/>
    <mergeCell ref="A24:D25"/>
    <mergeCell ref="I24:J28"/>
    <mergeCell ref="A30:J30"/>
    <mergeCell ref="A29:J29"/>
    <mergeCell ref="A28:G28"/>
    <mergeCell ref="A27:G27"/>
    <mergeCell ref="A26:G26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4"/>
  <sheetViews>
    <sheetView topLeftCell="A2" zoomScaleNormal="100" workbookViewId="0">
      <selection activeCell="A30" sqref="A30:J30"/>
    </sheetView>
  </sheetViews>
  <sheetFormatPr defaultColWidth="9" defaultRowHeight="16.5" x14ac:dyDescent="0.3"/>
  <cols>
    <col min="1" max="1" width="9" style="56"/>
    <col min="2" max="3" width="9" style="56" hidden="1" customWidth="1"/>
    <col min="4" max="4" width="10.25" style="56" bestFit="1" customWidth="1"/>
    <col min="5" max="5" width="12.125" style="56" customWidth="1"/>
    <col min="6" max="6" width="11.125" style="56" customWidth="1"/>
    <col min="7" max="7" width="13.875" style="56" customWidth="1"/>
    <col min="8" max="8" width="13.25" style="56" customWidth="1"/>
    <col min="9" max="9" width="6.875" style="56" customWidth="1"/>
    <col min="10" max="10" width="6.125" style="56" customWidth="1"/>
    <col min="11" max="16384" width="9" style="56"/>
  </cols>
  <sheetData>
    <row r="1" spans="1:10" hidden="1" x14ac:dyDescent="0.3"/>
    <row r="2" spans="1:10" ht="31.5" x14ac:dyDescent="0.55000000000000004">
      <c r="A2" s="219" t="s">
        <v>300</v>
      </c>
      <c r="B2" s="219"/>
      <c r="C2" s="219"/>
      <c r="D2" s="219"/>
      <c r="E2" s="219"/>
      <c r="F2" s="219"/>
      <c r="G2" s="219"/>
      <c r="H2" s="219"/>
      <c r="I2" s="219"/>
      <c r="J2" s="219"/>
    </row>
    <row r="3" spans="1:10" s="69" customFormat="1" ht="12" x14ac:dyDescent="0.2">
      <c r="A3" s="68" t="s">
        <v>264</v>
      </c>
      <c r="B3" s="92" t="s">
        <v>265</v>
      </c>
      <c r="C3" s="92" t="s">
        <v>266</v>
      </c>
      <c r="D3" s="68" t="s">
        <v>292</v>
      </c>
      <c r="E3" s="68" t="s">
        <v>267</v>
      </c>
      <c r="F3" s="68" t="s">
        <v>293</v>
      </c>
      <c r="G3" s="68" t="s">
        <v>294</v>
      </c>
      <c r="H3" s="68" t="s">
        <v>295</v>
      </c>
      <c r="I3" s="68" t="s">
        <v>296</v>
      </c>
      <c r="J3" s="68" t="s">
        <v>145</v>
      </c>
    </row>
    <row r="4" spans="1:10" s="69" customFormat="1" ht="12" x14ac:dyDescent="0.2">
      <c r="A4" s="72" t="s">
        <v>278</v>
      </c>
      <c r="B4" s="72" t="s">
        <v>272</v>
      </c>
      <c r="C4" s="72">
        <v>46</v>
      </c>
      <c r="D4" s="102" t="str">
        <f t="shared" ref="D4:D23" si="0">CONCATENATE(LEFT(A4,2),"#",B4)</f>
        <v>LM#모니터</v>
      </c>
      <c r="E4" s="82">
        <v>210000</v>
      </c>
      <c r="F4" s="82">
        <f t="shared" ref="F4:F23" si="1">E4+(E4*28%)</f>
        <v>268800</v>
      </c>
      <c r="G4" s="82">
        <f t="shared" ref="G4:G23" si="2">F4*C4</f>
        <v>12364800</v>
      </c>
      <c r="H4" s="82">
        <f t="shared" ref="H4:H23" si="3">(F4-E4)*C4</f>
        <v>2704800</v>
      </c>
      <c r="I4" s="72" t="str">
        <f t="shared" ref="I4:I23" si="4">IF(H4&gt;=2500000,"A급",IF(H4&gt;=1000000,"B급","C급"))</f>
        <v>A급</v>
      </c>
      <c r="J4" s="73">
        <f t="shared" ref="J4:J23" si="5">RANK(G4,$G$4:$G$23)</f>
        <v>7</v>
      </c>
    </row>
    <row r="5" spans="1:10" s="69" customFormat="1" ht="12" x14ac:dyDescent="0.2">
      <c r="A5" s="75" t="s">
        <v>279</v>
      </c>
      <c r="B5" s="75" t="s">
        <v>274</v>
      </c>
      <c r="C5" s="75">
        <v>57</v>
      </c>
      <c r="D5" s="75" t="str">
        <f t="shared" si="0"/>
        <v>PT#프린터</v>
      </c>
      <c r="E5" s="83">
        <v>170000</v>
      </c>
      <c r="F5" s="83">
        <f t="shared" si="1"/>
        <v>217600</v>
      </c>
      <c r="G5" s="83">
        <f t="shared" si="2"/>
        <v>12403200</v>
      </c>
      <c r="H5" s="83">
        <f t="shared" si="3"/>
        <v>2713200</v>
      </c>
      <c r="I5" s="75" t="str">
        <f t="shared" si="4"/>
        <v>A급</v>
      </c>
      <c r="J5" s="76">
        <f t="shared" si="5"/>
        <v>6</v>
      </c>
    </row>
    <row r="6" spans="1:10" s="69" customFormat="1" ht="12" x14ac:dyDescent="0.2">
      <c r="A6" s="75" t="s">
        <v>270</v>
      </c>
      <c r="B6" s="75" t="s">
        <v>269</v>
      </c>
      <c r="C6" s="75">
        <v>38</v>
      </c>
      <c r="D6" s="75" t="str">
        <f t="shared" si="0"/>
        <v>SS#스캐너</v>
      </c>
      <c r="E6" s="83">
        <v>320000</v>
      </c>
      <c r="F6" s="83">
        <f t="shared" si="1"/>
        <v>409600</v>
      </c>
      <c r="G6" s="83">
        <f t="shared" si="2"/>
        <v>15564800</v>
      </c>
      <c r="H6" s="83">
        <f t="shared" si="3"/>
        <v>3404800</v>
      </c>
      <c r="I6" s="75" t="str">
        <f t="shared" si="4"/>
        <v>A급</v>
      </c>
      <c r="J6" s="76">
        <f t="shared" si="5"/>
        <v>5</v>
      </c>
    </row>
    <row r="7" spans="1:10" s="69" customFormat="1" ht="12" x14ac:dyDescent="0.2">
      <c r="A7" s="75" t="s">
        <v>268</v>
      </c>
      <c r="B7" s="75" t="s">
        <v>269</v>
      </c>
      <c r="C7" s="75">
        <v>31</v>
      </c>
      <c r="D7" s="75" t="str">
        <f t="shared" si="0"/>
        <v>SS#스캐너</v>
      </c>
      <c r="E7" s="83">
        <v>437000</v>
      </c>
      <c r="F7" s="83">
        <f t="shared" si="1"/>
        <v>559360</v>
      </c>
      <c r="G7" s="83">
        <f t="shared" si="2"/>
        <v>17340160</v>
      </c>
      <c r="H7" s="83">
        <f t="shared" si="3"/>
        <v>3793160</v>
      </c>
      <c r="I7" s="75" t="str">
        <f t="shared" si="4"/>
        <v>A급</v>
      </c>
      <c r="J7" s="76">
        <f t="shared" si="5"/>
        <v>4</v>
      </c>
    </row>
    <row r="8" spans="1:10" s="69" customFormat="1" ht="12" x14ac:dyDescent="0.2">
      <c r="A8" s="75" t="s">
        <v>271</v>
      </c>
      <c r="B8" s="75" t="s">
        <v>272</v>
      </c>
      <c r="C8" s="75">
        <v>68</v>
      </c>
      <c r="D8" s="75" t="str">
        <f t="shared" si="0"/>
        <v>LM#모니터</v>
      </c>
      <c r="E8" s="83">
        <v>240000</v>
      </c>
      <c r="F8" s="83">
        <f t="shared" si="1"/>
        <v>307200</v>
      </c>
      <c r="G8" s="83">
        <f t="shared" si="2"/>
        <v>20889600</v>
      </c>
      <c r="H8" s="83">
        <f t="shared" si="3"/>
        <v>4569600</v>
      </c>
      <c r="I8" s="75" t="str">
        <f t="shared" si="4"/>
        <v>A급</v>
      </c>
      <c r="J8" s="76">
        <f t="shared" si="5"/>
        <v>1</v>
      </c>
    </row>
    <row r="9" spans="1:10" s="69" customFormat="1" ht="12" x14ac:dyDescent="0.2">
      <c r="A9" s="75" t="s">
        <v>283</v>
      </c>
      <c r="B9" s="75" t="s">
        <v>269</v>
      </c>
      <c r="C9" s="75">
        <v>34</v>
      </c>
      <c r="D9" s="75" t="str">
        <f t="shared" si="0"/>
        <v>SS#스캐너</v>
      </c>
      <c r="E9" s="83">
        <v>480000</v>
      </c>
      <c r="F9" s="83">
        <f t="shared" si="1"/>
        <v>614400</v>
      </c>
      <c r="G9" s="83">
        <f t="shared" si="2"/>
        <v>20889600</v>
      </c>
      <c r="H9" s="83">
        <f t="shared" si="3"/>
        <v>4569600</v>
      </c>
      <c r="I9" s="75" t="str">
        <f t="shared" si="4"/>
        <v>A급</v>
      </c>
      <c r="J9" s="76">
        <f t="shared" si="5"/>
        <v>1</v>
      </c>
    </row>
    <row r="10" spans="1:10" s="69" customFormat="1" ht="12" x14ac:dyDescent="0.2">
      <c r="A10" s="75" t="s">
        <v>284</v>
      </c>
      <c r="B10" s="75" t="s">
        <v>272</v>
      </c>
      <c r="C10" s="75">
        <v>48</v>
      </c>
      <c r="D10" s="75" t="str">
        <f t="shared" si="0"/>
        <v>LM#모니터</v>
      </c>
      <c r="E10" s="83">
        <v>340000</v>
      </c>
      <c r="F10" s="83">
        <f t="shared" si="1"/>
        <v>435200</v>
      </c>
      <c r="G10" s="83">
        <f t="shared" si="2"/>
        <v>20889600</v>
      </c>
      <c r="H10" s="83">
        <f t="shared" si="3"/>
        <v>4569600</v>
      </c>
      <c r="I10" s="75" t="str">
        <f t="shared" si="4"/>
        <v>A급</v>
      </c>
      <c r="J10" s="76">
        <f t="shared" si="5"/>
        <v>1</v>
      </c>
    </row>
    <row r="11" spans="1:10" s="69" customFormat="1" ht="12" x14ac:dyDescent="0.2">
      <c r="A11" s="75" t="s">
        <v>287</v>
      </c>
      <c r="B11" s="75" t="s">
        <v>274</v>
      </c>
      <c r="C11" s="75">
        <v>22</v>
      </c>
      <c r="D11" s="75" t="str">
        <f t="shared" si="0"/>
        <v>PT#프린터</v>
      </c>
      <c r="E11" s="83">
        <v>210000</v>
      </c>
      <c r="F11" s="83">
        <f t="shared" si="1"/>
        <v>268800</v>
      </c>
      <c r="G11" s="83">
        <f t="shared" si="2"/>
        <v>5913600</v>
      </c>
      <c r="H11" s="83">
        <f t="shared" si="3"/>
        <v>1293600</v>
      </c>
      <c r="I11" s="75" t="str">
        <f t="shared" si="4"/>
        <v>B급</v>
      </c>
      <c r="J11" s="76">
        <f t="shared" si="5"/>
        <v>14</v>
      </c>
    </row>
    <row r="12" spans="1:10" s="69" customFormat="1" ht="12" x14ac:dyDescent="0.2">
      <c r="A12" s="75" t="s">
        <v>289</v>
      </c>
      <c r="B12" s="75" t="s">
        <v>272</v>
      </c>
      <c r="C12" s="75">
        <v>23</v>
      </c>
      <c r="D12" s="75" t="str">
        <f t="shared" si="0"/>
        <v>LM#모니터</v>
      </c>
      <c r="E12" s="83">
        <v>210000</v>
      </c>
      <c r="F12" s="83">
        <f t="shared" si="1"/>
        <v>268800</v>
      </c>
      <c r="G12" s="83">
        <f t="shared" si="2"/>
        <v>6182400</v>
      </c>
      <c r="H12" s="83">
        <f t="shared" si="3"/>
        <v>1352400</v>
      </c>
      <c r="I12" s="75" t="str">
        <f t="shared" si="4"/>
        <v>B급</v>
      </c>
      <c r="J12" s="76">
        <f t="shared" si="5"/>
        <v>13</v>
      </c>
    </row>
    <row r="13" spans="1:10" s="69" customFormat="1" ht="12" x14ac:dyDescent="0.2">
      <c r="A13" s="75" t="s">
        <v>273</v>
      </c>
      <c r="B13" s="75" t="s">
        <v>274</v>
      </c>
      <c r="C13" s="75">
        <v>31</v>
      </c>
      <c r="D13" s="75" t="str">
        <f t="shared" si="0"/>
        <v>PT#프린터</v>
      </c>
      <c r="E13" s="83">
        <v>165000</v>
      </c>
      <c r="F13" s="83">
        <f t="shared" si="1"/>
        <v>211200</v>
      </c>
      <c r="G13" s="83">
        <f t="shared" si="2"/>
        <v>6547200</v>
      </c>
      <c r="H13" s="83">
        <f t="shared" si="3"/>
        <v>1432200</v>
      </c>
      <c r="I13" s="75" t="str">
        <f t="shared" si="4"/>
        <v>B급</v>
      </c>
      <c r="J13" s="76">
        <f t="shared" si="5"/>
        <v>12</v>
      </c>
    </row>
    <row r="14" spans="1:10" s="69" customFormat="1" ht="12" x14ac:dyDescent="0.2">
      <c r="A14" s="75" t="s">
        <v>275</v>
      </c>
      <c r="B14" s="75" t="s">
        <v>272</v>
      </c>
      <c r="C14" s="75">
        <v>39</v>
      </c>
      <c r="D14" s="75" t="str">
        <f t="shared" si="0"/>
        <v>LM#모니터</v>
      </c>
      <c r="E14" s="83">
        <v>150000</v>
      </c>
      <c r="F14" s="83">
        <f t="shared" si="1"/>
        <v>192000</v>
      </c>
      <c r="G14" s="83">
        <f t="shared" si="2"/>
        <v>7488000</v>
      </c>
      <c r="H14" s="83">
        <f t="shared" si="3"/>
        <v>1638000</v>
      </c>
      <c r="I14" s="75" t="str">
        <f t="shared" si="4"/>
        <v>B급</v>
      </c>
      <c r="J14" s="76">
        <f t="shared" si="5"/>
        <v>11</v>
      </c>
    </row>
    <row r="15" spans="1:10" s="69" customFormat="1" ht="12" x14ac:dyDescent="0.2">
      <c r="A15" s="75" t="s">
        <v>276</v>
      </c>
      <c r="B15" s="75" t="s">
        <v>274</v>
      </c>
      <c r="C15" s="75">
        <v>36</v>
      </c>
      <c r="D15" s="75" t="str">
        <f t="shared" si="0"/>
        <v>PT#프린터</v>
      </c>
      <c r="E15" s="83">
        <v>190000</v>
      </c>
      <c r="F15" s="83">
        <f t="shared" si="1"/>
        <v>243200</v>
      </c>
      <c r="G15" s="83">
        <f t="shared" si="2"/>
        <v>8755200</v>
      </c>
      <c r="H15" s="83">
        <f t="shared" si="3"/>
        <v>1915200</v>
      </c>
      <c r="I15" s="75" t="str">
        <f t="shared" si="4"/>
        <v>B급</v>
      </c>
      <c r="J15" s="76">
        <f t="shared" si="5"/>
        <v>10</v>
      </c>
    </row>
    <row r="16" spans="1:10" s="69" customFormat="1" ht="12" x14ac:dyDescent="0.2">
      <c r="A16" s="75" t="s">
        <v>288</v>
      </c>
      <c r="B16" s="75" t="s">
        <v>274</v>
      </c>
      <c r="C16" s="75">
        <v>45</v>
      </c>
      <c r="D16" s="75" t="str">
        <f t="shared" si="0"/>
        <v>PT#프린터</v>
      </c>
      <c r="E16" s="83">
        <v>170000</v>
      </c>
      <c r="F16" s="83">
        <f t="shared" si="1"/>
        <v>217600</v>
      </c>
      <c r="G16" s="83">
        <f t="shared" si="2"/>
        <v>9792000</v>
      </c>
      <c r="H16" s="83">
        <f t="shared" si="3"/>
        <v>2142000</v>
      </c>
      <c r="I16" s="75" t="str">
        <f t="shared" si="4"/>
        <v>B급</v>
      </c>
      <c r="J16" s="76">
        <f t="shared" si="5"/>
        <v>9</v>
      </c>
    </row>
    <row r="17" spans="1:10" s="69" customFormat="1" ht="12" x14ac:dyDescent="0.2">
      <c r="A17" s="75" t="s">
        <v>277</v>
      </c>
      <c r="B17" s="75" t="s">
        <v>274</v>
      </c>
      <c r="C17" s="75">
        <v>48</v>
      </c>
      <c r="D17" s="75" t="str">
        <f t="shared" si="0"/>
        <v>PT#프린터</v>
      </c>
      <c r="E17" s="83">
        <v>180000</v>
      </c>
      <c r="F17" s="83">
        <f t="shared" si="1"/>
        <v>230400</v>
      </c>
      <c r="G17" s="83">
        <f t="shared" si="2"/>
        <v>11059200</v>
      </c>
      <c r="H17" s="83">
        <f t="shared" si="3"/>
        <v>2419200</v>
      </c>
      <c r="I17" s="75" t="str">
        <f t="shared" si="4"/>
        <v>B급</v>
      </c>
      <c r="J17" s="76">
        <f t="shared" si="5"/>
        <v>8</v>
      </c>
    </row>
    <row r="18" spans="1:10" s="69" customFormat="1" ht="12" x14ac:dyDescent="0.2">
      <c r="A18" s="75" t="s">
        <v>291</v>
      </c>
      <c r="B18" s="75" t="s">
        <v>281</v>
      </c>
      <c r="C18" s="75">
        <v>22</v>
      </c>
      <c r="D18" s="75" t="str">
        <f t="shared" si="0"/>
        <v>MS#마우스</v>
      </c>
      <c r="E18" s="83">
        <v>6200</v>
      </c>
      <c r="F18" s="83">
        <f t="shared" si="1"/>
        <v>7936</v>
      </c>
      <c r="G18" s="83">
        <f t="shared" si="2"/>
        <v>174592</v>
      </c>
      <c r="H18" s="83">
        <f t="shared" si="3"/>
        <v>38192</v>
      </c>
      <c r="I18" s="75" t="str">
        <f t="shared" si="4"/>
        <v>C급</v>
      </c>
      <c r="J18" s="76">
        <f t="shared" si="5"/>
        <v>20</v>
      </c>
    </row>
    <row r="19" spans="1:10" s="69" customFormat="1" ht="12" x14ac:dyDescent="0.2">
      <c r="A19" s="75" t="s">
        <v>282</v>
      </c>
      <c r="B19" s="75" t="s">
        <v>281</v>
      </c>
      <c r="C19" s="75">
        <v>43</v>
      </c>
      <c r="D19" s="75" t="str">
        <f t="shared" si="0"/>
        <v>MS#마우스</v>
      </c>
      <c r="E19" s="83">
        <v>6800</v>
      </c>
      <c r="F19" s="83">
        <f t="shared" si="1"/>
        <v>8704</v>
      </c>
      <c r="G19" s="83">
        <f t="shared" si="2"/>
        <v>374272</v>
      </c>
      <c r="H19" s="83">
        <f t="shared" si="3"/>
        <v>81872</v>
      </c>
      <c r="I19" s="75" t="str">
        <f t="shared" si="4"/>
        <v>C급</v>
      </c>
      <c r="J19" s="76">
        <f t="shared" si="5"/>
        <v>19</v>
      </c>
    </row>
    <row r="20" spans="1:10" s="69" customFormat="1" ht="12" x14ac:dyDescent="0.2">
      <c r="A20" s="75" t="s">
        <v>280</v>
      </c>
      <c r="B20" s="75" t="s">
        <v>281</v>
      </c>
      <c r="C20" s="75">
        <v>25</v>
      </c>
      <c r="D20" s="75" t="str">
        <f t="shared" si="0"/>
        <v>MS#마우스</v>
      </c>
      <c r="E20" s="83">
        <v>15400</v>
      </c>
      <c r="F20" s="83">
        <f t="shared" si="1"/>
        <v>19712</v>
      </c>
      <c r="G20" s="83">
        <f t="shared" si="2"/>
        <v>492800</v>
      </c>
      <c r="H20" s="83">
        <f t="shared" si="3"/>
        <v>107800</v>
      </c>
      <c r="I20" s="75" t="str">
        <f t="shared" si="4"/>
        <v>C급</v>
      </c>
      <c r="J20" s="76">
        <f t="shared" si="5"/>
        <v>18</v>
      </c>
    </row>
    <row r="21" spans="1:10" s="69" customFormat="1" ht="12" x14ac:dyDescent="0.2">
      <c r="A21" s="75" t="s">
        <v>285</v>
      </c>
      <c r="B21" s="75" t="s">
        <v>274</v>
      </c>
      <c r="C21" s="75">
        <v>21</v>
      </c>
      <c r="D21" s="75" t="str">
        <f t="shared" si="0"/>
        <v>PT#프린터</v>
      </c>
      <c r="E21" s="83">
        <v>130000</v>
      </c>
      <c r="F21" s="83">
        <f t="shared" si="1"/>
        <v>166400</v>
      </c>
      <c r="G21" s="83">
        <f t="shared" si="2"/>
        <v>3494400</v>
      </c>
      <c r="H21" s="83">
        <f t="shared" si="3"/>
        <v>764400</v>
      </c>
      <c r="I21" s="75" t="str">
        <f t="shared" si="4"/>
        <v>C급</v>
      </c>
      <c r="J21" s="76">
        <f t="shared" si="5"/>
        <v>17</v>
      </c>
    </row>
    <row r="22" spans="1:10" s="69" customFormat="1" ht="12" x14ac:dyDescent="0.2">
      <c r="A22" s="75" t="s">
        <v>290</v>
      </c>
      <c r="B22" s="75" t="s">
        <v>274</v>
      </c>
      <c r="C22" s="75">
        <v>28</v>
      </c>
      <c r="D22" s="75" t="str">
        <f t="shared" si="0"/>
        <v>PT#프린터</v>
      </c>
      <c r="E22" s="83">
        <v>110000</v>
      </c>
      <c r="F22" s="83">
        <f t="shared" si="1"/>
        <v>140800</v>
      </c>
      <c r="G22" s="83">
        <f t="shared" si="2"/>
        <v>3942400</v>
      </c>
      <c r="H22" s="83">
        <f t="shared" si="3"/>
        <v>862400</v>
      </c>
      <c r="I22" s="75" t="str">
        <f t="shared" si="4"/>
        <v>C급</v>
      </c>
      <c r="J22" s="76">
        <f t="shared" si="5"/>
        <v>16</v>
      </c>
    </row>
    <row r="23" spans="1:10" s="69" customFormat="1" ht="12" x14ac:dyDescent="0.2">
      <c r="A23" s="78" t="s">
        <v>286</v>
      </c>
      <c r="B23" s="78" t="s">
        <v>272</v>
      </c>
      <c r="C23" s="78">
        <v>27</v>
      </c>
      <c r="D23" s="78" t="str">
        <f t="shared" si="0"/>
        <v>LM#모니터</v>
      </c>
      <c r="E23" s="85">
        <v>120000</v>
      </c>
      <c r="F23" s="85">
        <f t="shared" si="1"/>
        <v>153600</v>
      </c>
      <c r="G23" s="85">
        <f t="shared" si="2"/>
        <v>4147200</v>
      </c>
      <c r="H23" s="85">
        <f t="shared" si="3"/>
        <v>907200</v>
      </c>
      <c r="I23" s="78" t="str">
        <f t="shared" si="4"/>
        <v>C급</v>
      </c>
      <c r="J23" s="79">
        <f t="shared" si="5"/>
        <v>15</v>
      </c>
    </row>
    <row r="24" spans="1:10" s="110" customFormat="1" ht="11.25" x14ac:dyDescent="0.2">
      <c r="A24" s="216" t="s">
        <v>297</v>
      </c>
      <c r="B24" s="216"/>
      <c r="C24" s="216"/>
      <c r="D24" s="216"/>
      <c r="E24" s="217" t="s">
        <v>302</v>
      </c>
      <c r="F24" s="218"/>
      <c r="G24" s="109">
        <f>SUMIF($B$4:$B$23,$E24,G$4:G$23)</f>
        <v>61907200</v>
      </c>
      <c r="H24" s="109">
        <f>SUMIF($B$4:$B$23,$E24,H$4:H$23)</f>
        <v>13542200</v>
      </c>
      <c r="I24" s="220"/>
      <c r="J24" s="220"/>
    </row>
    <row r="25" spans="1:10" s="110" customFormat="1" ht="11.25" x14ac:dyDescent="0.2">
      <c r="A25" s="216"/>
      <c r="B25" s="216"/>
      <c r="C25" s="216"/>
      <c r="D25" s="216"/>
      <c r="E25" s="217" t="s">
        <v>303</v>
      </c>
      <c r="F25" s="218"/>
      <c r="G25" s="109">
        <f>SUMIF($B$4:$B$23,$E25,G$4:G$23)</f>
        <v>71961600</v>
      </c>
      <c r="H25" s="109">
        <f>SUMIF($B$4:$B$23,$E25,H$4:H$23)</f>
        <v>15741600</v>
      </c>
      <c r="I25" s="220"/>
      <c r="J25" s="220"/>
    </row>
    <row r="26" spans="1:10" s="110" customFormat="1" ht="24" customHeight="1" x14ac:dyDescent="0.2">
      <c r="A26" s="221" t="s">
        <v>306</v>
      </c>
      <c r="B26" s="221"/>
      <c r="C26" s="221"/>
      <c r="D26" s="221"/>
      <c r="E26" s="221"/>
      <c r="F26" s="221"/>
      <c r="G26" s="221"/>
      <c r="H26" s="111">
        <f>SUMIFS(H4:H23,B4:B23,"마우스",F4:F23,"&gt;=7000")</f>
        <v>227864</v>
      </c>
      <c r="I26" s="220"/>
      <c r="J26" s="220"/>
    </row>
    <row r="27" spans="1:10" s="110" customFormat="1" ht="11.25" x14ac:dyDescent="0.2">
      <c r="A27" s="216" t="s">
        <v>298</v>
      </c>
      <c r="B27" s="216"/>
      <c r="C27" s="216"/>
      <c r="D27" s="216"/>
      <c r="E27" s="216"/>
      <c r="F27" s="216"/>
      <c r="G27" s="216"/>
      <c r="H27" s="109">
        <f>SUMIF(I4:I23,"A급",H4:H23)</f>
        <v>26324760</v>
      </c>
      <c r="I27" s="220"/>
      <c r="J27" s="220"/>
    </row>
    <row r="28" spans="1:10" s="110" customFormat="1" ht="24" customHeight="1" x14ac:dyDescent="0.2">
      <c r="A28" s="222" t="s">
        <v>301</v>
      </c>
      <c r="B28" s="222"/>
      <c r="C28" s="222"/>
      <c r="D28" s="222"/>
      <c r="E28" s="222"/>
      <c r="F28" s="222"/>
      <c r="G28" s="222"/>
      <c r="H28" s="109">
        <f>SUMIFS(H4:H23,H4:H23,"&gt;=1000000",H4:H23,"&lt;2000000")</f>
        <v>7631400</v>
      </c>
      <c r="I28" s="220"/>
      <c r="J28" s="220"/>
    </row>
    <row r="29" spans="1:10" s="110" customFormat="1" ht="11.25" x14ac:dyDescent="0.2">
      <c r="A29" s="215" t="s">
        <v>304</v>
      </c>
      <c r="B29" s="216"/>
      <c r="C29" s="216"/>
      <c r="D29" s="216"/>
      <c r="E29" s="216"/>
      <c r="F29" s="216"/>
      <c r="G29" s="216"/>
      <c r="H29" s="216"/>
      <c r="I29" s="216"/>
      <c r="J29" s="216"/>
    </row>
    <row r="30" spans="1:10" s="110" customFormat="1" ht="11.25" x14ac:dyDescent="0.2">
      <c r="A30" s="215" t="s">
        <v>305</v>
      </c>
      <c r="B30" s="216"/>
      <c r="C30" s="216"/>
      <c r="D30" s="216"/>
      <c r="E30" s="216"/>
      <c r="F30" s="216"/>
      <c r="G30" s="216"/>
      <c r="H30" s="216"/>
      <c r="I30" s="216"/>
      <c r="J30" s="216"/>
    </row>
    <row r="31" spans="1:10" s="69" customFormat="1" ht="12" x14ac:dyDescent="0.2"/>
    <row r="32" spans="1:10" s="69" customFormat="1" ht="12" x14ac:dyDescent="0.2"/>
    <row r="33" s="69" customFormat="1" ht="12" x14ac:dyDescent="0.2"/>
    <row r="34" s="69" customFormat="1" ht="12" x14ac:dyDescent="0.2"/>
  </sheetData>
  <sortState ref="A4:J23">
    <sortCondition ref="I4:I23"/>
    <sortCondition ref="H4:H23"/>
  </sortState>
  <mergeCells count="10">
    <mergeCell ref="A29:J29"/>
    <mergeCell ref="A30:J30"/>
    <mergeCell ref="E24:F24"/>
    <mergeCell ref="E25:F25"/>
    <mergeCell ref="A2:J2"/>
    <mergeCell ref="A24:D25"/>
    <mergeCell ref="I24:J28"/>
    <mergeCell ref="A26:G26"/>
    <mergeCell ref="A27:G27"/>
    <mergeCell ref="A28:G28"/>
  </mergeCells>
  <phoneticPr fontId="3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이름이 지정된 범위</vt:lpstr>
      </vt:variant>
      <vt:variant>
        <vt:i4>4</vt:i4>
      </vt:variant>
    </vt:vector>
  </HeadingPairs>
  <TitlesOfParts>
    <vt:vector size="22" baseType="lpstr">
      <vt:lpstr>SP7</vt:lpstr>
      <vt:lpstr>SP7작업표</vt:lpstr>
      <vt:lpstr>SP7완</vt:lpstr>
      <vt:lpstr>SP8</vt:lpstr>
      <vt:lpstr>SP8작업표</vt:lpstr>
      <vt:lpstr>SP8완</vt:lpstr>
      <vt:lpstr>SP9</vt:lpstr>
      <vt:lpstr>SP9작업표</vt:lpstr>
      <vt:lpstr>SP9완</vt:lpstr>
      <vt:lpstr>SP10</vt:lpstr>
      <vt:lpstr>SP10작업표</vt:lpstr>
      <vt:lpstr>SP10완</vt:lpstr>
      <vt:lpstr>SP11</vt:lpstr>
      <vt:lpstr>SP11작업표</vt:lpstr>
      <vt:lpstr>SP11완</vt:lpstr>
      <vt:lpstr>SP12</vt:lpstr>
      <vt:lpstr>SP12작업표</vt:lpstr>
      <vt:lpstr>SP12완</vt:lpstr>
      <vt:lpstr>SP10완!Print_Area</vt:lpstr>
      <vt:lpstr>SP11완!Print_Area</vt:lpstr>
      <vt:lpstr>SP12완!Print_Area</vt:lpstr>
      <vt:lpstr>SP8완!Print_Area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2019-11-11T23:53:09Z</dcterms:modified>
</cp:coreProperties>
</file>