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12e76bdfa434146/Documents/Projet 02/moonshot/reports/templates/"/>
    </mc:Choice>
  </mc:AlternateContent>
  <xr:revisionPtr revIDLastSave="1030" documentId="13_ncr:1_{BB587B11-3DD4-41F6-9455-588F5FC05102}" xr6:coauthVersionLast="47" xr6:coauthVersionMax="47" xr10:uidLastSave="{89BC76CB-955B-47D7-8790-75ED6AF9C20F}"/>
  <bookViews>
    <workbookView xWindow="-25035" yWindow="1320" windowWidth="21600" windowHeight="11385" xr2:uid="{9DB76FDD-CFE2-43F9-8644-10A1BAD3A1A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6" i="1" l="1"/>
  <c r="B105" i="1"/>
  <c r="CV3" i="2"/>
  <c r="CV2" i="2"/>
  <c r="CU3" i="2"/>
  <c r="CU2" i="2"/>
  <c r="B111" i="1"/>
  <c r="B110" i="1"/>
  <c r="B61" i="1" l="1"/>
  <c r="B62" i="1"/>
  <c r="B63" i="1"/>
  <c r="B47" i="1"/>
  <c r="B48" i="1"/>
  <c r="B49" i="1"/>
  <c r="B50" i="1"/>
  <c r="B14" i="1"/>
  <c r="B13" i="1"/>
  <c r="B83" i="1"/>
  <c r="B82" i="1"/>
  <c r="B81" i="1"/>
  <c r="B80" i="1"/>
  <c r="B70" i="1"/>
  <c r="B69" i="1"/>
  <c r="B68" i="1"/>
  <c r="B129" i="1"/>
  <c r="B128" i="1"/>
  <c r="B127" i="1"/>
  <c r="B126" i="1"/>
  <c r="B130" i="1"/>
  <c r="B122" i="1"/>
  <c r="B121" i="1"/>
  <c r="B120" i="1"/>
  <c r="B119" i="1"/>
  <c r="B118" i="1"/>
  <c r="B117" i="1"/>
  <c r="B116" i="1"/>
  <c r="B115" i="1"/>
  <c r="B99" i="1"/>
  <c r="B100" i="1"/>
  <c r="B93" i="1"/>
  <c r="B97" i="1"/>
  <c r="B96" i="1"/>
  <c r="B95" i="1"/>
  <c r="B94" i="1"/>
  <c r="B89" i="1"/>
  <c r="B91" i="1"/>
  <c r="B90" i="1"/>
  <c r="B88" i="1"/>
  <c r="B87" i="1"/>
  <c r="B76" i="1"/>
  <c r="B75" i="1"/>
  <c r="B74" i="1"/>
  <c r="B73" i="1"/>
  <c r="B71" i="1"/>
  <c r="B67" i="1"/>
  <c r="B54" i="1"/>
  <c r="B55" i="1"/>
  <c r="B20" i="1" l="1"/>
  <c r="B12" i="1"/>
  <c r="B32" i="1" l="1"/>
  <c r="D32" i="1" s="1"/>
  <c r="B28" i="1"/>
  <c r="B27" i="1"/>
  <c r="B23" i="1"/>
  <c r="D23" i="1" s="1"/>
  <c r="B33" i="1"/>
  <c r="B31" i="1"/>
  <c r="B30" i="1"/>
  <c r="B29" i="1"/>
  <c r="B26" i="1"/>
  <c r="B25" i="1"/>
  <c r="B22" i="1"/>
  <c r="B24" i="1"/>
  <c r="D24" i="1" s="1"/>
  <c r="B21" i="1"/>
  <c r="D21" i="1" s="1"/>
  <c r="B18" i="1"/>
  <c r="B17" i="1"/>
  <c r="B16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B58" i="1"/>
  <c r="B57" i="1"/>
  <c r="B56" i="1"/>
  <c r="B10" i="1"/>
  <c r="D80" i="1" s="1"/>
  <c r="B45" i="1"/>
  <c r="B44" i="1"/>
  <c r="B43" i="1"/>
  <c r="B42" i="1"/>
  <c r="B40" i="1"/>
  <c r="B39" i="1"/>
  <c r="B38" i="1"/>
  <c r="B37" i="1"/>
  <c r="M20" i="1" l="1"/>
  <c r="K22" i="1"/>
  <c r="I24" i="1"/>
  <c r="I21" i="1"/>
  <c r="L22" i="1"/>
  <c r="J24" i="1"/>
  <c r="K24" i="1"/>
  <c r="M22" i="1"/>
  <c r="J21" i="1"/>
  <c r="D130" i="1"/>
  <c r="D116" i="1"/>
  <c r="D117" i="1"/>
  <c r="D122" i="1"/>
  <c r="D129" i="1"/>
  <c r="D119" i="1"/>
  <c r="D115" i="1"/>
  <c r="D121" i="1"/>
  <c r="D128" i="1"/>
  <c r="D118" i="1"/>
  <c r="D127" i="1"/>
  <c r="D120" i="1"/>
  <c r="D126" i="1"/>
  <c r="D97" i="1"/>
  <c r="D96" i="1"/>
  <c r="D95" i="1"/>
  <c r="D94" i="1"/>
  <c r="D99" i="1"/>
  <c r="D93" i="1"/>
  <c r="D100" i="1"/>
  <c r="D90" i="1"/>
  <c r="D91" i="1"/>
  <c r="D26" i="1"/>
  <c r="D73" i="1"/>
  <c r="D81" i="1"/>
  <c r="D82" i="1"/>
  <c r="D89" i="1"/>
  <c r="D31" i="1"/>
  <c r="D88" i="1"/>
  <c r="D87" i="1"/>
  <c r="D83" i="1"/>
  <c r="D30" i="1"/>
  <c r="D33" i="1"/>
  <c r="D22" i="1"/>
  <c r="D27" i="1"/>
  <c r="D76" i="1"/>
  <c r="D25" i="1"/>
  <c r="D28" i="1"/>
  <c r="D75" i="1"/>
  <c r="D74" i="1"/>
  <c r="D29" i="1"/>
  <c r="D67" i="1"/>
  <c r="D68" i="1"/>
  <c r="D69" i="1"/>
  <c r="D70" i="1"/>
  <c r="L20" i="1"/>
  <c r="J22" i="1"/>
  <c r="M23" i="1"/>
  <c r="D71" i="1"/>
  <c r="K21" i="1"/>
  <c r="I23" i="1"/>
  <c r="L24" i="1"/>
  <c r="M24" i="1"/>
  <c r="J20" i="1"/>
  <c r="M21" i="1"/>
  <c r="K23" i="1"/>
  <c r="K20" i="1"/>
  <c r="I22" i="1"/>
  <c r="L23" i="1"/>
  <c r="L21" i="1"/>
  <c r="J23" i="1"/>
  <c r="I20" i="1"/>
  <c r="D12" i="1"/>
  <c r="D61" i="1"/>
  <c r="D62" i="1"/>
  <c r="D63" i="1"/>
  <c r="D54" i="1"/>
  <c r="D13" i="1"/>
  <c r="D38" i="1"/>
  <c r="D39" i="1"/>
  <c r="D55" i="1"/>
  <c r="D40" i="1"/>
  <c r="D56" i="1"/>
  <c r="D37" i="1"/>
  <c r="D57" i="1"/>
  <c r="D58" i="1"/>
  <c r="D16" i="1"/>
  <c r="D17" i="1"/>
  <c r="D18" i="1"/>
  <c r="D20" i="1"/>
</calcChain>
</file>

<file path=xl/sharedStrings.xml><?xml version="1.0" encoding="utf-8"?>
<sst xmlns="http://schemas.openxmlformats.org/spreadsheetml/2006/main" count="298" uniqueCount="219">
  <si>
    <t>Preadvise ID</t>
  </si>
  <si>
    <t>Record date</t>
  </si>
  <si>
    <t>Last modified date</t>
  </si>
  <si>
    <t>Country location</t>
  </si>
  <si>
    <t>Company name</t>
  </si>
  <si>
    <t>Sugar ID</t>
  </si>
  <si>
    <t>Has Airfreight</t>
  </si>
  <si>
    <t>Has Seafreight FCL</t>
  </si>
  <si>
    <t>Has Seafreight LCL</t>
  </si>
  <si>
    <t>Has Railfreight FCL</t>
  </si>
  <si>
    <t>Airfreight volumes</t>
  </si>
  <si>
    <t>Seafreight FCL volumes</t>
  </si>
  <si>
    <t>Seafreight LCL volumes</t>
  </si>
  <si>
    <t>Railfreight FCL volumes</t>
  </si>
  <si>
    <t>Africa ➔ Africa</t>
  </si>
  <si>
    <t>Africa ➔ Americas</t>
  </si>
  <si>
    <t>Africa ➔ Asia</t>
  </si>
  <si>
    <t>Africa ➔ Europe</t>
  </si>
  <si>
    <t>Africa ➔ Oceania</t>
  </si>
  <si>
    <t>Americas ➔ Africa</t>
  </si>
  <si>
    <t>Americas ➔ Americas</t>
  </si>
  <si>
    <t>Americas ➔ Asia</t>
  </si>
  <si>
    <t>Americas ➔ Europe</t>
  </si>
  <si>
    <t>Americas ➔ Oceania</t>
  </si>
  <si>
    <t>Asia ➔ Africa</t>
  </si>
  <si>
    <t>Asia ➔ Americas</t>
  </si>
  <si>
    <t>Asia ➔ Asia</t>
  </si>
  <si>
    <t>Asia ➔ Europe</t>
  </si>
  <si>
    <t>Asia ➔ Oceania</t>
  </si>
  <si>
    <t>Europe ➔ Africa</t>
  </si>
  <si>
    <t>Europe ➔ Americas</t>
  </si>
  <si>
    <t>Europe ➔ Asia</t>
  </si>
  <si>
    <t>Europe ➔ Europe</t>
  </si>
  <si>
    <t>Europe ➔ Oceania</t>
  </si>
  <si>
    <t>Oceania ➔ Africa</t>
  </si>
  <si>
    <t>Oceania ➔ Americas</t>
  </si>
  <si>
    <t>Oceania ➔ Asia</t>
  </si>
  <si>
    <t>Oceania ➔ Europe</t>
  </si>
  <si>
    <t>Oceania ➔ Oceania</t>
  </si>
  <si>
    <t>Rhenus Air &amp; Ocean history</t>
  </si>
  <si>
    <t>Rhenus Road history</t>
  </si>
  <si>
    <t>Rhenus Contract Logistics history</t>
  </si>
  <si>
    <t>Rhenus Port Logistics history</t>
  </si>
  <si>
    <t>Customer segment</t>
  </si>
  <si>
    <t>Scope</t>
  </si>
  <si>
    <t>Time range span</t>
  </si>
  <si>
    <t>Geographic span range</t>
  </si>
  <si>
    <t>Tender office</t>
  </si>
  <si>
    <t>World area</t>
  </si>
  <si>
    <t>Schedule &amp; Area of responsibility</t>
  </si>
  <si>
    <t>Transportation modes &amp; volumes</t>
  </si>
  <si>
    <t>Expected vol. related to Airfreight (estimated)</t>
  </si>
  <si>
    <t>Expected vol. related to Seafreight FCL (estimated)</t>
  </si>
  <si>
    <t>Expected vol. related to Seafreight LCL (estimated)</t>
  </si>
  <si>
    <t>Expected vol. related to Railfreight FCL (estimated)</t>
  </si>
  <si>
    <t>Tradelanes</t>
  </si>
  <si>
    <t>From Africa</t>
  </si>
  <si>
    <t>From Americas</t>
  </si>
  <si>
    <t>From Asia</t>
  </si>
  <si>
    <t>From Europe</t>
  </si>
  <si>
    <t>From Oceania</t>
  </si>
  <si>
    <t>To Africa</t>
  </si>
  <si>
    <t>To Americas</t>
  </si>
  <si>
    <t>To Asia</t>
  </si>
  <si>
    <t>To Europe</t>
  </si>
  <si>
    <t>To Oceania</t>
  </si>
  <si>
    <t>Commercial history</t>
  </si>
  <si>
    <t>related to North America</t>
  </si>
  <si>
    <t>related to Middle Africa, Western Africa, Eastern Africa</t>
  </si>
  <si>
    <t>related to Northern Africa</t>
  </si>
  <si>
    <t>Absolute values</t>
  </si>
  <si>
    <t>Percentage values</t>
  </si>
  <si>
    <t>If applicable (Only for prospects with an "Air &amp; Ocean" history):</t>
  </si>
  <si>
    <t>related to the Southern, Eastern, South-Eastern Asia &amp; Melanesia</t>
  </si>
  <si>
    <t>related to Australia, New Zealand, Polynesia &amp; Micronesia</t>
  </si>
  <si>
    <t>related to Northern Europe</t>
  </si>
  <si>
    <t>related to Southern Europe</t>
  </si>
  <si>
    <t>related to Western Europe</t>
  </si>
  <si>
    <t>related to Western Asia</t>
  </si>
  <si>
    <t>related to Central Asia</t>
  </si>
  <si>
    <t>related to Southern Africa</t>
  </si>
  <si>
    <t>related to South America</t>
  </si>
  <si>
    <t>related to Central America &amp; the Carribeans</t>
  </si>
  <si>
    <t>related to Eastern Europe</t>
  </si>
  <si>
    <t>Number of registration(s) related to the AM area</t>
  </si>
  <si>
    <t>Number of registration(s) related to the AP area</t>
  </si>
  <si>
    <t>Number of registration(s) related to the EU area</t>
  </si>
  <si>
    <t>Number of registration(s) related to Airfreight</t>
  </si>
  <si>
    <t>Number of registration(s) related to Seafreight FCL</t>
  </si>
  <si>
    <t>Number of registration(s) related to Seafreight LCL</t>
  </si>
  <si>
    <t>Number of registration(s) related to Railfreight FCL</t>
  </si>
  <si>
    <t>Number of registration(s) with a "No history" prospect</t>
  </si>
  <si>
    <t>Number of registration(s) with an "Air &amp; Ocean" history prospect</t>
  </si>
  <si>
    <t>Number of registration(s) with a "Road" history prospect</t>
  </si>
  <si>
    <t>Number of registration(s) with a "Contract Log." history prospect</t>
  </si>
  <si>
    <t>Number of registration(s) with a "Port Log." history prospect</t>
  </si>
  <si>
    <t>Number of registration(s) with a "A" prospect</t>
  </si>
  <si>
    <t>Number of registration(s) with a "B" prospect</t>
  </si>
  <si>
    <t>Number of registration(s) with a "C" prospect</t>
  </si>
  <si>
    <t>Number of registered tender(s)</t>
  </si>
  <si>
    <t>of all registered opportunities</t>
  </si>
  <si>
    <t>Number of registration(s) with a prospect visited for less than 6 months</t>
  </si>
  <si>
    <t>Number of registration(s) with a prospect visited between 6~12 months</t>
  </si>
  <si>
    <t>Number of registration(s) with a prospect visited between 1~2 years</t>
  </si>
  <si>
    <t>Number of registration(s) with a prospect visited for more than 2 years</t>
  </si>
  <si>
    <t>Number of registration(s) with a prospect visited for more than 5 years</t>
  </si>
  <si>
    <t>Number of registration(s) with a prospect visited on a weekly basis</t>
  </si>
  <si>
    <t>Number of registration(s) with a prospect visited on a monthly basis</t>
  </si>
  <si>
    <t>Number of registration(s) with a prospect visited on a yearly basis</t>
  </si>
  <si>
    <t>Number of registration(s) with a prospect visited on a quarterly basis</t>
  </si>
  <si>
    <t>Competition data</t>
  </si>
  <si>
    <t>Number of registration(s) awarding 1 single freight forwarder</t>
  </si>
  <si>
    <t>Number of registration(s) awarding 3 or more freight forwarders</t>
  </si>
  <si>
    <t>Number of registration(s) awarding 2 to 3 freight forwarders</t>
  </si>
  <si>
    <t>Number of registration(s) awarding 1 or 2 freight forwarder(s)</t>
  </si>
  <si>
    <t>Number of registration(s) with an unknown awarding process</t>
  </si>
  <si>
    <t>Awarding data</t>
  </si>
  <si>
    <t>Number of registration(s) emphasizing price competitiveness</t>
  </si>
  <si>
    <t>Number of registration(s) emphasizing relationship history</t>
  </si>
  <si>
    <t>Number of registration(s) emphasizing an answer for all lanes</t>
  </si>
  <si>
    <t>Number of registration(s) emphasizing an extended offer</t>
  </si>
  <si>
    <t>Number of registration(s) where the focus point is unknown</t>
  </si>
  <si>
    <t>Number of registration(s) where a feedback can be provided</t>
  </si>
  <si>
    <t>Number of registration(s) where a feedback is not provided</t>
  </si>
  <si>
    <t>Main processed data</t>
  </si>
  <si>
    <t>Secondary processed data</t>
  </si>
  <si>
    <t>Schedule</t>
  </si>
  <si>
    <t>Average time between the tender reception &amp; tender registration</t>
  </si>
  <si>
    <t>Average contract period</t>
  </si>
  <si>
    <t>Average payment terms requested</t>
  </si>
  <si>
    <t>Average expected Seafreight FCL vol. (estimated) (per registration)</t>
  </si>
  <si>
    <t>Average expected Airfreight vol. (estimated) (per registration)</t>
  </si>
  <si>
    <t>Average expected Seafreight LCL vol. (estimated) (per registration)</t>
  </si>
  <si>
    <t>Average expected Railfreight FCL vol. (estimated) (per registration)</t>
  </si>
  <si>
    <t>Number of registered tender(s) which were preadvised</t>
  </si>
  <si>
    <t>Number of registered tender(s) which were not preadvised</t>
  </si>
  <si>
    <t>Contract period and payment terms</t>
  </si>
  <si>
    <t>Bidding requirements</t>
  </si>
  <si>
    <t>Number of registration(s) requiring Track &amp; Trace</t>
  </si>
  <si>
    <t>Number of registration(s) requiring documents management</t>
  </si>
  <si>
    <t>Number of registration(s) requiring basic reporting</t>
  </si>
  <si>
    <t>Number of registration(s) requiring lead time reporting</t>
  </si>
  <si>
    <t>Number of registration(s) requiring EDI development &amp; connection</t>
  </si>
  <si>
    <t>Number of registration(s) requiring order management</t>
  </si>
  <si>
    <t>Number of registration(s) requiring a control tower setup</t>
  </si>
  <si>
    <t>Number of registration(s) not requiring any of the above</t>
  </si>
  <si>
    <t>Bidding restrictions</t>
  </si>
  <si>
    <t>Number of registration(s) where all lanes must be quoted</t>
  </si>
  <si>
    <t>Number of registration(s) where all lanes per region must be quoted</t>
  </si>
  <si>
    <t>Number of registration(s) where all lanes per country must be quoted</t>
  </si>
  <si>
    <t>Number of registration(s) where all lanes per trsp. mode must be quoted</t>
  </si>
  <si>
    <r>
      <t>Number of registration(s) where "</t>
    </r>
    <r>
      <rPr>
        <i/>
        <sz val="11"/>
        <color theme="1"/>
        <rFont val="Fira Sans"/>
        <family val="2"/>
        <scheme val="minor"/>
      </rPr>
      <t>cherry picking</t>
    </r>
    <r>
      <rPr>
        <sz val="11"/>
        <color theme="1"/>
        <rFont val="Fira Sans"/>
        <family val="2"/>
        <scheme val="minor"/>
      </rPr>
      <t>" is allowed</t>
    </r>
  </si>
  <si>
    <t>Register ID</t>
  </si>
  <si>
    <t>Is preadvised</t>
  </si>
  <si>
    <t>Business vertical</t>
  </si>
  <si>
    <t>Contact is decision maker</t>
  </si>
  <si>
    <t>Has DG goods</t>
  </si>
  <si>
    <t>Has pharma goods</t>
  </si>
  <si>
    <t>Has cold chain</t>
  </si>
  <si>
    <t>Has time critical</t>
  </si>
  <si>
    <t xml:space="preserve">Average time between the tender registration &amp; tender deadline (round 1) </t>
  </si>
  <si>
    <t>Has linked RFI</t>
  </si>
  <si>
    <t>Number of registered tender(s) with a RFI</t>
  </si>
  <si>
    <t>RFI deadline</t>
  </si>
  <si>
    <t>Tender reception date</t>
  </si>
  <si>
    <t>Tender deadline</t>
  </si>
  <si>
    <t>Tender decision date</t>
  </si>
  <si>
    <t>Start of business date</t>
  </si>
  <si>
    <t>Amount of lanes</t>
  </si>
  <si>
    <t>Has Port-to-Port lanes</t>
  </si>
  <si>
    <t>Has Dort-to-Door lanes</t>
  </si>
  <si>
    <t>Has Dort-to-Port lanes</t>
  </si>
  <si>
    <t>Has Port-to-Door lanes</t>
  </si>
  <si>
    <t>Airfreight rates validity requested</t>
  </si>
  <si>
    <t>Seafreight FCL rates validity requested</t>
  </si>
  <si>
    <t>Seafreight LCL rates validity requested</t>
  </si>
  <si>
    <t>Railfreight FCL rates validity requested</t>
  </si>
  <si>
    <t>Contract period</t>
  </si>
  <si>
    <t>Payment terms</t>
  </si>
  <si>
    <t>Restrictions - All lanes must be quoted</t>
  </si>
  <si>
    <t>Restrictions - All lanes per country must be quoted</t>
  </si>
  <si>
    <t>Restrictions - All lanes per region must be quoted</t>
  </si>
  <si>
    <t>Restrictions - All lanes per transport mode must be quoted</t>
  </si>
  <si>
    <t>Restrictions - Cherry picking allowed</t>
  </si>
  <si>
    <t>Requirements - No specific requirement</t>
  </si>
  <si>
    <t>Requirements - Track &amp; Trace</t>
  </si>
  <si>
    <t>Requirements - Documents management</t>
  </si>
  <si>
    <t>Requirements - Basic reporting</t>
  </si>
  <si>
    <t>Requirements - Lead time reports</t>
  </si>
  <si>
    <t>Requirements - EDI connection</t>
  </si>
  <si>
    <t>Requirements - Order management</t>
  </si>
  <si>
    <t>Requirements - Control tower</t>
  </si>
  <si>
    <t>Amount of rounds</t>
  </si>
  <si>
    <t>Tender launch method</t>
  </si>
  <si>
    <t>Customer visit frequency</t>
  </si>
  <si>
    <t>Customer visit history</t>
  </si>
  <si>
    <t>Current service provider</t>
  </si>
  <si>
    <t>Amount of competitors</t>
  </si>
  <si>
    <t>Decision criteria</t>
  </si>
  <si>
    <t>Feedback available</t>
  </si>
  <si>
    <t>Contact name</t>
  </si>
  <si>
    <t>Contact Job Title</t>
  </si>
  <si>
    <t>Contact email</t>
  </si>
  <si>
    <t>No history</t>
  </si>
  <si>
    <t>Number of registration(s) involving 1 to 2 competitors</t>
  </si>
  <si>
    <t>Number of registration(s) involving 4 to 6 competitors</t>
  </si>
  <si>
    <t>Number of registration(s) involving 7 to 10 competitors</t>
  </si>
  <si>
    <t>Number of registration(s) involving more than 10 competitors</t>
  </si>
  <si>
    <t>Amount of awardee(s)</t>
  </si>
  <si>
    <t>Preadvise record date</t>
  </si>
  <si>
    <t>Number of tenders involved in the following tradelanes</t>
  </si>
  <si>
    <t>Share of tenders involved in the following tradelanes</t>
  </si>
  <si>
    <t>Average time between reception &amp; registration</t>
  </si>
  <si>
    <t>Average time between registration &amp; Deadline Rd.1</t>
  </si>
  <si>
    <t>Outcome Positive</t>
  </si>
  <si>
    <t>Outcome negative</t>
  </si>
  <si>
    <t>Outcome unknown</t>
  </si>
  <si>
    <t>Is over ?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</si>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</sst>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 TEU(s)&quot;_-;\-* #,##0.00&quot; TEU(s)&quot;_-;_-* &quot;-&quot;??&quot; TEU(s)&quot;_-;_-@_-"/>
    <numFmt numFmtId="165" formatCode="_-* #,##0.00&quot; Ton(s)&quot;_-;\-* #,##0.00&quot; Ton(s)&quot;_-;_-* &quot;-&quot;??&quot; Ton(s)&quot;_-;_-@_-"/>
    <numFmt numFmtId="166" formatCode="_-* #,##0.00&quot; CMB(s)&quot;_-;\-* #,##0.00&quot; CBM(s)&quot;_-;_-* &quot;-&quot;??&quot; CBM(s)&quot;_-;_-@_-"/>
    <numFmt numFmtId="167" formatCode="_-* #,##0.00&quot; month(s)&quot;_-;\-* #,##0.00&quot; month(s)&quot;_-;_-* &quot;-&quot;??&quot; month(s)&quot;_-;_-@_-"/>
    <numFmt numFmtId="168" formatCode="_-* #,##0&quot; day(s)&quot;_-;\-* #,##0&quot; day(s)&quot;_-;_-* &quot;-&quot;??&quot; day(s)&quot;_-;_-@_-"/>
  </numFmts>
  <fonts count="7" x14ac:knownFonts="1">
    <font>
      <sz val="11"/>
      <color theme="1"/>
      <name val="Fira Sans"/>
      <family val="2"/>
      <scheme val="minor"/>
    </font>
    <font>
      <b/>
      <sz val="13"/>
      <color theme="3"/>
      <name val="Fira Sans"/>
      <family val="2"/>
      <scheme val="minor"/>
    </font>
    <font>
      <b/>
      <sz val="11"/>
      <color theme="3"/>
      <name val="Fira Sans"/>
      <family val="2"/>
      <scheme val="minor"/>
    </font>
    <font>
      <i/>
      <sz val="11"/>
      <color theme="1"/>
      <name val="Fira Sans"/>
      <family val="2"/>
      <scheme val="minor"/>
    </font>
    <font>
      <sz val="11"/>
      <color theme="1"/>
      <name val="Fira Sans"/>
      <family val="2"/>
      <scheme val="minor"/>
    </font>
    <font>
      <sz val="10"/>
      <color theme="3"/>
      <name val="Fira Mono"/>
      <family val="3"/>
    </font>
    <font>
      <sz val="8"/>
      <name val="Fira Sans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auto="1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5" fillId="0" borderId="1" applyBorder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3" applyBorder="1"/>
    <xf numFmtId="0" fontId="1" fillId="0" borderId="2" xfId="1"/>
    <xf numFmtId="164" fontId="5" fillId="0" borderId="0" xfId="3" applyNumberFormat="1" applyBorder="1"/>
    <xf numFmtId="165" fontId="5" fillId="0" borderId="0" xfId="3" applyNumberFormat="1" applyBorder="1"/>
    <xf numFmtId="166" fontId="5" fillId="0" borderId="0" xfId="3" applyNumberFormat="1" applyBorder="1"/>
    <xf numFmtId="10" fontId="5" fillId="0" borderId="0" xfId="3" applyNumberFormat="1" applyBorder="1"/>
    <xf numFmtId="0" fontId="2" fillId="0" borderId="3" xfId="2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5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10" fontId="5" fillId="0" borderId="8" xfId="4" applyNumberFormat="1" applyFont="1" applyBorder="1" applyAlignment="1">
      <alignment vertical="center"/>
    </xf>
    <xf numFmtId="10" fontId="5" fillId="0" borderId="9" xfId="4" applyNumberFormat="1" applyFont="1" applyBorder="1" applyAlignment="1">
      <alignment vertical="center"/>
    </xf>
    <xf numFmtId="10" fontId="5" fillId="0" borderId="10" xfId="4" applyNumberFormat="1" applyFont="1" applyBorder="1" applyAlignment="1">
      <alignment vertical="center"/>
    </xf>
    <xf numFmtId="10" fontId="5" fillId="0" borderId="11" xfId="4" applyNumberFormat="1" applyFont="1" applyBorder="1" applyAlignment="1">
      <alignment vertical="center"/>
    </xf>
    <xf numFmtId="10" fontId="5" fillId="0" borderId="12" xfId="4" applyNumberFormat="1" applyFont="1" applyBorder="1" applyAlignment="1">
      <alignment vertical="center"/>
    </xf>
    <xf numFmtId="10" fontId="5" fillId="0" borderId="13" xfId="4" applyNumberFormat="1" applyFont="1" applyBorder="1" applyAlignment="1">
      <alignment vertical="center"/>
    </xf>
    <xf numFmtId="165" fontId="5" fillId="0" borderId="0" xfId="3" applyNumberFormat="1" applyBorder="1" applyAlignment="1">
      <alignment horizontal="right"/>
    </xf>
    <xf numFmtId="164" fontId="5" fillId="0" borderId="0" xfId="3" applyNumberFormat="1" applyBorder="1" applyAlignment="1">
      <alignment horizontal="right"/>
    </xf>
    <xf numFmtId="166" fontId="5" fillId="0" borderId="0" xfId="3" applyNumberFormat="1" applyBorder="1" applyAlignment="1">
      <alignment horizontal="right"/>
    </xf>
    <xf numFmtId="1" fontId="5" fillId="0" borderId="8" xfId="3" applyNumberFormat="1" applyBorder="1" applyAlignment="1">
      <alignment vertical="center"/>
    </xf>
    <xf numFmtId="1" fontId="5" fillId="0" borderId="9" xfId="3" applyNumberFormat="1" applyBorder="1" applyAlignment="1">
      <alignment vertical="center"/>
    </xf>
    <xf numFmtId="1" fontId="5" fillId="0" borderId="10" xfId="3" applyNumberFormat="1" applyBorder="1" applyAlignment="1">
      <alignment vertical="center"/>
    </xf>
    <xf numFmtId="1" fontId="5" fillId="0" borderId="11" xfId="3" applyNumberFormat="1" applyBorder="1" applyAlignment="1">
      <alignment vertical="center"/>
    </xf>
    <xf numFmtId="1" fontId="5" fillId="0" borderId="12" xfId="3" applyNumberFormat="1" applyBorder="1" applyAlignment="1">
      <alignment vertical="center"/>
    </xf>
    <xf numFmtId="1" fontId="5" fillId="0" borderId="13" xfId="3" applyNumberFormat="1" applyBorder="1" applyAlignment="1">
      <alignment vertical="center"/>
    </xf>
    <xf numFmtId="0" fontId="3" fillId="0" borderId="0" xfId="0" applyFont="1"/>
    <xf numFmtId="167" fontId="5" fillId="0" borderId="0" xfId="3" applyNumberFormat="1" applyBorder="1" applyAlignment="1">
      <alignment horizontal="right"/>
    </xf>
    <xf numFmtId="168" fontId="5" fillId="0" borderId="0" xfId="3" applyNumberFormat="1" applyBorder="1" applyAlignment="1">
      <alignment horizontal="right"/>
    </xf>
    <xf numFmtId="0" fontId="5" fillId="0" borderId="0" xfId="3" applyBorder="1" applyAlignment="1">
      <alignment horizontal="right"/>
    </xf>
  </cellXfs>
  <cellStyles count="6">
    <cellStyle name="Heading 2" xfId="1" builtinId="17"/>
    <cellStyle name="Heading 3" xfId="2" builtinId="18"/>
    <cellStyle name="Heading 4" xfId="5" builtinId="19"/>
    <cellStyle name="Mono" xfId="3" xr:uid="{B8D12483-6B33-4B61-BD6E-45A8CB25E1E3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5C85F-01A4-46CF-9039-EFF5C6FFD4F7}" name="DataTable" displayName="DataTable" ref="A1:CZ3" totalsRowShown="0">
  <autoFilter ref="A1:CZ3" xr:uid="{9EF5C85F-01A4-46CF-9039-EFF5C6FFD4F7}"/>
  <tableColumns count="104">
    <tableColumn id="1" xr3:uid="{2CB6E984-6BB5-4D7A-A81F-D0601EB90E6A}" name="Register ID"/>
    <tableColumn id="2" xr3:uid="{6FFAC53E-7EFD-47C3-8EFB-8BCEA51789AA}" name="Record date"/>
    <tableColumn id="3" xr3:uid="{A2764E2D-9117-429E-9F02-FB27FCC1E6DA}" name="Last modified date"/>
    <tableColumn id="4" xr3:uid="{15D048F1-8FB1-4B1E-84D8-430258D1F522}" name="Is preadvised"/>
    <tableColumn id="5" xr3:uid="{C111619E-5FC8-4255-9FEC-05AACDE8DC3E}" name="Preadvise ID"/>
    <tableColumn id="76" xr3:uid="{BF182274-4B34-4855-BABC-C79D0835294E}" name="Preadvise record date"/>
    <tableColumn id="6" xr3:uid="{6392E2E5-21B3-4B4B-9015-823C93F8FFEE}" name="Country location"/>
    <tableColumn id="49" xr3:uid="{C2AFBDFF-575D-4E51-AC92-755B114A24BE}" name="Tender office"/>
    <tableColumn id="50" xr3:uid="{0C38B6AD-28A7-42F7-8761-2DA3933009BA}" name="World area"/>
    <tableColumn id="7" xr3:uid="{D328204F-42E3-4F57-8CCC-8A71C211E58A}" name="Company name"/>
    <tableColumn id="8" xr3:uid="{C7F7C690-4201-457F-BD68-F50D08BF61FC}" name="Sugar ID"/>
    <tableColumn id="51" xr3:uid="{CDBBA047-276E-4065-9182-70FD3ACBD1A4}" name="Business vertical"/>
    <tableColumn id="97" xr3:uid="{FE8A08DF-B232-4D30-B3E4-703CC91D3823}" name="Contact name"/>
    <tableColumn id="98" xr3:uid="{1AA43E7B-B2F4-4827-B0BB-7E8564F29332}" name="Contact Job Title"/>
    <tableColumn id="99" xr3:uid="{A6CC898C-0101-4AA2-8CC6-09C0E5689566}" name="Contact email"/>
    <tableColumn id="52" xr3:uid="{4BED80A8-4A1C-4F48-99D8-38EFE150264E}" name="Contact is decision maker"/>
    <tableColumn id="10" xr3:uid="{9F4133B5-6FC4-4D95-846D-4AD29FD45838}" name="Has Airfreight"/>
    <tableColumn id="14" xr3:uid="{D9F27BFB-FDBE-4901-B320-E17EA0AC8EE9}" name="Airfreight volumes"/>
    <tableColumn id="68" xr3:uid="{129D88D1-4913-4D47-8F56-3F61B7A279AF}" name="Airfreight rates validity requested"/>
    <tableColumn id="11" xr3:uid="{7024A668-3905-4EBF-9FC1-4AE72572170E}" name="Has Seafreight FCL"/>
    <tableColumn id="15" xr3:uid="{EC3C5490-BFF6-4E80-82BE-5414F55FAF1B}" name="Seafreight FCL volumes"/>
    <tableColumn id="69" xr3:uid="{464450FF-FB8D-4938-953F-FB9AF1FD01E6}" name="Seafreight FCL rates validity requested"/>
    <tableColumn id="12" xr3:uid="{6F5F80C7-1F64-47B3-A195-070A856F559B}" name="Has Seafreight LCL"/>
    <tableColumn id="16" xr3:uid="{687FDB9C-F19F-4B4B-A908-3B5B301DC775}" name="Seafreight LCL volumes"/>
    <tableColumn id="70" xr3:uid="{6893F2F7-124E-4E6E-AE09-21063F4F862F}" name="Seafreight LCL rates validity requested"/>
    <tableColumn id="13" xr3:uid="{5E7CFE4E-4DE4-4112-AA04-968204F842EA}" name="Has Railfreight FCL"/>
    <tableColumn id="17" xr3:uid="{2344510B-2AC9-4095-B95F-B1061456BD99}" name="Railfreight FCL volumes"/>
    <tableColumn id="71" xr3:uid="{FDE951DB-B1AB-4AAC-B71E-6B6F1D32ADB1}" name="Railfreight FCL rates validity requested"/>
    <tableColumn id="53" xr3:uid="{2DE7A2BD-6AEB-4345-BB24-EEE9F4A64334}" name="Has DG goods"/>
    <tableColumn id="54" xr3:uid="{63A3A7D1-0F4E-4667-980A-DB3DE1B3EE67}" name="Has pharma goods"/>
    <tableColumn id="55" xr3:uid="{A75A79E3-DD82-44F8-AD14-F71301F77C12}" name="Has cold chain"/>
    <tableColumn id="56" xr3:uid="{306F200F-3096-4901-9492-71849457861E}" name="Has time critical"/>
    <tableColumn id="57" xr3:uid="{68ACFA1E-D728-4673-B30E-DE46C3C7D34E}" name="Has linked RFI"/>
    <tableColumn id="58" xr3:uid="{B8F4B94F-E175-455C-965B-641727573AE7}" name="RFI deadline"/>
    <tableColumn id="59" xr3:uid="{DE40CFDF-AD20-491C-84D0-19FE4C708E27}" name="Tender reception date"/>
    <tableColumn id="60" xr3:uid="{E7954887-EAA5-4BDC-AE12-4F6F64CF7E23}" name="Tender deadline"/>
    <tableColumn id="61" xr3:uid="{C299AB9E-12CE-48DE-8885-04CA8F0744F7}" name="Tender decision date"/>
    <tableColumn id="62" xr3:uid="{7690CF4F-11F7-4A89-86E6-DFB3EFAF2AA2}" name="Start of business date"/>
    <tableColumn id="18" xr3:uid="{19A38F20-1056-4CD7-9DF4-B7DB9F03C7FC}" name="Africa ➔ Africa"/>
    <tableColumn id="19" xr3:uid="{EBE41A0A-EB0A-4B22-A2FC-ABD37C246B84}" name="Africa ➔ Americas"/>
    <tableColumn id="20" xr3:uid="{B11D8A07-F8F3-4E22-BC6D-617BFE17A55C}" name="Africa ➔ Asia"/>
    <tableColumn id="21" xr3:uid="{97CF23C0-4FD0-4821-99D8-64DA2601472A}" name="Africa ➔ Europe"/>
    <tableColumn id="22" xr3:uid="{101AD9F2-66F7-4380-8748-813FB732415F}" name="Africa ➔ Oceania"/>
    <tableColumn id="23" xr3:uid="{EC5D24E8-2825-46D3-B3A0-3098D2B29DD1}" name="Americas ➔ Africa"/>
    <tableColumn id="24" xr3:uid="{F7AD9295-3BC6-4CE2-82CA-7A9B9FBBD362}" name="Americas ➔ Americas"/>
    <tableColumn id="25" xr3:uid="{52632D61-B7C4-4B11-A71F-5B5A2E67A382}" name="Americas ➔ Asia"/>
    <tableColumn id="26" xr3:uid="{8CA1FE6B-016B-48FD-8118-E77D4844303F}" name="Americas ➔ Europe"/>
    <tableColumn id="27" xr3:uid="{A53C94AE-803F-4AE8-85D9-38A044DAC87D}" name="Americas ➔ Oceania"/>
    <tableColumn id="28" xr3:uid="{73E0ECC6-078E-4F6F-9DE7-52428A2280E5}" name="Asia ➔ Africa"/>
    <tableColumn id="29" xr3:uid="{CF677CB0-C87D-4A3E-9B79-785E0B32150B}" name="Asia ➔ Americas"/>
    <tableColumn id="30" xr3:uid="{48BEA4AE-386B-46EF-9477-ED45B4BC9050}" name="Asia ➔ Asia"/>
    <tableColumn id="31" xr3:uid="{2B3B40D8-8A93-4569-919F-7850D7B5AF6D}" name="Asia ➔ Europe"/>
    <tableColumn id="32" xr3:uid="{3F7D8AF1-5493-4D97-8DA7-64100B91F382}" name="Asia ➔ Oceania"/>
    <tableColumn id="33" xr3:uid="{EBCA5B4D-2C75-43D6-BD87-A22C9B84895E}" name="Europe ➔ Africa"/>
    <tableColumn id="34" xr3:uid="{5D4BC7EB-0868-43F8-B14C-C939F682D035}" name="Europe ➔ Americas"/>
    <tableColumn id="35" xr3:uid="{76A180E5-9A73-41E7-AE98-043604875D75}" name="Europe ➔ Asia"/>
    <tableColumn id="36" xr3:uid="{956DA225-7A3A-41CB-A339-E3A9D8DE96AE}" name="Europe ➔ Europe"/>
    <tableColumn id="37" xr3:uid="{A103D0FC-0B9A-49BF-974C-7AFC79E981FF}" name="Europe ➔ Oceania"/>
    <tableColumn id="38" xr3:uid="{0F8100A4-D3BC-4420-85B1-F83C669AB1A0}" name="Oceania ➔ Africa"/>
    <tableColumn id="39" xr3:uid="{9F5283E3-B9F3-4ABA-96B1-C3E290CAB222}" name="Oceania ➔ Americas"/>
    <tableColumn id="40" xr3:uid="{2EFA4E5B-0FF6-4A8B-9630-0813663DD958}" name="Oceania ➔ Asia"/>
    <tableColumn id="41" xr3:uid="{4AEA994A-4C54-4E1E-9855-086BBDBE231B}" name="Oceania ➔ Europe"/>
    <tableColumn id="42" xr3:uid="{9523FD9C-4E39-4506-B694-AFE2825358DA}" name="Oceania ➔ Oceania"/>
    <tableColumn id="63" xr3:uid="{2D2A418B-6754-4628-8221-A127C30E20D2}" name="Amount of lanes"/>
    <tableColumn id="64" xr3:uid="{14F5940F-E9AA-47CF-9AD5-E8B2EEAE0FB4}" name="Has Dort-to-Door lanes"/>
    <tableColumn id="65" xr3:uid="{A4C0337F-DA36-4073-B2B4-BD792B8599C0}" name="Has Dort-to-Port lanes"/>
    <tableColumn id="66" xr3:uid="{999DE94A-B058-493D-9A02-F0C79181945B}" name="Has Port-to-Port lanes"/>
    <tableColumn id="67" xr3:uid="{5CC1A33A-CBE4-4795-ADA7-C95138012718}" name="Has Port-to-Door lanes"/>
    <tableColumn id="72" xr3:uid="{9E11AC0A-E70F-474C-8BF2-6FB162CCDB64}" name="Contract period"/>
    <tableColumn id="73" xr3:uid="{DAF4C30E-B3D2-4890-8925-3AD0E6D2D3CA}" name="Payment terms"/>
    <tableColumn id="74" xr3:uid="{F615E72A-C76F-45CA-89EA-0F3425C85513}" name="Restrictions - All lanes must be quoted"/>
    <tableColumn id="75" xr3:uid="{F2669627-2BDA-45EC-8945-14089812BBD8}" name="Restrictions - All lanes per country must be quoted"/>
    <tableColumn id="77" xr3:uid="{DDDBD597-48B0-455B-BB42-3575B614676B}" name="Restrictions - All lanes per region must be quoted"/>
    <tableColumn id="78" xr3:uid="{4F54CB9E-6D69-49BD-A6DC-D6C4517454E1}" name="Restrictions - All lanes per transport mode must be quoted"/>
    <tableColumn id="79" xr3:uid="{88BF0226-A4E8-432E-BDC2-E9E32F78B00C}" name="Restrictions - Cherry picking allowed"/>
    <tableColumn id="80" xr3:uid="{84867285-0972-4823-B27D-9F250B155F42}" name="Requirements - No specific requirement"/>
    <tableColumn id="81" xr3:uid="{794EED30-321E-4431-A069-8C116B58B9B1}" name="Requirements - Track &amp; Trace"/>
    <tableColumn id="82" xr3:uid="{3966F443-7997-4BB9-9241-50FD8E05E5A5}" name="Requirements - Documents management"/>
    <tableColumn id="83" xr3:uid="{ED65A7A3-7FC5-4114-9437-90035E99CA48}" name="Requirements - Basic reporting"/>
    <tableColumn id="84" xr3:uid="{29FA70AD-B0EF-46B1-9D55-4611759B5CE0}" name="Requirements - Lead time reports"/>
    <tableColumn id="85" xr3:uid="{6948C726-4CBB-4F5A-B77B-8564E25370E9}" name="Requirements - EDI connection"/>
    <tableColumn id="86" xr3:uid="{4757522B-7E14-40D1-9AC9-7A9C9739C0C8}" name="Requirements - Order management"/>
    <tableColumn id="87" xr3:uid="{0081580C-DE5A-4652-A9F2-D917340A32EA}" name="Requirements - Control tower"/>
    <tableColumn id="88" xr3:uid="{7C62C9D9-B3A8-4651-8989-2DE536A016E7}" name="Amount of rounds"/>
    <tableColumn id="89" xr3:uid="{F567EB4E-D72C-4106-8956-27877470572C}" name="Tender launch method"/>
    <tableColumn id="9" xr3:uid="{2858F491-D98D-4B48-BA64-3FDC5BD054B7}" name="No history"/>
    <tableColumn id="44" xr3:uid="{4EF03836-6D72-45BA-9185-E2A26AD160A8}" name="Rhenus Air &amp; Ocean history"/>
    <tableColumn id="45" xr3:uid="{AE16CC0F-5E31-4A0E-B481-07DEC570B18F}" name="Rhenus Road history"/>
    <tableColumn id="46" xr3:uid="{6222B1B2-43D3-44CF-A372-C69FF167F46F}" name="Rhenus Contract Logistics history"/>
    <tableColumn id="47" xr3:uid="{B26E69A8-C66D-4FD1-9C8F-E8FA500DAADA}" name="Rhenus Port Logistics history"/>
    <tableColumn id="48" xr3:uid="{3C5EA361-1F4F-405F-9D11-BA7C2A5F51FD}" name="Customer segment"/>
    <tableColumn id="90" xr3:uid="{AA800485-8EA0-4D46-975B-82859166A2EF}" name="Customer visit frequency"/>
    <tableColumn id="92" xr3:uid="{2313FB23-E71A-4862-B5EA-F42457903B65}" name="Customer visit history"/>
    <tableColumn id="93" xr3:uid="{716BE8EA-209E-48FE-8184-80D87DDC5A63}" name="Current service provider"/>
    <tableColumn id="94" xr3:uid="{B7226984-8E16-456F-A6C0-C7634E01B376}" name="Amount of competitors"/>
    <tableColumn id="43" xr3:uid="{F0A3C84D-B3DA-4A33-B398-CC7FA56D5327}" name="Amount of awardee(s)"/>
    <tableColumn id="95" xr3:uid="{B92014CC-6E49-4451-9E2C-F869F7E1D72A}" name="Decision criteria"/>
    <tableColumn id="96" xr3:uid="{44E237BF-A768-4D13-8426-F53B0C0E94F1}" name="Feedback available"/>
    <tableColumn id="91" xr3:uid="{F400EDA5-7EA1-4E72-9A69-5D9320F44822}" name="Average time between reception &amp; registration">
      <calculatedColumnFormula>DATEDIF(DataTable[[#This Row],[Tender reception date]],DataTable[[#This Row],[Record date]],"d")</calculatedColumnFormula>
    </tableColumn>
    <tableColumn id="100" xr3:uid="{BBDB0AE8-F51A-4459-A0EB-25C7C4A1A773}" name="Average time between registration &amp; Deadline Rd.1">
      <calculatedColumnFormula>DATEDIF(DataTable[[#This Row],[Record date]],DataTable[[#This Row],[Tender deadline]],"d")</calculatedColumnFormula>
    </tableColumn>
    <tableColumn id="101" xr3:uid="{867BAAB6-4A29-4B40-B477-9FE8034A8470}" name="Is over ?"/>
    <tableColumn id="102" xr3:uid="{36ACCB0A-0703-43F6-ABCE-F5FC4CDAE992}" name="Outcome Positive"/>
    <tableColumn id="103" xr3:uid="{556D5C2B-E560-4D59-AA98-C52AAAFB9392}" name="Outcome negative"/>
    <tableColumn id="104" xr3:uid="{5A5025E9-A518-44B9-A5DF-106E1ABCBA1A}" name="Outcome unknow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oonshot">
      <a:dk1>
        <a:srgbClr val="010004"/>
      </a:dk1>
      <a:lt1>
        <a:srgbClr val="FFFFFF"/>
      </a:lt1>
      <a:dk2>
        <a:srgbClr val="0B1320"/>
      </a:dk2>
      <a:lt2>
        <a:srgbClr val="EFF2F5"/>
      </a:lt2>
      <a:accent1>
        <a:srgbClr val="1C3F60"/>
      </a:accent1>
      <a:accent2>
        <a:srgbClr val="FB4B4E"/>
      </a:accent2>
      <a:accent3>
        <a:srgbClr val="FFB30F"/>
      </a:accent3>
      <a:accent4>
        <a:srgbClr val="AFC1D0"/>
      </a:accent4>
      <a:accent5>
        <a:srgbClr val="60A561"/>
      </a:accent5>
      <a:accent6>
        <a:srgbClr val="3C91E6"/>
      </a:accent6>
      <a:hlink>
        <a:srgbClr val="0563C1"/>
      </a:hlink>
      <a:folHlink>
        <a:srgbClr val="954F72"/>
      </a:folHlink>
    </a:clrScheme>
    <a:fontScheme name="Moonshot">
      <a:majorFont>
        <a:latin typeface="Fira Sans Black"/>
        <a:ea typeface=""/>
        <a:cs typeface=""/>
      </a:majorFont>
      <a:minorFont>
        <a:latin typeface="Fir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E63-F005-4CBF-AE0A-8C9CDC031092}">
  <dimension ref="A1:P130"/>
  <sheetViews>
    <sheetView showGridLines="0" tabSelected="1" view="pageLayout" zoomScale="90" zoomScaleNormal="85" zoomScalePageLayoutView="90" workbookViewId="0">
      <selection activeCell="A2" sqref="A2"/>
    </sheetView>
  </sheetViews>
  <sheetFormatPr defaultColWidth="8.75" defaultRowHeight="15" x14ac:dyDescent="0.25"/>
  <cols>
    <col min="1" max="1" width="60.125" customWidth="1"/>
    <col min="2" max="2" width="22.875" customWidth="1"/>
    <col min="3" max="3" width="4.125" customWidth="1"/>
    <col min="4" max="4" width="10.125" bestFit="1" customWidth="1"/>
    <col min="7" max="7" width="9.25" customWidth="1"/>
    <col min="8" max="13" width="17.25" customWidth="1"/>
    <col min="16" max="16" width="3.625" customWidth="1"/>
  </cols>
  <sheetData>
    <row r="1" spans="1:16" ht="15" customHeight="1" thickBot="1" x14ac:dyDescent="0.35">
      <c r="A1" s="2" t="s">
        <v>44</v>
      </c>
      <c r="B1" s="2"/>
      <c r="C1" s="2"/>
      <c r="D1" s="2"/>
      <c r="E1" s="2"/>
      <c r="F1" s="2"/>
      <c r="G1" s="2"/>
      <c r="H1" s="7" t="s">
        <v>55</v>
      </c>
      <c r="I1" s="7"/>
      <c r="J1" s="7"/>
      <c r="K1" s="7"/>
      <c r="L1" s="7"/>
      <c r="M1" s="7"/>
      <c r="N1" s="7"/>
      <c r="O1" s="7"/>
      <c r="P1" s="7"/>
    </row>
    <row r="2" spans="1:16" ht="15" customHeight="1" thickTop="1" x14ac:dyDescent="0.25">
      <c r="B2" s="1"/>
    </row>
    <row r="3" spans="1:16" ht="15" customHeight="1" x14ac:dyDescent="0.25">
      <c r="A3" t="s">
        <v>45</v>
      </c>
      <c r="B3" s="31" t="s">
        <v>218</v>
      </c>
      <c r="H3" s="10" t="s">
        <v>70</v>
      </c>
      <c r="I3" s="10"/>
      <c r="J3" s="10"/>
      <c r="K3" s="10"/>
      <c r="L3" s="10"/>
      <c r="M3" s="10"/>
      <c r="N3" s="10"/>
      <c r="O3" s="10"/>
      <c r="P3" s="10"/>
    </row>
    <row r="4" spans="1:16" ht="15" customHeight="1" x14ac:dyDescent="0.25">
      <c r="A4" t="s">
        <v>46</v>
      </c>
      <c r="B4" s="31" t="s">
        <v>218</v>
      </c>
    </row>
    <row r="5" spans="1:16" ht="15" customHeight="1" x14ac:dyDescent="0.25">
      <c r="B5" s="1"/>
      <c r="H5" s="28" t="s">
        <v>210</v>
      </c>
    </row>
    <row r="6" spans="1:16" ht="15" customHeight="1" thickBot="1" x14ac:dyDescent="0.35">
      <c r="A6" s="2" t="s">
        <v>124</v>
      </c>
      <c r="B6" s="2"/>
      <c r="C6" s="2"/>
      <c r="D6" s="2"/>
      <c r="E6" s="2"/>
      <c r="F6" s="2"/>
      <c r="G6" s="2"/>
    </row>
    <row r="7" spans="1:16" ht="15" customHeight="1" thickTop="1" x14ac:dyDescent="0.25">
      <c r="B7" s="1"/>
      <c r="I7" s="8" t="s">
        <v>61</v>
      </c>
      <c r="J7" s="8" t="s">
        <v>62</v>
      </c>
      <c r="K7" s="8" t="s">
        <v>63</v>
      </c>
      <c r="L7" s="8" t="s">
        <v>64</v>
      </c>
      <c r="M7" s="9" t="s">
        <v>65</v>
      </c>
    </row>
    <row r="8" spans="1:16" ht="15" customHeight="1" thickBot="1" x14ac:dyDescent="0.3">
      <c r="A8" s="7" t="s">
        <v>49</v>
      </c>
      <c r="B8" s="7"/>
      <c r="C8" s="7"/>
      <c r="D8" s="7"/>
      <c r="E8" s="7"/>
      <c r="F8" s="7"/>
      <c r="G8" s="7"/>
      <c r="H8" s="11" t="s">
        <v>56</v>
      </c>
      <c r="I8" s="22">
        <f>COUNTIF(Data!AM2:AM1048576,"Yes")</f>
        <v>0</v>
      </c>
      <c r="J8" s="23">
        <f>COUNTIF(Data!AN2:AN1048576,"Yes")</f>
        <v>0</v>
      </c>
      <c r="K8" s="23">
        <f>COUNTIF(Data!AO2:AO1048576,"Yes")</f>
        <v>0</v>
      </c>
      <c r="L8" s="23">
        <f>COUNTIF(Data!AP2:AP1048576,"Yes")</f>
        <v>0</v>
      </c>
      <c r="M8" s="24">
        <f>COUNTIF(Data!AQ2:AQ1048576,"Yes")</f>
        <v>0</v>
      </c>
    </row>
    <row r="9" spans="1:16" ht="15" customHeight="1" x14ac:dyDescent="0.25">
      <c r="B9" s="1"/>
      <c r="H9" s="11" t="s">
        <v>57</v>
      </c>
      <c r="I9" s="22">
        <f>COUNTIF(Data!AR2:AR1048576,"Yes")</f>
        <v>0</v>
      </c>
      <c r="J9" s="23">
        <f>COUNTIF(Data!AS2:AS1048576,"Yes")</f>
        <v>0</v>
      </c>
      <c r="K9" s="23">
        <f>COUNTIF(Data!AT2:AT1048576,"Yes")</f>
        <v>0</v>
      </c>
      <c r="L9" s="23">
        <f>COUNTIF(Data!AU2:AU1048576,"Yes")</f>
        <v>0</v>
      </c>
      <c r="M9" s="24">
        <f>COUNTIF(Data!AV2:AV1048576,"Yes")</f>
        <v>0</v>
      </c>
    </row>
    <row r="10" spans="1:16" ht="15" customHeight="1" x14ac:dyDescent="0.25">
      <c r="A10" t="s">
        <v>99</v>
      </c>
      <c r="B10" s="1">
        <f>COUNTIF(Data!A2:A1048576,"&lt;&gt;"&amp;"")</f>
        <v>2</v>
      </c>
      <c r="H10" s="11" t="s">
        <v>58</v>
      </c>
      <c r="I10" s="22">
        <f>COUNTIF(Data!AW2:AW1048576,"Yes")</f>
        <v>0</v>
      </c>
      <c r="J10" s="23">
        <f>COUNTIF(Data!AX2:AX1048576,"Yes")</f>
        <v>0</v>
      </c>
      <c r="K10" s="23">
        <f>COUNTIF(Data!AY2:AY1048576,"Yes")</f>
        <v>0</v>
      </c>
      <c r="L10" s="23">
        <f>COUNTIF(Data!AZ2:AZ1048576,"Yes")</f>
        <v>0</v>
      </c>
      <c r="M10" s="24">
        <f>COUNTIF(Data!BA2:BA1048576,"Yes")</f>
        <v>0</v>
      </c>
    </row>
    <row r="11" spans="1:16" ht="15" customHeight="1" x14ac:dyDescent="0.25">
      <c r="B11" s="1"/>
      <c r="H11" s="11" t="s">
        <v>59</v>
      </c>
      <c r="I11" s="22">
        <f>COUNTIF(Data!BB2:BB1048576,"Yes")</f>
        <v>0</v>
      </c>
      <c r="J11" s="23">
        <f>COUNTIF(Data!BC2:BC1048576,"Yes")</f>
        <v>0</v>
      </c>
      <c r="K11" s="23">
        <f>COUNTIF(Data!BD2:BD1048576,"Yes")</f>
        <v>0</v>
      </c>
      <c r="L11" s="23">
        <f>COUNTIF(Data!BE2:BE1048576,"Yes")</f>
        <v>0</v>
      </c>
      <c r="M11" s="24">
        <f>COUNTIF(Data!BF2:BF1048576,"Yes")</f>
        <v>0</v>
      </c>
    </row>
    <row r="12" spans="1:16" ht="15" customHeight="1" x14ac:dyDescent="0.25">
      <c r="A12" t="s">
        <v>134</v>
      </c>
      <c r="B12" s="1">
        <f>COUNTIF(Data!D2:D1048576,"No")</f>
        <v>0</v>
      </c>
      <c r="D12" s="6">
        <f>$B12/$B$10</f>
        <v>0</v>
      </c>
      <c r="E12" t="s">
        <v>100</v>
      </c>
      <c r="H12" s="12" t="s">
        <v>60</v>
      </c>
      <c r="I12" s="25">
        <f>COUNTIF(Data!BG2:BG1048576,"Yes")</f>
        <v>0</v>
      </c>
      <c r="J12" s="26">
        <f>COUNTIF(Data!BH2:BH1048576,"Yes")</f>
        <v>0</v>
      </c>
      <c r="K12" s="26">
        <f>COUNTIF(Data!BI2:BI1048576,"Yes")</f>
        <v>0</v>
      </c>
      <c r="L12" s="26">
        <f>COUNTIF(Data!BJ2:BJ1048576,"Yes")</f>
        <v>0</v>
      </c>
      <c r="M12" s="27">
        <f>COUNTIF(Data!BK2:BK1048576,"Yes")</f>
        <v>0</v>
      </c>
    </row>
    <row r="13" spans="1:16" ht="15" customHeight="1" x14ac:dyDescent="0.25">
      <c r="A13" t="s">
        <v>135</v>
      </c>
      <c r="B13" s="1">
        <f>COUNTIF(Data!D2:D1048576,"Yes")</f>
        <v>0</v>
      </c>
      <c r="D13" s="6">
        <f>$B13/$B$10</f>
        <v>0</v>
      </c>
      <c r="E13" t="s">
        <v>100</v>
      </c>
    </row>
    <row r="14" spans="1:16" ht="15" customHeight="1" x14ac:dyDescent="0.25">
      <c r="A14" t="s">
        <v>162</v>
      </c>
      <c r="B14" s="1">
        <f>COUNTIF(Data!AG2:AG1048576,"Yes")</f>
        <v>0</v>
      </c>
      <c r="D14" s="6"/>
    </row>
    <row r="15" spans="1:16" ht="15" customHeight="1" x14ac:dyDescent="0.25">
      <c r="B15" s="1"/>
      <c r="H15" s="10" t="s">
        <v>71</v>
      </c>
      <c r="I15" s="10"/>
      <c r="J15" s="10"/>
      <c r="K15" s="10"/>
      <c r="L15" s="10"/>
      <c r="M15" s="10"/>
      <c r="N15" s="10"/>
      <c r="O15" s="10"/>
      <c r="P15" s="10"/>
    </row>
    <row r="16" spans="1:16" ht="15" customHeight="1" x14ac:dyDescent="0.25">
      <c r="A16" t="s">
        <v>84</v>
      </c>
      <c r="B16" s="1">
        <f>COUNTIF(Data!H2:H1048576,"AM")</f>
        <v>0</v>
      </c>
      <c r="D16" s="6">
        <f>$B16/$B$10</f>
        <v>0</v>
      </c>
      <c r="E16" t="s">
        <v>100</v>
      </c>
    </row>
    <row r="17" spans="1:13" ht="15" customHeight="1" x14ac:dyDescent="0.25">
      <c r="A17" t="s">
        <v>85</v>
      </c>
      <c r="B17" s="1">
        <f>COUNTIF(Data!H2:H1048576,"AP")</f>
        <v>0</v>
      </c>
      <c r="D17" s="6">
        <f>$B17/$B$10</f>
        <v>0</v>
      </c>
      <c r="E17" t="s">
        <v>100</v>
      </c>
      <c r="H17" s="28" t="s">
        <v>211</v>
      </c>
    </row>
    <row r="18" spans="1:13" ht="15" customHeight="1" x14ac:dyDescent="0.25">
      <c r="A18" t="s">
        <v>86</v>
      </c>
      <c r="B18" s="1">
        <f>COUNTIF(Data!H2:H1048576,"EU")</f>
        <v>0</v>
      </c>
      <c r="D18" s="6">
        <f>$B18/$B$10</f>
        <v>0</v>
      </c>
      <c r="E18" t="s">
        <v>100</v>
      </c>
    </row>
    <row r="19" spans="1:13" ht="15" customHeight="1" x14ac:dyDescent="0.25">
      <c r="B19" s="1"/>
      <c r="I19" s="8" t="s">
        <v>61</v>
      </c>
      <c r="J19" s="8" t="s">
        <v>62</v>
      </c>
      <c r="K19" s="8" t="s">
        <v>63</v>
      </c>
      <c r="L19" s="8" t="s">
        <v>64</v>
      </c>
      <c r="M19" s="9" t="s">
        <v>65</v>
      </c>
    </row>
    <row r="20" spans="1:13" ht="15" customHeight="1" x14ac:dyDescent="0.25">
      <c r="A20" t="s">
        <v>67</v>
      </c>
      <c r="B20" s="1">
        <f>COUNTIF(Data!I2:I1048576,"North America")</f>
        <v>0</v>
      </c>
      <c r="D20" s="6">
        <f t="shared" ref="D20:D33" si="0">$B20/$B$10</f>
        <v>0</v>
      </c>
      <c r="E20" t="s">
        <v>100</v>
      </c>
      <c r="H20" s="11" t="s">
        <v>56</v>
      </c>
      <c r="I20" s="13">
        <f t="shared" ref="I20:M24" si="1">I8/$B$10</f>
        <v>0</v>
      </c>
      <c r="J20" s="14">
        <f t="shared" si="1"/>
        <v>0</v>
      </c>
      <c r="K20" s="14">
        <f t="shared" si="1"/>
        <v>0</v>
      </c>
      <c r="L20" s="14">
        <f t="shared" si="1"/>
        <v>0</v>
      </c>
      <c r="M20" s="15">
        <f t="shared" si="1"/>
        <v>0</v>
      </c>
    </row>
    <row r="21" spans="1:13" ht="15" customHeight="1" x14ac:dyDescent="0.25">
      <c r="A21" t="s">
        <v>82</v>
      </c>
      <c r="B21" s="1">
        <f>COUNTIFS(Data!I2:I1048576,"Central America",Data!I2:I1048576,"Caribbean")</f>
        <v>0</v>
      </c>
      <c r="D21" s="6">
        <f t="shared" si="0"/>
        <v>0</v>
      </c>
      <c r="E21" t="s">
        <v>100</v>
      </c>
      <c r="H21" s="11" t="s">
        <v>57</v>
      </c>
      <c r="I21" s="13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5">
        <f t="shared" si="1"/>
        <v>0</v>
      </c>
    </row>
    <row r="22" spans="1:13" ht="15" customHeight="1" x14ac:dyDescent="0.25">
      <c r="A22" t="s">
        <v>81</v>
      </c>
      <c r="B22" s="1">
        <f>COUNTIF(Data!I2:I1048576,"South America")</f>
        <v>0</v>
      </c>
      <c r="D22" s="6">
        <f t="shared" si="0"/>
        <v>0</v>
      </c>
      <c r="E22" t="s">
        <v>100</v>
      </c>
      <c r="H22" s="11" t="s">
        <v>58</v>
      </c>
      <c r="I22" s="13">
        <f t="shared" si="1"/>
        <v>0</v>
      </c>
      <c r="J22" s="14">
        <f t="shared" si="1"/>
        <v>0</v>
      </c>
      <c r="K22" s="14">
        <f t="shared" si="1"/>
        <v>0</v>
      </c>
      <c r="L22" s="14">
        <f t="shared" si="1"/>
        <v>0</v>
      </c>
      <c r="M22" s="15">
        <f t="shared" si="1"/>
        <v>0</v>
      </c>
    </row>
    <row r="23" spans="1:13" ht="15" customHeight="1" x14ac:dyDescent="0.25">
      <c r="A23" t="s">
        <v>73</v>
      </c>
      <c r="B23" s="1">
        <f>COUNTIFS(Data!I2:I1048576,"Southern Asia",Data!I2:I1048576,"Eastern Asia",Data!I2:I1048576,"South-Eastern Asia",Data!I2:I1048576,"Melanesia")</f>
        <v>0</v>
      </c>
      <c r="D23" s="6">
        <f t="shared" si="0"/>
        <v>0</v>
      </c>
      <c r="E23" t="s">
        <v>100</v>
      </c>
      <c r="H23" s="11" t="s">
        <v>59</v>
      </c>
      <c r="I23" s="13">
        <f t="shared" si="1"/>
        <v>0</v>
      </c>
      <c r="J23" s="14">
        <f t="shared" si="1"/>
        <v>0</v>
      </c>
      <c r="K23" s="14">
        <f t="shared" si="1"/>
        <v>0</v>
      </c>
      <c r="L23" s="14">
        <f t="shared" si="1"/>
        <v>0</v>
      </c>
      <c r="M23" s="15">
        <f t="shared" si="1"/>
        <v>0</v>
      </c>
    </row>
    <row r="24" spans="1:13" ht="15" customHeight="1" x14ac:dyDescent="0.25">
      <c r="A24" t="s">
        <v>74</v>
      </c>
      <c r="B24" s="1">
        <f>COUNTIFS(Data!I2:I1048576,"Australia and New Zealand",Data!I2:I1048576,"Polynesia",Data!I2:I1048576,"Micronesia")</f>
        <v>0</v>
      </c>
      <c r="D24" s="6">
        <f t="shared" si="0"/>
        <v>0</v>
      </c>
      <c r="E24" t="s">
        <v>100</v>
      </c>
      <c r="H24" s="12" t="s">
        <v>60</v>
      </c>
      <c r="I24" s="16">
        <f t="shared" si="1"/>
        <v>0</v>
      </c>
      <c r="J24" s="17">
        <f t="shared" si="1"/>
        <v>0</v>
      </c>
      <c r="K24" s="17">
        <f t="shared" si="1"/>
        <v>0</v>
      </c>
      <c r="L24" s="17">
        <f t="shared" si="1"/>
        <v>0</v>
      </c>
      <c r="M24" s="18">
        <f t="shared" si="1"/>
        <v>0</v>
      </c>
    </row>
    <row r="25" spans="1:13" ht="15" customHeight="1" x14ac:dyDescent="0.25">
      <c r="A25" t="s">
        <v>75</v>
      </c>
      <c r="B25" s="1">
        <f>COUNTIF(Data!I2:I1048576,"Northern Europe")</f>
        <v>0</v>
      </c>
      <c r="D25" s="6">
        <f t="shared" si="0"/>
        <v>0</v>
      </c>
      <c r="E25" t="s">
        <v>100</v>
      </c>
    </row>
    <row r="26" spans="1:13" ht="15" customHeight="1" x14ac:dyDescent="0.25">
      <c r="A26" t="s">
        <v>76</v>
      </c>
      <c r="B26" s="1">
        <f>COUNTIF(Data!I2:I1048576,"Southern Europe")</f>
        <v>0</v>
      </c>
      <c r="D26" s="6">
        <f t="shared" si="0"/>
        <v>0</v>
      </c>
      <c r="E26" t="s">
        <v>100</v>
      </c>
    </row>
    <row r="27" spans="1:13" ht="15" customHeight="1" x14ac:dyDescent="0.25">
      <c r="A27" t="s">
        <v>77</v>
      </c>
      <c r="B27" s="1">
        <f>COUNTIF(Data!I2:I1048576,"Western Europe")</f>
        <v>0</v>
      </c>
      <c r="D27" s="6">
        <f t="shared" si="0"/>
        <v>0</v>
      </c>
      <c r="E27" t="s">
        <v>100</v>
      </c>
    </row>
    <row r="28" spans="1:13" ht="15" customHeight="1" x14ac:dyDescent="0.25">
      <c r="A28" t="s">
        <v>83</v>
      </c>
      <c r="B28" s="1">
        <f>COUNTIF(Data!I2:I1048576,"Eastern Europe")</f>
        <v>0</v>
      </c>
      <c r="D28" s="6">
        <f t="shared" si="0"/>
        <v>0</v>
      </c>
      <c r="E28" t="s">
        <v>100</v>
      </c>
    </row>
    <row r="29" spans="1:13" ht="15" customHeight="1" x14ac:dyDescent="0.25">
      <c r="A29" t="s">
        <v>78</v>
      </c>
      <c r="B29" s="1">
        <f>COUNTIF(Data!I2:I1048576,"Western Asia")</f>
        <v>0</v>
      </c>
      <c r="D29" s="6">
        <f t="shared" si="0"/>
        <v>0</v>
      </c>
      <c r="E29" t="s">
        <v>100</v>
      </c>
    </row>
    <row r="30" spans="1:13" ht="15" customHeight="1" x14ac:dyDescent="0.25">
      <c r="A30" t="s">
        <v>79</v>
      </c>
      <c r="B30" s="1">
        <f>COUNTIF(Data!I2:I1048576,"Central Asia")</f>
        <v>0</v>
      </c>
      <c r="D30" s="6">
        <f t="shared" si="0"/>
        <v>0</v>
      </c>
      <c r="E30" t="s">
        <v>100</v>
      </c>
    </row>
    <row r="31" spans="1:13" ht="15" customHeight="1" x14ac:dyDescent="0.25">
      <c r="A31" t="s">
        <v>69</v>
      </c>
      <c r="B31" s="1">
        <f>COUNTIF(Data!I2:I1048576,"Northern Africa")</f>
        <v>0</v>
      </c>
      <c r="D31" s="6">
        <f t="shared" si="0"/>
        <v>0</v>
      </c>
      <c r="E31" t="s">
        <v>100</v>
      </c>
    </row>
    <row r="32" spans="1:13" ht="15" customHeight="1" x14ac:dyDescent="0.25">
      <c r="A32" t="s">
        <v>68</v>
      </c>
      <c r="B32" s="1">
        <f>COUNTIFS(Data!I2:I1048576,"Middle Africa",Data!I2:I1048576,"Western Africa",Data!I2:I1048576,"Eastern Africa")</f>
        <v>0</v>
      </c>
      <c r="D32" s="6">
        <f t="shared" si="0"/>
        <v>0</v>
      </c>
      <c r="E32" t="s">
        <v>100</v>
      </c>
    </row>
    <row r="33" spans="1:7" ht="15" customHeight="1" x14ac:dyDescent="0.25">
      <c r="A33" t="s">
        <v>80</v>
      </c>
      <c r="B33" s="1">
        <f>COUNTIF(Data!I2:I1048576,"Southern Africa")</f>
        <v>0</v>
      </c>
      <c r="D33" s="6">
        <f t="shared" si="0"/>
        <v>0</v>
      </c>
      <c r="E33" t="s">
        <v>100</v>
      </c>
    </row>
    <row r="34" spans="1:7" ht="15" customHeight="1" x14ac:dyDescent="0.25">
      <c r="B34" s="1"/>
    </row>
    <row r="35" spans="1:7" ht="15" customHeight="1" thickBot="1" x14ac:dyDescent="0.3">
      <c r="A35" s="7" t="s">
        <v>50</v>
      </c>
      <c r="B35" s="7"/>
      <c r="C35" s="7"/>
      <c r="D35" s="7"/>
      <c r="E35" s="7"/>
      <c r="F35" s="7"/>
      <c r="G35" s="7"/>
    </row>
    <row r="36" spans="1:7" ht="15" customHeight="1" x14ac:dyDescent="0.25">
      <c r="B36" s="1"/>
    </row>
    <row r="37" spans="1:7" ht="15" customHeight="1" x14ac:dyDescent="0.25">
      <c r="A37" t="s">
        <v>87</v>
      </c>
      <c r="B37" s="1">
        <f>COUNTIF(Data!Q2:Q1048576,"Yes")</f>
        <v>0</v>
      </c>
      <c r="D37" s="6">
        <f>$B37/$B$10</f>
        <v>0</v>
      </c>
      <c r="E37" t="s">
        <v>100</v>
      </c>
    </row>
    <row r="38" spans="1:7" ht="15" customHeight="1" x14ac:dyDescent="0.25">
      <c r="A38" t="s">
        <v>88</v>
      </c>
      <c r="B38" s="1">
        <f>COUNTIF(Data!T2:T1048576,"Yes")</f>
        <v>0</v>
      </c>
      <c r="D38" s="6">
        <f>$B38/$B$10</f>
        <v>0</v>
      </c>
      <c r="E38" t="s">
        <v>100</v>
      </c>
    </row>
    <row r="39" spans="1:7" ht="15" customHeight="1" x14ac:dyDescent="0.25">
      <c r="A39" t="s">
        <v>89</v>
      </c>
      <c r="B39" s="1">
        <f>COUNTIF(Data!W2:W1048576,"Yes")</f>
        <v>0</v>
      </c>
      <c r="D39" s="6">
        <f>$B39/$B$10</f>
        <v>0</v>
      </c>
      <c r="E39" t="s">
        <v>100</v>
      </c>
    </row>
    <row r="40" spans="1:7" ht="15" customHeight="1" x14ac:dyDescent="0.25">
      <c r="A40" t="s">
        <v>90</v>
      </c>
      <c r="B40" s="1">
        <f>COUNTIF(Data!Z2:Z1048576,"Yes")</f>
        <v>0</v>
      </c>
      <c r="D40" s="6">
        <f>$B40/$B$10</f>
        <v>0</v>
      </c>
      <c r="E40" t="s">
        <v>100</v>
      </c>
    </row>
    <row r="41" spans="1:7" ht="15" customHeight="1" x14ac:dyDescent="0.25">
      <c r="B41" s="1"/>
    </row>
    <row r="42" spans="1:7" ht="15" customHeight="1" x14ac:dyDescent="0.25">
      <c r="A42" t="s">
        <v>51</v>
      </c>
      <c r="B42" s="4">
        <f>SUM(Data!R2:R1048576)</f>
        <v>2</v>
      </c>
    </row>
    <row r="43" spans="1:7" ht="15" customHeight="1" x14ac:dyDescent="0.25">
      <c r="A43" t="s">
        <v>52</v>
      </c>
      <c r="B43" s="3">
        <f>SUM(Data!U2:U1048576)</f>
        <v>2</v>
      </c>
    </row>
    <row r="44" spans="1:7" ht="15" customHeight="1" x14ac:dyDescent="0.25">
      <c r="A44" t="s">
        <v>53</v>
      </c>
      <c r="B44" s="5">
        <f>SUM(Data!X2:X1048576)</f>
        <v>2</v>
      </c>
    </row>
    <row r="45" spans="1:7" ht="15" customHeight="1" x14ac:dyDescent="0.25">
      <c r="A45" t="s">
        <v>54</v>
      </c>
      <c r="B45" s="3">
        <f>SUM(Data!AA2:AA1048576)</f>
        <v>2</v>
      </c>
    </row>
    <row r="46" spans="1:7" ht="15" customHeight="1" x14ac:dyDescent="0.25">
      <c r="B46" s="3"/>
    </row>
    <row r="47" spans="1:7" ht="15" customHeight="1" x14ac:dyDescent="0.25">
      <c r="A47" t="s">
        <v>131</v>
      </c>
      <c r="B47" s="19">
        <f>IFERROR(AVERAGEIFS(Data!R2:R1048576,Data!Q2:Q1048576,"Yes"),0)</f>
        <v>0</v>
      </c>
    </row>
    <row r="48" spans="1:7" ht="15" customHeight="1" x14ac:dyDescent="0.25">
      <c r="A48" t="s">
        <v>130</v>
      </c>
      <c r="B48" s="20">
        <f>IFERROR(AVERAGEIFS(Data!U2:U1048576,Data!T2:T1048576,"Yes"),)</f>
        <v>0</v>
      </c>
    </row>
    <row r="49" spans="1:7" ht="15" customHeight="1" x14ac:dyDescent="0.25">
      <c r="A49" t="s">
        <v>132</v>
      </c>
      <c r="B49" s="21">
        <f>IFERROR(AVERAGEIFS(Data!X2:X1048576,Data!W2:W1048576,"Yes"),0)</f>
        <v>0</v>
      </c>
    </row>
    <row r="50" spans="1:7" ht="15" customHeight="1" x14ac:dyDescent="0.25">
      <c r="A50" t="s">
        <v>133</v>
      </c>
      <c r="B50" s="20">
        <f>IFERROR(AVERAGEIFS(Data!AA2:AA1048576,Data!Z2:Z1048576,"Yes"),0)</f>
        <v>0</v>
      </c>
    </row>
    <row r="51" spans="1:7" ht="15" customHeight="1" x14ac:dyDescent="0.25"/>
    <row r="52" spans="1:7" ht="15.75" thickBot="1" x14ac:dyDescent="0.3">
      <c r="A52" s="7" t="s">
        <v>66</v>
      </c>
      <c r="B52" s="7"/>
      <c r="C52" s="7"/>
      <c r="D52" s="7"/>
      <c r="E52" s="7"/>
      <c r="F52" s="7"/>
      <c r="G52" s="7"/>
    </row>
    <row r="54" spans="1:7" x14ac:dyDescent="0.25">
      <c r="A54" t="s">
        <v>91</v>
      </c>
      <c r="B54" s="1">
        <f>COUNTIF(Data!CH2:CH1048576,"Yes")</f>
        <v>0</v>
      </c>
      <c r="D54" s="6">
        <f>$B54/$B$10</f>
        <v>0</v>
      </c>
      <c r="E54" t="s">
        <v>100</v>
      </c>
    </row>
    <row r="55" spans="1:7" x14ac:dyDescent="0.25">
      <c r="A55" t="s">
        <v>92</v>
      </c>
      <c r="B55" s="1">
        <f>COUNTIF(Data!CI2:CI1048576,"Yes")</f>
        <v>0</v>
      </c>
      <c r="D55" s="6">
        <f>$B55/$B$10</f>
        <v>0</v>
      </c>
      <c r="E55" t="s">
        <v>100</v>
      </c>
    </row>
    <row r="56" spans="1:7" x14ac:dyDescent="0.25">
      <c r="A56" t="s">
        <v>93</v>
      </c>
      <c r="B56" s="1">
        <f>COUNTIF(Data!CJ2:CJ1048576,"Yes")</f>
        <v>0</v>
      </c>
      <c r="D56" s="6">
        <f>$B56/$B$10</f>
        <v>0</v>
      </c>
      <c r="E56" t="s">
        <v>100</v>
      </c>
    </row>
    <row r="57" spans="1:7" x14ac:dyDescent="0.25">
      <c r="A57" t="s">
        <v>94</v>
      </c>
      <c r="B57" s="1">
        <f>COUNTIF(Data!CK2:CK1048576,"Yes")</f>
        <v>0</v>
      </c>
      <c r="D57" s="6">
        <f>$B57/$B$10</f>
        <v>0</v>
      </c>
      <c r="E57" t="s">
        <v>100</v>
      </c>
    </row>
    <row r="58" spans="1:7" x14ac:dyDescent="0.25">
      <c r="A58" t="s">
        <v>95</v>
      </c>
      <c r="B58" s="1">
        <f>COUNTIF(Data!CL2:CL1048576,"Yes")</f>
        <v>0</v>
      </c>
      <c r="D58" s="6">
        <f>$B58/$B$10</f>
        <v>0</v>
      </c>
      <c r="E58" t="s">
        <v>100</v>
      </c>
    </row>
    <row r="60" spans="1:7" x14ac:dyDescent="0.25">
      <c r="A60" s="10" t="s">
        <v>72</v>
      </c>
      <c r="B60" s="10"/>
      <c r="C60" s="10"/>
      <c r="D60" s="10"/>
      <c r="E60" s="10"/>
      <c r="F60" s="10"/>
      <c r="G60" s="10"/>
    </row>
    <row r="61" spans="1:7" x14ac:dyDescent="0.25">
      <c r="A61" t="s">
        <v>96</v>
      </c>
      <c r="B61" s="1">
        <f>COUNTIF(Data!CM2:CM1048576,"A-customer")</f>
        <v>0</v>
      </c>
      <c r="D61" s="6">
        <f>$B61/$B$10</f>
        <v>0</v>
      </c>
      <c r="E61" t="s">
        <v>100</v>
      </c>
    </row>
    <row r="62" spans="1:7" x14ac:dyDescent="0.25">
      <c r="A62" t="s">
        <v>97</v>
      </c>
      <c r="B62" s="1">
        <f>COUNTIF(Data!CM2:CM1048576,"B-customer")</f>
        <v>0</v>
      </c>
      <c r="D62" s="6">
        <f>$B62/$B$10</f>
        <v>0</v>
      </c>
      <c r="E62" t="s">
        <v>100</v>
      </c>
    </row>
    <row r="63" spans="1:7" x14ac:dyDescent="0.25">
      <c r="A63" t="s">
        <v>98</v>
      </c>
      <c r="B63" s="1">
        <f>COUNTIF(Data!CM2:CM1048576,"C-customer")</f>
        <v>0</v>
      </c>
      <c r="D63" s="6">
        <f>$B63/$B$10</f>
        <v>0</v>
      </c>
      <c r="E63" t="s">
        <v>100</v>
      </c>
    </row>
    <row r="64" spans="1:7" x14ac:dyDescent="0.25">
      <c r="B64" s="1"/>
      <c r="D64" s="6"/>
    </row>
    <row r="65" spans="1:7" x14ac:dyDescent="0.25">
      <c r="B65" s="1"/>
      <c r="D65" s="6"/>
    </row>
    <row r="66" spans="1:7" x14ac:dyDescent="0.25">
      <c r="B66" s="1"/>
      <c r="D66" s="6"/>
    </row>
    <row r="67" spans="1:7" x14ac:dyDescent="0.25">
      <c r="A67" t="s">
        <v>101</v>
      </c>
      <c r="B67" s="1">
        <f>COUNTIF(Data!CO2:CO1048576,"&lt; 6 months")</f>
        <v>0</v>
      </c>
      <c r="D67" s="6">
        <f>$B67/$B$10</f>
        <v>0</v>
      </c>
      <c r="E67" t="s">
        <v>100</v>
      </c>
    </row>
    <row r="68" spans="1:7" x14ac:dyDescent="0.25">
      <c r="A68" t="s">
        <v>102</v>
      </c>
      <c r="B68" s="1">
        <f>COUNTIF(Data!CO2:CO1048576,"6~12 months")</f>
        <v>0</v>
      </c>
      <c r="D68" s="6">
        <f>$B68/$B$10</f>
        <v>0</v>
      </c>
      <c r="E68" t="s">
        <v>100</v>
      </c>
    </row>
    <row r="69" spans="1:7" x14ac:dyDescent="0.25">
      <c r="A69" t="s">
        <v>103</v>
      </c>
      <c r="B69" s="1">
        <f>COUNTIF(Data!CO2:CO1048576,"1~2 years")</f>
        <v>0</v>
      </c>
      <c r="D69" s="6">
        <f>$B69/$B$10</f>
        <v>0</v>
      </c>
      <c r="E69" t="s">
        <v>100</v>
      </c>
    </row>
    <row r="70" spans="1:7" x14ac:dyDescent="0.25">
      <c r="A70" t="s">
        <v>104</v>
      </c>
      <c r="B70" s="1">
        <f>COUNTIF(Data!CO2:CO1048576,"&gt; 2 years")</f>
        <v>0</v>
      </c>
      <c r="D70" s="6">
        <f>$B70/$B$10</f>
        <v>0</v>
      </c>
      <c r="E70" t="s">
        <v>100</v>
      </c>
    </row>
    <row r="71" spans="1:7" x14ac:dyDescent="0.25">
      <c r="A71" t="s">
        <v>105</v>
      </c>
      <c r="B71" s="1">
        <f>COUNTIF(Data!CO2:CO1048576,"&gt; 5 years")</f>
        <v>0</v>
      </c>
      <c r="D71" s="6">
        <f>$B71/$B$10</f>
        <v>0</v>
      </c>
      <c r="E71" t="s">
        <v>100</v>
      </c>
    </row>
    <row r="73" spans="1:7" x14ac:dyDescent="0.25">
      <c r="A73" t="s">
        <v>106</v>
      </c>
      <c r="B73" s="1">
        <f>COUNTIF(Data!CN2:CN1048576,"Weekly")</f>
        <v>0</v>
      </c>
      <c r="D73" s="6">
        <f>$B73/$B$10</f>
        <v>0</v>
      </c>
      <c r="E73" t="s">
        <v>100</v>
      </c>
    </row>
    <row r="74" spans="1:7" x14ac:dyDescent="0.25">
      <c r="A74" t="s">
        <v>107</v>
      </c>
      <c r="B74" s="1">
        <f>COUNTIF(Data!CN2:CN1048576,"Monthly")</f>
        <v>0</v>
      </c>
      <c r="D74" s="6">
        <f>$B74/$B$10</f>
        <v>0</v>
      </c>
      <c r="E74" t="s">
        <v>100</v>
      </c>
    </row>
    <row r="75" spans="1:7" x14ac:dyDescent="0.25">
      <c r="A75" t="s">
        <v>109</v>
      </c>
      <c r="B75" s="1">
        <f>COUNTIF(Data!CN2:CN1048576,"Quarterly")</f>
        <v>0</v>
      </c>
      <c r="D75" s="6">
        <f>$B75/$B$10</f>
        <v>0</v>
      </c>
      <c r="E75" t="s">
        <v>100</v>
      </c>
    </row>
    <row r="76" spans="1:7" x14ac:dyDescent="0.25">
      <c r="A76" t="s">
        <v>108</v>
      </c>
      <c r="B76" s="1">
        <f>COUNTIF(Data!CN2:CN1048576,"Yearly")</f>
        <v>0</v>
      </c>
      <c r="D76" s="6">
        <f>$B76/$B$10</f>
        <v>0</v>
      </c>
      <c r="E76" t="s">
        <v>100</v>
      </c>
    </row>
    <row r="78" spans="1:7" ht="15.75" thickBot="1" x14ac:dyDescent="0.3">
      <c r="A78" s="7" t="s">
        <v>110</v>
      </c>
      <c r="B78" s="7"/>
      <c r="C78" s="7"/>
      <c r="D78" s="7"/>
      <c r="E78" s="7"/>
      <c r="F78" s="7"/>
      <c r="G78" s="7"/>
    </row>
    <row r="80" spans="1:7" x14ac:dyDescent="0.25">
      <c r="A80" t="s">
        <v>204</v>
      </c>
      <c r="B80" s="1">
        <f>COUNTIF(Data!CQ2:CQ1048576,"1~2")</f>
        <v>0</v>
      </c>
      <c r="D80" s="6">
        <f>$B80/$B$10</f>
        <v>0</v>
      </c>
      <c r="E80" t="s">
        <v>100</v>
      </c>
    </row>
    <row r="81" spans="1:7" x14ac:dyDescent="0.25">
      <c r="A81" t="s">
        <v>205</v>
      </c>
      <c r="B81" s="1">
        <f>COUNTIF(Data!CQ2:CQ1048576,"4~6")</f>
        <v>0</v>
      </c>
      <c r="D81" s="6">
        <f>$B81/$B$10</f>
        <v>0</v>
      </c>
      <c r="E81" t="s">
        <v>100</v>
      </c>
    </row>
    <row r="82" spans="1:7" x14ac:dyDescent="0.25">
      <c r="A82" t="s">
        <v>206</v>
      </c>
      <c r="B82" s="1">
        <f>COUNTIF(Data!CQ2:CQ1048576,"7~10")</f>
        <v>0</v>
      </c>
      <c r="D82" s="6">
        <f>$B82/$B$10</f>
        <v>0</v>
      </c>
      <c r="E82" t="s">
        <v>100</v>
      </c>
    </row>
    <row r="83" spans="1:7" x14ac:dyDescent="0.25">
      <c r="A83" t="s">
        <v>207</v>
      </c>
      <c r="B83" s="1">
        <f>COUNTIF(Data!CQ2:CQ1048576,"&gt;10")</f>
        <v>0</v>
      </c>
      <c r="D83" s="6">
        <f>$B83/$B$10</f>
        <v>0</v>
      </c>
      <c r="E83" t="s">
        <v>100</v>
      </c>
    </row>
    <row r="85" spans="1:7" ht="15.75" thickBot="1" x14ac:dyDescent="0.3">
      <c r="A85" s="7" t="s">
        <v>116</v>
      </c>
      <c r="B85" s="7"/>
      <c r="C85" s="7"/>
      <c r="D85" s="7"/>
      <c r="E85" s="7"/>
      <c r="F85" s="7"/>
      <c r="G85" s="7"/>
    </row>
    <row r="87" spans="1:7" x14ac:dyDescent="0.25">
      <c r="A87" t="s">
        <v>111</v>
      </c>
      <c r="B87" s="1">
        <f>COUNTIF(Data!CR2:CR1048576,"1")</f>
        <v>0</v>
      </c>
      <c r="D87" s="6">
        <f>$B87/$B$10</f>
        <v>0</v>
      </c>
      <c r="E87" t="s">
        <v>100</v>
      </c>
    </row>
    <row r="88" spans="1:7" x14ac:dyDescent="0.25">
      <c r="A88" t="s">
        <v>114</v>
      </c>
      <c r="B88" s="1">
        <f>COUNTIF(Data!CR2:CR1048576,"1~2")</f>
        <v>0</v>
      </c>
      <c r="D88" s="6">
        <f>$B88/$B$10</f>
        <v>0</v>
      </c>
      <c r="E88" t="s">
        <v>100</v>
      </c>
    </row>
    <row r="89" spans="1:7" x14ac:dyDescent="0.25">
      <c r="A89" t="s">
        <v>113</v>
      </c>
      <c r="B89" s="1">
        <f>COUNTIF(Data!CR2:CR1048576,"2~3")</f>
        <v>0</v>
      </c>
      <c r="D89" s="6">
        <f>$B89/$B$10</f>
        <v>0</v>
      </c>
      <c r="E89" t="s">
        <v>100</v>
      </c>
    </row>
    <row r="90" spans="1:7" x14ac:dyDescent="0.25">
      <c r="A90" t="s">
        <v>112</v>
      </c>
      <c r="B90" s="1">
        <f>COUNTIF(Data!CR2:CR1048576,"&gt;3")</f>
        <v>0</v>
      </c>
      <c r="D90" s="6">
        <f>$B90/$B$10</f>
        <v>0</v>
      </c>
      <c r="E90" t="s">
        <v>100</v>
      </c>
    </row>
    <row r="91" spans="1:7" x14ac:dyDescent="0.25">
      <c r="A91" t="s">
        <v>115</v>
      </c>
      <c r="B91" s="1">
        <f>COUNTIFS(Data!CR2:CR1048576,"Unknown",Data!CR2:CR1048576,"")</f>
        <v>0</v>
      </c>
      <c r="D91" s="6">
        <f>$B91/$B$10</f>
        <v>0</v>
      </c>
      <c r="E91" t="s">
        <v>100</v>
      </c>
    </row>
    <row r="93" spans="1:7" x14ac:dyDescent="0.25">
      <c r="A93" t="s">
        <v>117</v>
      </c>
      <c r="B93" s="1">
        <f>COUNTIF(Data!CR2:CR1048576,"Price competitiveness")</f>
        <v>0</v>
      </c>
      <c r="D93" s="6">
        <f>$B93/$B$10</f>
        <v>0</v>
      </c>
      <c r="E93" t="s">
        <v>100</v>
      </c>
    </row>
    <row r="94" spans="1:7" x14ac:dyDescent="0.25">
      <c r="A94" t="s">
        <v>118</v>
      </c>
      <c r="B94" s="1">
        <f>COUNTIF(Data!CR2:CR1048576,"History with the company")</f>
        <v>0</v>
      </c>
      <c r="D94" s="6">
        <f>$B94/$B$10</f>
        <v>0</v>
      </c>
      <c r="E94" t="s">
        <v>100</v>
      </c>
    </row>
    <row r="95" spans="1:7" x14ac:dyDescent="0.25">
      <c r="A95" t="s">
        <v>119</v>
      </c>
      <c r="B95" s="1">
        <f>COUNTIF(Data!CR2:CR1048576,"Ability to answer to all lanes")</f>
        <v>0</v>
      </c>
      <c r="D95" s="6">
        <f>$B95/$B$10</f>
        <v>0</v>
      </c>
      <c r="E95" t="s">
        <v>100</v>
      </c>
    </row>
    <row r="96" spans="1:7" x14ac:dyDescent="0.25">
      <c r="A96" t="s">
        <v>120</v>
      </c>
      <c r="B96" s="1">
        <f>COUNTIF(Data!CR2:CR1048576,"Ability to provide an extended offer")</f>
        <v>0</v>
      </c>
      <c r="D96" s="6">
        <f>$B96/$B$10</f>
        <v>0</v>
      </c>
      <c r="E96" t="s">
        <v>100</v>
      </c>
    </row>
    <row r="97" spans="1:7" x14ac:dyDescent="0.25">
      <c r="A97" t="s">
        <v>121</v>
      </c>
      <c r="B97" s="1">
        <f>COUNTIFS(Data!CR2:CR1048576,"Unknown",Data!CR2:CR1048576,"")</f>
        <v>0</v>
      </c>
      <c r="D97" s="6">
        <f>$B97/$B$10</f>
        <v>0</v>
      </c>
      <c r="E97" t="s">
        <v>100</v>
      </c>
    </row>
    <row r="99" spans="1:7" ht="15" customHeight="1" x14ac:dyDescent="0.25">
      <c r="A99" t="s">
        <v>122</v>
      </c>
      <c r="B99" s="1">
        <f>COUNTIF(Data!CT2:CT1048576,"Yes")</f>
        <v>0</v>
      </c>
      <c r="D99" s="6">
        <f>$B99/$B$10</f>
        <v>0</v>
      </c>
      <c r="E99" t="s">
        <v>100</v>
      </c>
    </row>
    <row r="100" spans="1:7" x14ac:dyDescent="0.25">
      <c r="A100" t="s">
        <v>123</v>
      </c>
      <c r="B100" s="1">
        <f>COUNTIF(Data!CT2:CT1048576,"No")</f>
        <v>0</v>
      </c>
      <c r="D100" s="6">
        <f>$B100/$B$10</f>
        <v>0</v>
      </c>
      <c r="E100" t="s">
        <v>100</v>
      </c>
    </row>
    <row r="101" spans="1:7" ht="18" thickBot="1" x14ac:dyDescent="0.35">
      <c r="A101" s="2" t="s">
        <v>125</v>
      </c>
      <c r="B101" s="2"/>
      <c r="C101" s="2"/>
      <c r="D101" s="2"/>
      <c r="E101" s="2"/>
      <c r="F101" s="2"/>
      <c r="G101" s="2"/>
    </row>
    <row r="102" spans="1:7" ht="15.75" thickTop="1" x14ac:dyDescent="0.25"/>
    <row r="103" spans="1:7" ht="15.75" thickBot="1" x14ac:dyDescent="0.3">
      <c r="A103" s="7" t="s">
        <v>126</v>
      </c>
      <c r="B103" s="7"/>
      <c r="C103" s="7"/>
      <c r="D103" s="7"/>
      <c r="E103" s="7"/>
      <c r="F103" s="7"/>
      <c r="G103" s="7"/>
    </row>
    <row r="105" spans="1:7" x14ac:dyDescent="0.25">
      <c r="A105" t="s">
        <v>127</v>
      </c>
      <c r="B105" s="30">
        <f>IFERROR(ABS(AVERAGE(Data!CU:CU)),"-")</f>
        <v>1</v>
      </c>
    </row>
    <row r="106" spans="1:7" x14ac:dyDescent="0.25">
      <c r="A106" t="s">
        <v>160</v>
      </c>
      <c r="B106" s="30" t="str">
        <f>IFERROR(ABS(AVERAGE(Data!CV:CV)),"-")</f>
        <v>-</v>
      </c>
    </row>
    <row r="108" spans="1:7" ht="15.75" thickBot="1" x14ac:dyDescent="0.3">
      <c r="A108" s="7" t="s">
        <v>136</v>
      </c>
      <c r="B108" s="7"/>
      <c r="C108" s="7"/>
      <c r="D108" s="7"/>
      <c r="E108" s="7"/>
      <c r="F108" s="7"/>
      <c r="G108" s="7"/>
    </row>
    <row r="110" spans="1:7" x14ac:dyDescent="0.25">
      <c r="A110" t="s">
        <v>128</v>
      </c>
      <c r="B110" s="29" t="str">
        <f>IFERROR(AVERAGEIFS(Data!BQ2:BQ1048576,Data!A2:A1048576,"&lt;&gt;"&amp;""),"-")</f>
        <v>-</v>
      </c>
    </row>
    <row r="111" spans="1:7" x14ac:dyDescent="0.25">
      <c r="A111" t="s">
        <v>129</v>
      </c>
      <c r="B111" s="30" t="str">
        <f>IFERROR(AVERAGEIFS(Data!BR2:BR1048576,Data!A2:A1048576,"&lt;&gt;"&amp;""),"-")</f>
        <v>-</v>
      </c>
    </row>
    <row r="113" spans="1:7" ht="15.75" thickBot="1" x14ac:dyDescent="0.3">
      <c r="A113" s="7" t="s">
        <v>137</v>
      </c>
      <c r="B113" s="7"/>
      <c r="C113" s="7"/>
      <c r="D113" s="7"/>
      <c r="E113" s="7"/>
      <c r="F113" s="7"/>
      <c r="G113" s="7"/>
    </row>
    <row r="115" spans="1:7" x14ac:dyDescent="0.25">
      <c r="A115" t="s">
        <v>138</v>
      </c>
      <c r="B115" s="1">
        <f>COUNTIF(Data!BY2:BY1048576,"Yes")</f>
        <v>0</v>
      </c>
      <c r="D115" s="6">
        <f t="shared" ref="D115:D122" si="2">$B115/$B$10</f>
        <v>0</v>
      </c>
      <c r="E115" t="s">
        <v>100</v>
      </c>
    </row>
    <row r="116" spans="1:7" x14ac:dyDescent="0.25">
      <c r="A116" t="s">
        <v>139</v>
      </c>
      <c r="B116" s="1">
        <f>COUNTIF(Data!BZ2:BZ1048576,"Yes")</f>
        <v>0</v>
      </c>
      <c r="D116" s="6">
        <f t="shared" si="2"/>
        <v>0</v>
      </c>
      <c r="E116" t="s">
        <v>100</v>
      </c>
    </row>
    <row r="117" spans="1:7" x14ac:dyDescent="0.25">
      <c r="A117" t="s">
        <v>140</v>
      </c>
      <c r="B117" s="1">
        <f>COUNTIF(Data!CA2:CA1048576,"Yes")</f>
        <v>0</v>
      </c>
      <c r="D117" s="6">
        <f t="shared" si="2"/>
        <v>0</v>
      </c>
      <c r="E117" t="s">
        <v>100</v>
      </c>
    </row>
    <row r="118" spans="1:7" x14ac:dyDescent="0.25">
      <c r="A118" t="s">
        <v>141</v>
      </c>
      <c r="B118" s="1">
        <f>COUNTIF(Data!CB2:CB1048576,"Yes")</f>
        <v>0</v>
      </c>
      <c r="D118" s="6">
        <f t="shared" si="2"/>
        <v>0</v>
      </c>
      <c r="E118" t="s">
        <v>100</v>
      </c>
    </row>
    <row r="119" spans="1:7" x14ac:dyDescent="0.25">
      <c r="A119" t="s">
        <v>142</v>
      </c>
      <c r="B119" s="1">
        <f>COUNTIF(Data!CC2:CC1048576,"Yes")</f>
        <v>0</v>
      </c>
      <c r="D119" s="6">
        <f t="shared" si="2"/>
        <v>0</v>
      </c>
      <c r="E119" t="s">
        <v>100</v>
      </c>
    </row>
    <row r="120" spans="1:7" x14ac:dyDescent="0.25">
      <c r="A120" t="s">
        <v>143</v>
      </c>
      <c r="B120" s="1">
        <f>COUNTIF(Data!CD2:CD1048576,"Yes")</f>
        <v>0</v>
      </c>
      <c r="D120" s="6">
        <f t="shared" si="2"/>
        <v>0</v>
      </c>
      <c r="E120" t="s">
        <v>100</v>
      </c>
    </row>
    <row r="121" spans="1:7" x14ac:dyDescent="0.25">
      <c r="A121" t="s">
        <v>144</v>
      </c>
      <c r="B121" s="1">
        <f>COUNTIF(Data!CE2:CE1048576,"Yes")</f>
        <v>0</v>
      </c>
      <c r="D121" s="6">
        <f t="shared" si="2"/>
        <v>0</v>
      </c>
      <c r="E121" t="s">
        <v>100</v>
      </c>
    </row>
    <row r="122" spans="1:7" x14ac:dyDescent="0.25">
      <c r="A122" t="s">
        <v>145</v>
      </c>
      <c r="B122" s="1">
        <f>COUNTIF(Data!BX2:BX1048576,"Yes")</f>
        <v>0</v>
      </c>
      <c r="D122" s="6">
        <f t="shared" si="2"/>
        <v>0</v>
      </c>
      <c r="E122" t="s">
        <v>100</v>
      </c>
    </row>
    <row r="124" spans="1:7" ht="15.75" thickBot="1" x14ac:dyDescent="0.3">
      <c r="A124" s="7" t="s">
        <v>146</v>
      </c>
      <c r="B124" s="7"/>
      <c r="C124" s="7"/>
      <c r="D124" s="7"/>
      <c r="E124" s="7"/>
      <c r="F124" s="7"/>
      <c r="G124" s="7"/>
    </row>
    <row r="126" spans="1:7" x14ac:dyDescent="0.25">
      <c r="A126" t="s">
        <v>147</v>
      </c>
      <c r="B126" s="1">
        <f>COUNTIF(Data!BS2:BS1048576,"Yes")</f>
        <v>0</v>
      </c>
      <c r="D126" s="6">
        <f>$B126/$B$10</f>
        <v>0</v>
      </c>
      <c r="E126" t="s">
        <v>100</v>
      </c>
    </row>
    <row r="127" spans="1:7" x14ac:dyDescent="0.25">
      <c r="A127" t="s">
        <v>148</v>
      </c>
      <c r="B127" s="1">
        <f>COUNTIF(Data!BT2:BT1048576,"Yes")</f>
        <v>0</v>
      </c>
      <c r="D127" s="6">
        <f>$B127/$B$10</f>
        <v>0</v>
      </c>
      <c r="E127" t="s">
        <v>100</v>
      </c>
    </row>
    <row r="128" spans="1:7" x14ac:dyDescent="0.25">
      <c r="A128" t="s">
        <v>149</v>
      </c>
      <c r="B128" s="1">
        <f>COUNTIF(Data!BU2:BU1048576,"Yes")</f>
        <v>0</v>
      </c>
      <c r="D128" s="6">
        <f>$B128/$B$10</f>
        <v>0</v>
      </c>
      <c r="E128" t="s">
        <v>100</v>
      </c>
    </row>
    <row r="129" spans="1:5" x14ac:dyDescent="0.25">
      <c r="A129" t="s">
        <v>150</v>
      </c>
      <c r="B129" s="1">
        <f>COUNTIF(Data!BV2:BV1048576,"Yes")</f>
        <v>0</v>
      </c>
      <c r="D129" s="6">
        <f>$B129/$B$10</f>
        <v>0</v>
      </c>
      <c r="E129" t="s">
        <v>100</v>
      </c>
    </row>
    <row r="130" spans="1:5" x14ac:dyDescent="0.25">
      <c r="A130" t="s">
        <v>151</v>
      </c>
      <c r="B130" s="1">
        <f>COUNTIF(Data!BW2:BW1048576,"Yes")</f>
        <v>0</v>
      </c>
      <c r="D130" s="6">
        <f>$B130/$B$10</f>
        <v>0</v>
      </c>
      <c r="E130" t="s">
        <v>100</v>
      </c>
    </row>
  </sheetData>
  <pageMargins left="0.23622047244094491" right="0.23622047244094491" top="1.1417322834645669" bottom="0.23622047244094491" header="0.31496062992125984" footer="0.23622047244094491"/>
  <pageSetup paperSize="9" orientation="landscape" r:id="rId1"/>
  <headerFooter>
    <oddHeader>&amp;L&amp;"+,Regular"&amp;20The Moonshot project
&amp;16Tender registrations report&amp;C&amp;"-,Bold"&amp;8&amp;KFF0000Experimental - For test purposes only &amp;"-,Regular"
&amp;"Fira Code,Regular" Development release 0.0.1&amp;R&amp;"Fira Code,Regular"&amp;8Page &amp;P / &amp;N
Report issue date: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63C-ED69-49C0-8A89-D58054A38125}">
  <dimension ref="A1:CZ3"/>
  <sheetViews>
    <sheetView workbookViewId="0">
      <selection activeCell="CU2" sqref="CU2"/>
    </sheetView>
  </sheetViews>
  <sheetFormatPr defaultRowHeight="15" x14ac:dyDescent="0.25"/>
  <cols>
    <col min="1" max="98" width="22.875" customWidth="1"/>
    <col min="99" max="104" width="28" customWidth="1"/>
  </cols>
  <sheetData>
    <row r="1" spans="1:104" x14ac:dyDescent="0.25">
      <c r="A1" t="s">
        <v>152</v>
      </c>
      <c r="B1" t="s">
        <v>1</v>
      </c>
      <c r="C1" t="s">
        <v>2</v>
      </c>
      <c r="D1" t="s">
        <v>153</v>
      </c>
      <c r="E1" t="s">
        <v>0</v>
      </c>
      <c r="F1" t="s">
        <v>209</v>
      </c>
      <c r="G1" t="s">
        <v>3</v>
      </c>
      <c r="H1" t="s">
        <v>47</v>
      </c>
      <c r="I1" t="s">
        <v>48</v>
      </c>
      <c r="J1" t="s">
        <v>4</v>
      </c>
      <c r="K1" t="s">
        <v>5</v>
      </c>
      <c r="L1" t="s">
        <v>154</v>
      </c>
      <c r="M1" t="s">
        <v>200</v>
      </c>
      <c r="N1" t="s">
        <v>201</v>
      </c>
      <c r="O1" t="s">
        <v>202</v>
      </c>
      <c r="P1" t="s">
        <v>155</v>
      </c>
      <c r="Q1" t="s">
        <v>6</v>
      </c>
      <c r="R1" t="s">
        <v>10</v>
      </c>
      <c r="S1" t="s">
        <v>173</v>
      </c>
      <c r="T1" t="s">
        <v>7</v>
      </c>
      <c r="U1" t="s">
        <v>11</v>
      </c>
      <c r="V1" t="s">
        <v>174</v>
      </c>
      <c r="W1" t="s">
        <v>8</v>
      </c>
      <c r="X1" t="s">
        <v>12</v>
      </c>
      <c r="Y1" t="s">
        <v>175</v>
      </c>
      <c r="Z1" t="s">
        <v>9</v>
      </c>
      <c r="AA1" t="s">
        <v>13</v>
      </c>
      <c r="AB1" t="s">
        <v>176</v>
      </c>
      <c r="AC1" t="s">
        <v>156</v>
      </c>
      <c r="AD1" t="s">
        <v>157</v>
      </c>
      <c r="AE1" t="s">
        <v>158</v>
      </c>
      <c r="AF1" t="s">
        <v>159</v>
      </c>
      <c r="AG1" t="s">
        <v>161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168</v>
      </c>
      <c r="BM1" t="s">
        <v>170</v>
      </c>
      <c r="BN1" t="s">
        <v>171</v>
      </c>
      <c r="BO1" t="s">
        <v>169</v>
      </c>
      <c r="BP1" t="s">
        <v>172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203</v>
      </c>
      <c r="CI1" t="s">
        <v>39</v>
      </c>
      <c r="CJ1" t="s">
        <v>40</v>
      </c>
      <c r="CK1" t="s">
        <v>41</v>
      </c>
      <c r="CL1" t="s">
        <v>42</v>
      </c>
      <c r="CM1" t="s">
        <v>43</v>
      </c>
      <c r="CN1" t="s">
        <v>194</v>
      </c>
      <c r="CO1" t="s">
        <v>195</v>
      </c>
      <c r="CP1" t="s">
        <v>196</v>
      </c>
      <c r="CQ1" t="s">
        <v>197</v>
      </c>
      <c r="CR1" t="s">
        <v>208</v>
      </c>
      <c r="CS1" t="s">
        <v>198</v>
      </c>
      <c r="CT1" t="s">
        <v>199</v>
      </c>
      <c r="CU1" t="s">
        <v>212</v>
      </c>
      <c r="CV1" t="s">
        <v>213</v>
      </c>
      <c r="CW1" t="s">
        <v>217</v>
      </c>
      <c r="CX1" t="s">
        <v>214</v>
      </c>
      <c r="CY1" t="s">
        <v>215</v>
      </c>
      <c r="CZ1" t="s">
        <v>216</v>
      </c>
    </row>
    <row r="2" spans="1:104" x14ac:dyDescent="0.25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J2">
        <v>1</v>
      </c>
      <c r="K2">
        <v>1</v>
      </c>
      <c r="Q2">
        <v>1</v>
      </c>
      <c r="R2">
        <v>1</v>
      </c>
      <c r="T2">
        <v>1</v>
      </c>
      <c r="U2">
        <v>1</v>
      </c>
      <c r="W2">
        <v>1</v>
      </c>
      <c r="X2">
        <v>1</v>
      </c>
      <c r="Z2">
        <v>1</v>
      </c>
      <c r="AA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CI2">
        <v>1</v>
      </c>
      <c r="CJ2">
        <v>1</v>
      </c>
      <c r="CK2">
        <v>1</v>
      </c>
      <c r="CL2">
        <v>1</v>
      </c>
      <c r="CM2">
        <v>1</v>
      </c>
      <c r="CU2">
        <f>DATEDIF(DataTable[[#This Row],[Tender reception date]],DataTable[[#This Row],[Record date]],"d")</f>
        <v>1</v>
      </c>
      <c r="CV2" t="e">
        <f>DATEDIF(DataTable[[#This Row],[Record date]],DataTable[[#This Row],[Tender deadline]],"d")</f>
        <v>#NUM!</v>
      </c>
    </row>
    <row r="3" spans="1:104" x14ac:dyDescent="0.25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J3">
        <v>1</v>
      </c>
      <c r="K3">
        <v>1</v>
      </c>
      <c r="Q3">
        <v>1</v>
      </c>
      <c r="R3">
        <v>1</v>
      </c>
      <c r="T3">
        <v>1</v>
      </c>
      <c r="U3">
        <v>1</v>
      </c>
      <c r="W3">
        <v>1</v>
      </c>
      <c r="X3">
        <v>1</v>
      </c>
      <c r="Z3">
        <v>1</v>
      </c>
      <c r="AA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CI3">
        <v>1</v>
      </c>
      <c r="CJ3">
        <v>1</v>
      </c>
      <c r="CK3">
        <v>1</v>
      </c>
      <c r="CL3">
        <v>1</v>
      </c>
      <c r="CM3">
        <v>1</v>
      </c>
      <c r="CU3">
        <f>DATEDIF(DataTable[[#This Row],[Tender reception date]],DataTable[[#This Row],[Record date]],"d")</f>
        <v>1</v>
      </c>
      <c r="CV3" t="e">
        <f>DATEDIF(DataTable[[#This Row],[Record date]],DataTable[[#This Row],[Tender deadline]],"d")</f>
        <v>#NUM!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Chaibgalli, Clement</dc:creator>
  <cp:lastModifiedBy>Chaibgalli, Clement</cp:lastModifiedBy>
  <cp:lastPrinted>2022-05-08T13:48:58Z</cp:lastPrinted>
  <dcterms:created xsi:type="dcterms:W3CDTF">2022-05-07T22:21:24Z</dcterms:created>
  <dcterms:modified xsi:type="dcterms:W3CDTF">2022-07-04T10:44:56Z</dcterms:modified>
</cp:coreProperties>
</file>