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avidsoncollegenc-my.sharepoint.com/personal/clmerriman_davidson_edu/Documents/Teaching--Course Material and Documents/Linear Algebra/linear-alg-standards/linear-alg-standards/Standards based exam generator/"/>
    </mc:Choice>
  </mc:AlternateContent>
  <xr:revisionPtr revIDLastSave="1067" documentId="8_{523429E8-7BA5-FA45-8CBA-2096FCB904FB}" xr6:coauthVersionLast="47" xr6:coauthVersionMax="47" xr10:uidLastSave="{EB61BA2E-094A-2049-919D-144F76468CBF}"/>
  <bookViews>
    <workbookView xWindow="0" yWindow="500" windowWidth="28800" windowHeight="17500" activeTab="8" xr2:uid="{00000000-000D-0000-FFFF-FFFF00000000}"/>
  </bookViews>
  <sheets>
    <sheet name="Homework_1_scores" sheetId="4" r:id="rId1"/>
    <sheet name="Lab_1_scores" sheetId="7" r:id="rId2"/>
    <sheet name="MiniReviewStandards" sheetId="2" r:id="rId3"/>
    <sheet name="Review_1_scores" sheetId="13" r:id="rId4"/>
    <sheet name="Review_2_scores" sheetId="17" r:id="rId5"/>
    <sheet name="Review_3_scores" sheetId="22" r:id="rId6"/>
    <sheet name="Review_4_scores" sheetId="23" r:id="rId7"/>
    <sheet name="Standards" sheetId="3" r:id="rId8"/>
    <sheet name="Grades" sheetId="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3" l="1"/>
  <c r="BN2" i="1"/>
  <c r="CL3" i="1"/>
  <c r="CL4" i="1"/>
  <c r="CL5" i="1"/>
  <c r="CL2" i="1"/>
  <c r="CP3" i="1"/>
  <c r="CP4" i="1"/>
  <c r="CP5" i="1"/>
  <c r="BE3" i="1"/>
  <c r="BE4" i="1"/>
  <c r="BE5" i="1"/>
  <c r="BE2" i="1"/>
  <c r="AU3" i="1"/>
  <c r="AU4" i="1"/>
  <c r="AU5" i="1"/>
  <c r="AU2" i="1"/>
  <c r="AB3" i="3"/>
  <c r="AC3" i="3"/>
  <c r="CH3" i="1" s="1"/>
  <c r="AD3" i="3"/>
  <c r="AE3" i="3"/>
  <c r="AF3" i="3"/>
  <c r="CK3" i="1" s="1"/>
  <c r="AB4" i="3"/>
  <c r="CG4" i="1" s="1"/>
  <c r="AC4" i="3"/>
  <c r="CH4" i="1" s="1"/>
  <c r="AD4" i="3"/>
  <c r="AE4" i="3"/>
  <c r="CJ4" i="1" s="1"/>
  <c r="AF4" i="3"/>
  <c r="CK4" i="1" s="1"/>
  <c r="AB5" i="3"/>
  <c r="AC5" i="3"/>
  <c r="CH5" i="1" s="1"/>
  <c r="AD5" i="3"/>
  <c r="AE5" i="3"/>
  <c r="CJ5" i="1" s="1"/>
  <c r="AF5" i="3"/>
  <c r="CK5" i="1" s="1"/>
  <c r="AC2" i="3"/>
  <c r="CH2" i="1" s="1"/>
  <c r="AD2" i="3"/>
  <c r="AE2" i="3"/>
  <c r="AF2" i="3"/>
  <c r="CK2" i="1" s="1"/>
  <c r="AB2" i="3"/>
  <c r="CM3" i="1"/>
  <c r="CN3" i="1"/>
  <c r="CO3" i="1"/>
  <c r="CM4" i="1"/>
  <c r="CN4" i="1"/>
  <c r="CO4" i="1"/>
  <c r="CM5" i="1"/>
  <c r="CN5" i="1"/>
  <c r="CO5" i="1"/>
  <c r="CI4" i="1"/>
  <c r="CG5" i="1"/>
  <c r="CI5" i="1"/>
  <c r="CJ2" i="1"/>
  <c r="CG3" i="1"/>
  <c r="CI3" i="1"/>
  <c r="CJ3" i="1"/>
  <c r="CI2" i="1"/>
  <c r="W3" i="3"/>
  <c r="CB3" i="1" s="1"/>
  <c r="X3" i="3"/>
  <c r="CC3" i="1" s="1"/>
  <c r="Y3" i="3"/>
  <c r="CD3" i="1" s="1"/>
  <c r="Z3" i="3"/>
  <c r="CE3" i="1" s="1"/>
  <c r="AA3" i="3"/>
  <c r="CF3" i="1" s="1"/>
  <c r="W4" i="3"/>
  <c r="CB4" i="1" s="1"/>
  <c r="X4" i="3"/>
  <c r="CC4" i="1" s="1"/>
  <c r="Y4" i="3"/>
  <c r="CD4" i="1" s="1"/>
  <c r="Z4" i="3"/>
  <c r="CE4" i="1" s="1"/>
  <c r="AA4" i="3"/>
  <c r="CF4" i="1" s="1"/>
  <c r="W5" i="3"/>
  <c r="CB5" i="1" s="1"/>
  <c r="X5" i="3"/>
  <c r="CC5" i="1" s="1"/>
  <c r="Y5" i="3"/>
  <c r="CD5" i="1" s="1"/>
  <c r="Z5" i="3"/>
  <c r="CE5" i="1" s="1"/>
  <c r="AA5" i="3"/>
  <c r="CF5" i="1" s="1"/>
  <c r="X2" i="3"/>
  <c r="CC2" i="1" s="1"/>
  <c r="Y2" i="3"/>
  <c r="CD2" i="1" s="1"/>
  <c r="Z2" i="3"/>
  <c r="CE2" i="1" s="1"/>
  <c r="AA2" i="3"/>
  <c r="CF2" i="1" s="1"/>
  <c r="Q3" i="3"/>
  <c r="BV3" i="1" s="1"/>
  <c r="R3" i="3"/>
  <c r="BW3" i="1" s="1"/>
  <c r="S3" i="3"/>
  <c r="BX3" i="1" s="1"/>
  <c r="T3" i="3"/>
  <c r="BY3" i="1" s="1"/>
  <c r="U3" i="3"/>
  <c r="BZ3" i="1" s="1"/>
  <c r="V3" i="3"/>
  <c r="CA3" i="1" s="1"/>
  <c r="Q4" i="3"/>
  <c r="BV4" i="1" s="1"/>
  <c r="R4" i="3"/>
  <c r="BW4" i="1" s="1"/>
  <c r="S4" i="3"/>
  <c r="BX4" i="1" s="1"/>
  <c r="T4" i="3"/>
  <c r="BY4" i="1" s="1"/>
  <c r="U4" i="3"/>
  <c r="BZ4" i="1" s="1"/>
  <c r="V4" i="3"/>
  <c r="CA4" i="1" s="1"/>
  <c r="Q5" i="3"/>
  <c r="BV5" i="1" s="1"/>
  <c r="R5" i="3"/>
  <c r="BW5" i="1" s="1"/>
  <c r="S5" i="3"/>
  <c r="BX5" i="1" s="1"/>
  <c r="T5" i="3"/>
  <c r="BY5" i="1" s="1"/>
  <c r="U5" i="3"/>
  <c r="BZ5" i="1" s="1"/>
  <c r="V5" i="3"/>
  <c r="CA5" i="1" s="1"/>
  <c r="R2" i="3"/>
  <c r="BW2" i="1" s="1"/>
  <c r="S2" i="3"/>
  <c r="BX2" i="1" s="1"/>
  <c r="T2" i="3"/>
  <c r="BY2" i="1" s="1"/>
  <c r="U2" i="3"/>
  <c r="BZ2" i="1" s="1"/>
  <c r="V2" i="3"/>
  <c r="CA2" i="1" s="1"/>
  <c r="Q2" i="3"/>
  <c r="BV2" i="1" s="1"/>
  <c r="L3" i="3"/>
  <c r="BQ3" i="1" s="1"/>
  <c r="M3" i="3"/>
  <c r="BR3" i="1" s="1"/>
  <c r="N3" i="3"/>
  <c r="BS3" i="1" s="1"/>
  <c r="O3" i="3"/>
  <c r="BT3" i="1" s="1"/>
  <c r="P3" i="3"/>
  <c r="BU3" i="1" s="1"/>
  <c r="L4" i="3"/>
  <c r="BQ4" i="1" s="1"/>
  <c r="M4" i="3"/>
  <c r="BR4" i="1" s="1"/>
  <c r="N4" i="3"/>
  <c r="BS4" i="1" s="1"/>
  <c r="O4" i="3"/>
  <c r="BT4" i="1" s="1"/>
  <c r="P4" i="3"/>
  <c r="BU4" i="1" s="1"/>
  <c r="L5" i="3"/>
  <c r="BQ5" i="1" s="1"/>
  <c r="M5" i="3"/>
  <c r="BR5" i="1" s="1"/>
  <c r="N5" i="3"/>
  <c r="BS5" i="1" s="1"/>
  <c r="O5" i="3"/>
  <c r="BT5" i="1" s="1"/>
  <c r="P5" i="3"/>
  <c r="BU5" i="1" s="1"/>
  <c r="I3" i="3"/>
  <c r="BN3" i="1" s="1"/>
  <c r="J3" i="3"/>
  <c r="BO3" i="1" s="1"/>
  <c r="K3" i="3"/>
  <c r="BP3" i="1" s="1"/>
  <c r="I4" i="3"/>
  <c r="BN4" i="1" s="1"/>
  <c r="J4" i="3"/>
  <c r="BO4" i="1" s="1"/>
  <c r="K4" i="3"/>
  <c r="BP4" i="1" s="1"/>
  <c r="I5" i="3"/>
  <c r="BN5" i="1" s="1"/>
  <c r="J5" i="3"/>
  <c r="BO5" i="1" s="1"/>
  <c r="K5" i="3"/>
  <c r="BP5" i="1" s="1"/>
  <c r="AB3" i="23"/>
  <c r="AB4" i="23"/>
  <c r="AB5" i="23"/>
  <c r="AB2" i="23"/>
  <c r="Y3" i="23"/>
  <c r="Z3" i="23" s="1"/>
  <c r="Y4" i="23"/>
  <c r="Z4" i="23" s="1"/>
  <c r="Y5" i="23"/>
  <c r="Z5" i="23" s="1"/>
  <c r="Y2" i="23"/>
  <c r="Z2" i="23" s="1"/>
  <c r="AB3" i="22"/>
  <c r="AB4" i="22"/>
  <c r="AB5" i="22"/>
  <c r="AB2" i="22"/>
  <c r="AC2" i="22" s="1"/>
  <c r="Y3" i="22"/>
  <c r="Y4" i="22"/>
  <c r="Y5" i="22"/>
  <c r="Y2" i="22"/>
  <c r="Z2" i="22" s="1"/>
  <c r="Z4" i="22"/>
  <c r="Z3" i="22"/>
  <c r="Z5" i="22"/>
  <c r="AE3" i="17"/>
  <c r="AE4" i="17"/>
  <c r="AE5" i="17"/>
  <c r="AC3" i="17"/>
  <c r="AC4" i="17"/>
  <c r="AC5" i="17"/>
  <c r="AB3" i="17"/>
  <c r="AB4" i="17"/>
  <c r="AB5" i="17"/>
  <c r="W3" i="13"/>
  <c r="W4" i="13"/>
  <c r="W5" i="13"/>
  <c r="W2" i="13"/>
  <c r="U3" i="13"/>
  <c r="U4" i="13"/>
  <c r="U5" i="13"/>
  <c r="U2" i="13"/>
  <c r="T3" i="13"/>
  <c r="T4" i="13"/>
  <c r="T5" i="13"/>
  <c r="T2" i="13"/>
  <c r="AC3" i="23"/>
  <c r="AC4" i="23"/>
  <c r="AC2" i="23"/>
  <c r="CG2" i="1"/>
  <c r="W2" i="3"/>
  <c r="CB2" i="1" s="1"/>
  <c r="AC5" i="22"/>
  <c r="AC3" i="22"/>
  <c r="AC4" i="22"/>
  <c r="AB2" i="17"/>
  <c r="P2" i="3"/>
  <c r="BU2" i="1" s="1"/>
  <c r="AA10" i="3" l="1"/>
  <c r="AB8" i="23"/>
  <c r="AC5" i="23"/>
  <c r="W9" i="3"/>
  <c r="Z8" i="3"/>
  <c r="Y8" i="3"/>
  <c r="X9" i="3"/>
  <c r="AB7" i="23"/>
  <c r="Y8" i="23"/>
  <c r="Y7" i="23"/>
  <c r="AB6" i="23"/>
  <c r="Y6" i="23"/>
  <c r="AA8" i="3"/>
  <c r="Y10" i="3"/>
  <c r="Z10" i="3"/>
  <c r="X8" i="3"/>
  <c r="W8" i="3"/>
  <c r="X10" i="3"/>
  <c r="AA7" i="3"/>
  <c r="W10" i="3"/>
  <c r="Z7" i="3"/>
  <c r="AA9" i="3"/>
  <c r="Y7" i="3"/>
  <c r="Z9" i="3"/>
  <c r="X7" i="3"/>
  <c r="Y9" i="3"/>
  <c r="W7" i="3"/>
  <c r="X4" i="13"/>
  <c r="AC2" i="17"/>
  <c r="S7" i="3"/>
  <c r="T10" i="3"/>
  <c r="U8" i="3"/>
  <c r="R8" i="3"/>
  <c r="M2" i="3"/>
  <c r="BR2" i="1" s="1"/>
  <c r="N2" i="3"/>
  <c r="BS2" i="1" s="1"/>
  <c r="O2" i="3"/>
  <c r="BT2" i="1" s="1"/>
  <c r="BQ2" i="1"/>
  <c r="CP2" i="1" s="1"/>
  <c r="Q7" i="3"/>
  <c r="R7" i="3"/>
  <c r="Q8" i="3"/>
  <c r="Q9" i="3"/>
  <c r="R9" i="3"/>
  <c r="Q10" i="3"/>
  <c r="R10" i="3"/>
  <c r="J2" i="3"/>
  <c r="BO2" i="1" s="1"/>
  <c r="K2" i="3"/>
  <c r="BP2" i="1" s="1"/>
  <c r="I2" i="3"/>
  <c r="AF3" i="17"/>
  <c r="Q3" i="2"/>
  <c r="Q4" i="2"/>
  <c r="Q5" i="2"/>
  <c r="Q2" i="2"/>
  <c r="AB8" i="17" l="1"/>
  <c r="AB6" i="17"/>
  <c r="AB7" i="17"/>
  <c r="Z6" i="23"/>
  <c r="AF4" i="17"/>
  <c r="T8" i="13"/>
  <c r="AF5" i="17"/>
  <c r="U7" i="13"/>
  <c r="AE2" i="17"/>
  <c r="AF2" i="17" s="1"/>
  <c r="X3" i="13"/>
  <c r="X5" i="13"/>
  <c r="X2" i="13"/>
  <c r="AC8" i="23"/>
  <c r="AC7" i="23"/>
  <c r="AC6" i="23"/>
  <c r="Z8" i="23"/>
  <c r="Z7" i="23"/>
  <c r="T6" i="13"/>
  <c r="T7" i="13"/>
  <c r="V10" i="3"/>
  <c r="T8" i="3"/>
  <c r="S8" i="3"/>
  <c r="U10" i="3"/>
  <c r="V8" i="3"/>
  <c r="V9" i="3"/>
  <c r="V7" i="3"/>
  <c r="U9" i="3"/>
  <c r="U7" i="3"/>
  <c r="S10" i="3"/>
  <c r="T9" i="3"/>
  <c r="T7" i="3"/>
  <c r="S9" i="3"/>
  <c r="D3" i="3"/>
  <c r="D4" i="3"/>
  <c r="D5" i="3"/>
  <c r="D2" i="3"/>
  <c r="E3" i="3"/>
  <c r="E4" i="3"/>
  <c r="M8" i="3"/>
  <c r="N8" i="3"/>
  <c r="L7" i="3"/>
  <c r="M7" i="3"/>
  <c r="N7" i="3"/>
  <c r="O7" i="3"/>
  <c r="P7" i="3"/>
  <c r="E5" i="3"/>
  <c r="L9" i="3"/>
  <c r="E2" i="3"/>
  <c r="N9" i="3"/>
  <c r="O8" i="3"/>
  <c r="P8" i="3"/>
  <c r="X6" i="13" l="1"/>
  <c r="X7" i="13"/>
  <c r="W6" i="13"/>
  <c r="U8" i="13"/>
  <c r="U6" i="13"/>
  <c r="W8" i="13"/>
  <c r="W7" i="13"/>
  <c r="X8" i="13"/>
  <c r="AE6" i="17"/>
  <c r="AE8" i="17"/>
  <c r="AE7" i="17"/>
  <c r="AC6" i="17"/>
  <c r="AC8" i="17"/>
  <c r="AC7" i="17"/>
  <c r="P10" i="3"/>
  <c r="O10" i="3"/>
  <c r="N10" i="3"/>
  <c r="L8" i="3"/>
  <c r="M10" i="3"/>
  <c r="L10" i="3"/>
  <c r="P9" i="3"/>
  <c r="O9" i="3"/>
  <c r="M9" i="3"/>
  <c r="AF6" i="17" l="1"/>
  <c r="AF7" i="17"/>
  <c r="AF8" i="17"/>
  <c r="CO2" i="1"/>
  <c r="CM2" i="1"/>
  <c r="CN2" i="1" l="1"/>
  <c r="K7" i="3" l="1"/>
  <c r="J8" i="3"/>
  <c r="J9" i="3"/>
  <c r="J10" i="3"/>
  <c r="I9" i="3"/>
  <c r="I8" i="3"/>
  <c r="F3" i="3"/>
  <c r="G3" i="3"/>
  <c r="H3" i="3"/>
  <c r="C4" i="3"/>
  <c r="F4" i="3"/>
  <c r="G4" i="3"/>
  <c r="H4" i="3"/>
  <c r="C5" i="3"/>
  <c r="F5" i="3"/>
  <c r="G5" i="3"/>
  <c r="H5" i="3"/>
  <c r="CQ2" i="1"/>
  <c r="CR2" i="1" s="1"/>
  <c r="H2" i="3"/>
  <c r="G2" i="3"/>
  <c r="F2" i="3"/>
  <c r="CS2" i="1" l="1"/>
  <c r="CT2" i="1" s="1"/>
  <c r="CS5" i="1"/>
  <c r="CT5" i="1" s="1"/>
  <c r="CS4" i="1"/>
  <c r="CT4" i="1" s="1"/>
  <c r="CQ5" i="1"/>
  <c r="CR5" i="1" s="1"/>
  <c r="CQ4" i="1"/>
  <c r="CR4" i="1" s="1"/>
  <c r="C2" i="3"/>
  <c r="I7" i="3"/>
  <c r="I10" i="3"/>
  <c r="C3" i="3"/>
  <c r="CS3" i="1"/>
  <c r="CT3" i="1" s="1"/>
  <c r="J7" i="3"/>
  <c r="K10" i="3"/>
  <c r="K9" i="3"/>
  <c r="K8" i="3"/>
  <c r="CQ3" i="1" l="1"/>
  <c r="CR3" i="1" s="1"/>
  <c r="CS7" i="1" l="1"/>
  <c r="CS8" i="1"/>
  <c r="CS9" i="1"/>
</calcChain>
</file>

<file path=xl/sharedStrings.xml><?xml version="1.0" encoding="utf-8"?>
<sst xmlns="http://schemas.openxmlformats.org/spreadsheetml/2006/main" count="576" uniqueCount="180">
  <si>
    <t>First name</t>
  </si>
  <si>
    <t>Last name</t>
  </si>
  <si>
    <t>ID number</t>
  </si>
  <si>
    <t>Email address</t>
  </si>
  <si>
    <t>Standard 1 (Real)</t>
  </si>
  <si>
    <t>Standard 2 (Real)</t>
  </si>
  <si>
    <t>Standard 3 (Real)</t>
  </si>
  <si>
    <t>Standard 4 (Real)</t>
  </si>
  <si>
    <t>Standard 5 (Real)</t>
  </si>
  <si>
    <t>Standard 6 (Real)</t>
  </si>
  <si>
    <t>Standard 7 (Real)</t>
  </si>
  <si>
    <t>Standard 8 (Real)</t>
  </si>
  <si>
    <t>Standard 9 (Real)</t>
  </si>
  <si>
    <t>Standard 10 (Real)</t>
  </si>
  <si>
    <t>Standard 11 (Real)</t>
  </si>
  <si>
    <t>Standard 12 (Real)</t>
  </si>
  <si>
    <t>Standard 13 (Real)</t>
  </si>
  <si>
    <t>Standard 14 (Real)</t>
  </si>
  <si>
    <t>Standard 15 (Real)</t>
  </si>
  <si>
    <t>Standard 16 (Real)</t>
  </si>
  <si>
    <t>Standard 17 (Real)</t>
  </si>
  <si>
    <t>Standard 18 (Real)</t>
  </si>
  <si>
    <t>Standard 19 (Real)</t>
  </si>
  <si>
    <t>Standard 20 (Real)</t>
  </si>
  <si>
    <t>Standard 21 (Real)</t>
  </si>
  <si>
    <t>Standard 22 (Real)</t>
  </si>
  <si>
    <t>Standard 23 (Real)</t>
  </si>
  <si>
    <t>Standard 24 (Real)</t>
  </si>
  <si>
    <t>Review Standards total (Real)</t>
  </si>
  <si>
    <t>Course total (Real)</t>
  </si>
  <si>
    <t>801408950</t>
  </si>
  <si>
    <t>801429324</t>
  </si>
  <si>
    <t>801436902</t>
  </si>
  <si>
    <t>801430795</t>
  </si>
  <si>
    <t>U</t>
  </si>
  <si>
    <t>DN</t>
  </si>
  <si>
    <t>Graded</t>
  </si>
  <si>
    <t>P</t>
  </si>
  <si>
    <t>3: Standard 3 (1.0 pts)</t>
  </si>
  <si>
    <t>2: Standard 2 (1.0 pts)</t>
  </si>
  <si>
    <t>1: Standard 1 (1.0 pts)</t>
  </si>
  <si>
    <t>Submission Count</t>
  </si>
  <si>
    <t>View Count</t>
  </si>
  <si>
    <t>Lateness (H:M:S)</t>
  </si>
  <si>
    <t>Submission Time</t>
  </si>
  <si>
    <t>Submission ID</t>
  </si>
  <si>
    <t>Status</t>
  </si>
  <si>
    <t>Max Points</t>
  </si>
  <si>
    <t>Total Score</t>
  </si>
  <si>
    <t>Email</t>
  </si>
  <si>
    <t>SID</t>
  </si>
  <si>
    <t>Last Name</t>
  </si>
  <si>
    <t>First Name</t>
  </si>
  <si>
    <t>Name</t>
  </si>
  <si>
    <t>Total</t>
  </si>
  <si>
    <t>Mini Review Standards</t>
  </si>
  <si>
    <t>Review 1 Standards</t>
  </si>
  <si>
    <t>Review 2 Standards</t>
  </si>
  <si>
    <t>Review 3 Standards</t>
  </si>
  <si>
    <t>Review 4 Standards</t>
  </si>
  <si>
    <t>Data</t>
  </si>
  <si>
    <t>Total Mastered</t>
  </si>
  <si>
    <t>Understanding</t>
  </si>
  <si>
    <t>Progressing</t>
  </si>
  <si>
    <t>Does not demonstrate understanding</t>
  </si>
  <si>
    <t>Did not attempt</t>
  </si>
  <si>
    <t>class activities total (Real)</t>
  </si>
  <si>
    <t>Prep total (Real)</t>
  </si>
  <si>
    <t>Final Exam (Real)</t>
  </si>
  <si>
    <t>Prep Jan 18 (Real)</t>
  </si>
  <si>
    <t>Prep Jan 23 (Real)</t>
  </si>
  <si>
    <t>Prep Jan 25 (Real)</t>
  </si>
  <si>
    <t>Prep Jan 30 (Real)</t>
  </si>
  <si>
    <t>Prep Feb 1 (Real)</t>
  </si>
  <si>
    <t>Prep Feb 6 (Real)</t>
  </si>
  <si>
    <t>Prep Feb 8 (Real)</t>
  </si>
  <si>
    <t>Prep Feb 15 (Real)</t>
  </si>
  <si>
    <t>Prep Feb 22 (Real)</t>
  </si>
  <si>
    <t>Prep Feb 13 (Real)</t>
  </si>
  <si>
    <t>Prep Feb 27 (Real)</t>
  </si>
  <si>
    <t>Prep Feb 29 (Real)</t>
  </si>
  <si>
    <t>Prep Mar 14 (Real)</t>
  </si>
  <si>
    <t>Prep Mar 19 (Real)</t>
  </si>
  <si>
    <t>Prep Apr 4 (Real)</t>
  </si>
  <si>
    <t>Prep Apr 18 (Real)</t>
  </si>
  <si>
    <t>Prep Apr 16 (Real)</t>
  </si>
  <si>
    <t>Prep April 25 (Real)</t>
  </si>
  <si>
    <t>Prep Mar 21 (Real)</t>
  </si>
  <si>
    <t>Prep Mar 26 (Real)</t>
  </si>
  <si>
    <t>Prep Mar 28 (Real)</t>
  </si>
  <si>
    <t>Prep Apr 9 (Real)</t>
  </si>
  <si>
    <t>Prep Apr 11 (Real)</t>
  </si>
  <si>
    <t>Class Jan 18 (Real)</t>
  </si>
  <si>
    <t>Class Jan 23 (Real)</t>
  </si>
  <si>
    <t>Class Jan 30 (Real)</t>
  </si>
  <si>
    <t>Class Feb 6 (Real)</t>
  </si>
  <si>
    <t>Class Feb 8 (Real)</t>
  </si>
  <si>
    <t>Class Feb 15 (Real)</t>
  </si>
  <si>
    <t>Class Feb 20 (Real)</t>
  </si>
  <si>
    <t>Class Feb 27 (Real)</t>
  </si>
  <si>
    <t>Class Mar 14 (Real)</t>
  </si>
  <si>
    <t>Class Mar 19 (Real)</t>
  </si>
  <si>
    <t>Class Mar 26 (Real)</t>
  </si>
  <si>
    <t>Class Mar 28 (Real)</t>
  </si>
  <si>
    <t>Class Apr 2 (Real)</t>
  </si>
  <si>
    <t>Class Apr 9 (Real)</t>
  </si>
  <si>
    <t>Class Apr 11 (Real)</t>
  </si>
  <si>
    <t>Class Apr 16 (Real)</t>
  </si>
  <si>
    <t>Class Apr 23 (Real)</t>
  </si>
  <si>
    <t>Bonus Lab--Due February 29 (Real)</t>
  </si>
  <si>
    <t>HW 1 (Real)</t>
  </si>
  <si>
    <t>HW 2 (Real)</t>
  </si>
  <si>
    <t>HW 3 (Real)</t>
  </si>
  <si>
    <t>HW 4 (Real)</t>
  </si>
  <si>
    <t>HW 5 (Real)</t>
  </si>
  <si>
    <t>HW 6 (Real)</t>
  </si>
  <si>
    <t>HW 7 (Real)</t>
  </si>
  <si>
    <t>HW 8 (Real)</t>
  </si>
  <si>
    <t>HW 9 (Real)</t>
  </si>
  <si>
    <t>HW 10 (Real)</t>
  </si>
  <si>
    <t>HW total (Real)</t>
  </si>
  <si>
    <t>Lab 1 (Real)</t>
  </si>
  <si>
    <t>Lab 2 (Real)</t>
  </si>
  <si>
    <t>Lab 3 (Real)</t>
  </si>
  <si>
    <t>Lab 4 (Real)</t>
  </si>
  <si>
    <t>Lab 5 (Real)</t>
  </si>
  <si>
    <t>Lab 6 (Real)</t>
  </si>
  <si>
    <t>Lab 7 (Real)</t>
  </si>
  <si>
    <t>Lab 8 (Real)</t>
  </si>
  <si>
    <t>Labs total (Real)</t>
  </si>
  <si>
    <t>Missing</t>
  </si>
  <si>
    <t>8: Standard 8 (1.0 pts)</t>
  </si>
  <si>
    <t>7: Standard 7 (1.0 pts)</t>
  </si>
  <si>
    <t>6: Standard 6 (1.0 pts)</t>
  </si>
  <si>
    <t>5: Standard 5 (1.0 pts)</t>
  </si>
  <si>
    <t>4: Standard 4 (1.0 pts)</t>
  </si>
  <si>
    <t>X</t>
  </si>
  <si>
    <t>Total Standards</t>
  </si>
  <si>
    <t>Increase</t>
  </si>
  <si>
    <t>Mean</t>
  </si>
  <si>
    <t>Median</t>
  </si>
  <si>
    <t>St dev</t>
  </si>
  <si>
    <t>5: Standard 8 (1.0 pts)</t>
  </si>
  <si>
    <t>4: Standard 7 (1.0 pts)</t>
  </si>
  <si>
    <t>3: Standard 6 (1.0 pts)</t>
  </si>
  <si>
    <t>2: Standard 5 (1.0 pts)</t>
  </si>
  <si>
    <t>1: Standard 4 (1.0 pts)</t>
  </si>
  <si>
    <t>6: Standard 14 (1.0 pts)</t>
  </si>
  <si>
    <t>5: Standard 13 (1.0 pts)</t>
  </si>
  <si>
    <t>4: Standard 12 (1.0 pts)</t>
  </si>
  <si>
    <t>3: Standard 11 (1.0 pts)</t>
  </si>
  <si>
    <t>2: Standard 10 (1.0 pts)</t>
  </si>
  <si>
    <t>1: Standard 9 (1.0 pts)</t>
  </si>
  <si>
    <t>Total Number of questions</t>
  </si>
  <si>
    <t>Total attempted</t>
  </si>
  <si>
    <t>mean</t>
  </si>
  <si>
    <t>median</t>
  </si>
  <si>
    <t>mode</t>
  </si>
  <si>
    <t>1: Standard 15 (1.0 pts)</t>
  </si>
  <si>
    <t>2: Standard 16 (1.0 pts)</t>
  </si>
  <si>
    <t>3: Standard 17 (1.0 pts)</t>
  </si>
  <si>
    <t>4: Standard 18 (1.0 pts)</t>
  </si>
  <si>
    <t>5: Standard 19 (1.0 pts)</t>
  </si>
  <si>
    <t>Course total (Review 1 &amp;2 Standards)</t>
  </si>
  <si>
    <t>Class Apr 18 (Real)</t>
  </si>
  <si>
    <t>1: Standard 20 (1.0 pts)</t>
  </si>
  <si>
    <t>2: Standard 21 (1.0 pts)</t>
  </si>
  <si>
    <t>3: Standard 22 (1.0 pts)</t>
  </si>
  <si>
    <t>4: Standard 23 (1.0 pts)</t>
  </si>
  <si>
    <t>5: Standard 24 (1.0 pts)</t>
  </si>
  <si>
    <t>First</t>
  </si>
  <si>
    <t>Second</t>
  </si>
  <si>
    <t>Third</t>
  </si>
  <si>
    <t>Fourth</t>
  </si>
  <si>
    <t>Student</t>
  </si>
  <si>
    <t>FirstStudent@davidson.edu</t>
  </si>
  <si>
    <t>Example</t>
  </si>
  <si>
    <t>SecondStudent@davidson.edu</t>
  </si>
  <si>
    <t>ThirdExample@davidson.edu</t>
  </si>
  <si>
    <t>FourthExample@davidson.edu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</si>
</sst>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6" x14ac:knownFonts="1">
    <font>
      <sz val="11"/>
      <color rgb="FF000000"/>
      <name val="Calibri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Helvetica Neue"/>
      <family val="2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0" fontId="11" fillId="0" borderId="0"/>
    <xf numFmtId="9" fontId="12" fillId="0" borderId="0" applyFont="0" applyFill="0" applyBorder="0" applyAlignment="0" applyProtection="0"/>
    <xf numFmtId="0" fontId="10" fillId="0" borderId="0"/>
    <xf numFmtId="0" fontId="9" fillId="0" borderId="0"/>
    <xf numFmtId="0" fontId="8" fillId="0" borderId="0"/>
    <xf numFmtId="0" fontId="7" fillId="0" borderId="0"/>
    <xf numFmtId="0" fontId="5" fillId="0" borderId="0"/>
    <xf numFmtId="0" fontId="4" fillId="0" borderId="0"/>
    <xf numFmtId="0" fontId="2" fillId="0" borderId="0"/>
  </cellStyleXfs>
  <cellXfs count="50">
    <xf numFmtId="0" fontId="0" fillId="0" borderId="0" xfId="0"/>
    <xf numFmtId="49" fontId="0" fillId="0" borderId="0" xfId="0" applyNumberFormat="1"/>
    <xf numFmtId="0" fontId="11" fillId="0" borderId="0" xfId="1"/>
    <xf numFmtId="21" fontId="11" fillId="0" borderId="0" xfId="1" applyNumberFormat="1"/>
    <xf numFmtId="22" fontId="11" fillId="0" borderId="0" xfId="1" applyNumberFormat="1"/>
    <xf numFmtId="0" fontId="11" fillId="0" borderId="0" xfId="1" applyAlignment="1">
      <alignment wrapText="1"/>
    </xf>
    <xf numFmtId="1" fontId="0" fillId="0" borderId="0" xfId="0" applyNumberFormat="1" applyAlignment="1">
      <alignment horizontal="center" wrapText="1"/>
    </xf>
    <xf numFmtId="0" fontId="0" fillId="0" borderId="1" xfId="0" applyBorder="1"/>
    <xf numFmtId="0" fontId="11" fillId="0" borderId="1" xfId="1" applyBorder="1"/>
    <xf numFmtId="0" fontId="12" fillId="0" borderId="0" xfId="0" applyFont="1"/>
    <xf numFmtId="49" fontId="0" fillId="0" borderId="1" xfId="0" applyNumberFormat="1" applyBorder="1"/>
    <xf numFmtId="2" fontId="0" fillId="0" borderId="0" xfId="0" applyNumberFormat="1"/>
    <xf numFmtId="2" fontId="0" fillId="0" borderId="1" xfId="0" applyNumberFormat="1" applyBorder="1"/>
    <xf numFmtId="49" fontId="12" fillId="0" borderId="0" xfId="0" applyNumberFormat="1" applyFont="1"/>
    <xf numFmtId="49" fontId="12" fillId="0" borderId="1" xfId="0" applyNumberFormat="1" applyFont="1" applyBorder="1"/>
    <xf numFmtId="9" fontId="0" fillId="0" borderId="0" xfId="2" applyFont="1"/>
    <xf numFmtId="0" fontId="10" fillId="0" borderId="0" xfId="3"/>
    <xf numFmtId="9" fontId="13" fillId="0" borderId="0" xfId="2" applyFont="1" applyBorder="1"/>
    <xf numFmtId="9" fontId="11" fillId="0" borderId="0" xfId="2" applyFont="1"/>
    <xf numFmtId="9" fontId="11" fillId="0" borderId="1" xfId="2" applyFont="1" applyBorder="1"/>
    <xf numFmtId="2" fontId="0" fillId="0" borderId="1" xfId="2" applyNumberFormat="1" applyFont="1" applyBorder="1"/>
    <xf numFmtId="0" fontId="8" fillId="0" borderId="0" xfId="5"/>
    <xf numFmtId="0" fontId="12" fillId="0" borderId="1" xfId="0" applyFont="1" applyBorder="1"/>
    <xf numFmtId="164" fontId="11" fillId="0" borderId="0" xfId="2" applyNumberFormat="1" applyFont="1"/>
    <xf numFmtId="9" fontId="8" fillId="0" borderId="0" xfId="2" applyFont="1" applyFill="1" applyBorder="1"/>
    <xf numFmtId="0" fontId="7" fillId="0" borderId="0" xfId="6"/>
    <xf numFmtId="21" fontId="7" fillId="0" borderId="0" xfId="6" applyNumberFormat="1"/>
    <xf numFmtId="22" fontId="7" fillId="0" borderId="0" xfId="6" applyNumberFormat="1"/>
    <xf numFmtId="0" fontId="6" fillId="0" borderId="0" xfId="6" applyFont="1"/>
    <xf numFmtId="0" fontId="5" fillId="0" borderId="0" xfId="7"/>
    <xf numFmtId="0" fontId="0" fillId="0" borderId="3" xfId="0" applyBorder="1"/>
    <xf numFmtId="1" fontId="0" fillId="0" borderId="3" xfId="0" applyNumberFormat="1" applyBorder="1" applyAlignment="1">
      <alignment horizontal="center" wrapText="1"/>
    </xf>
    <xf numFmtId="0" fontId="12" fillId="0" borderId="3" xfId="0" applyFont="1" applyBorder="1"/>
    <xf numFmtId="0" fontId="11" fillId="0" borderId="3" xfId="1" applyBorder="1"/>
    <xf numFmtId="0" fontId="11" fillId="0" borderId="2" xfId="1" applyBorder="1"/>
    <xf numFmtId="0" fontId="5" fillId="0" borderId="0" xfId="6" applyFont="1"/>
    <xf numFmtId="10" fontId="0" fillId="0" borderId="0" xfId="2" applyNumberFormat="1" applyFont="1"/>
    <xf numFmtId="164" fontId="0" fillId="0" borderId="0" xfId="0" applyNumberFormat="1"/>
    <xf numFmtId="2" fontId="14" fillId="0" borderId="0" xfId="0" applyNumberFormat="1" applyFont="1"/>
    <xf numFmtId="0" fontId="4" fillId="0" borderId="0" xfId="8"/>
    <xf numFmtId="21" fontId="4" fillId="0" borderId="0" xfId="8" applyNumberFormat="1"/>
    <xf numFmtId="22" fontId="4" fillId="0" borderId="0" xfId="8" applyNumberFormat="1"/>
    <xf numFmtId="1" fontId="8" fillId="0" borderId="0" xfId="5" applyNumberFormat="1"/>
    <xf numFmtId="9" fontId="3" fillId="0" borderId="0" xfId="2" applyFont="1"/>
    <xf numFmtId="0" fontId="2" fillId="0" borderId="0" xfId="9"/>
    <xf numFmtId="21" fontId="2" fillId="0" borderId="0" xfId="9" applyNumberFormat="1"/>
    <xf numFmtId="22" fontId="2" fillId="0" borderId="0" xfId="9" applyNumberFormat="1"/>
    <xf numFmtId="0" fontId="1" fillId="0" borderId="0" xfId="1" applyFont="1"/>
    <xf numFmtId="2" fontId="0" fillId="0" borderId="3" xfId="0" applyNumberFormat="1" applyBorder="1"/>
    <xf numFmtId="0" fontId="15" fillId="0" borderId="0" xfId="0" applyFont="1"/>
  </cellXfs>
  <cellStyles count="10">
    <cellStyle name="Normal" xfId="0" builtinId="0"/>
    <cellStyle name="Normal 2" xfId="1" xr:uid="{89BCBF7E-3A9A-814C-85B3-EE6E7D1C4286}"/>
    <cellStyle name="Normal 3" xfId="3" xr:uid="{01FC66B9-EC14-C142-A32D-0FC70D224C49}"/>
    <cellStyle name="Normal 4" xfId="4" xr:uid="{5D831278-1D48-2144-A427-D4684D52F151}"/>
    <cellStyle name="Normal 5" xfId="5" xr:uid="{06FAF729-39FD-EC4E-8420-3283940EC537}"/>
    <cellStyle name="Normal 6" xfId="6" xr:uid="{DD8B4E27-479E-A045-BE39-ED0A20BDA6AE}"/>
    <cellStyle name="Normal 7" xfId="7" xr:uid="{85BA0EA7-92A5-594F-8EEB-841B1EB55769}"/>
    <cellStyle name="Normal 8" xfId="8" xr:uid="{092F5394-549C-FE45-BD1A-ACD231E366A5}"/>
    <cellStyle name="Normal 9" xfId="9" xr:uid="{45416CE9-1585-6947-8196-11EAE957EB51}"/>
    <cellStyle name="Percent" xfId="2" builtinId="5"/>
  </cellStyles>
  <dxfs count="41"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E9E1A-B370-B44E-8B6D-B9F0228F7169}">
  <dimension ref="A1:G5"/>
  <sheetViews>
    <sheetView workbookViewId="0">
      <selection activeCell="G20" sqref="G20"/>
    </sheetView>
  </sheetViews>
  <sheetFormatPr baseColWidth="10" defaultRowHeight="16" x14ac:dyDescent="0.2"/>
  <cols>
    <col min="1" max="16384" width="10.83203125" style="16"/>
  </cols>
  <sheetData>
    <row r="1" spans="1:7" x14ac:dyDescent="0.2">
      <c r="A1" s="16" t="s">
        <v>52</v>
      </c>
      <c r="B1" s="16" t="s">
        <v>51</v>
      </c>
      <c r="C1" s="16" t="s">
        <v>50</v>
      </c>
      <c r="D1" s="16" t="s">
        <v>49</v>
      </c>
      <c r="E1" s="16" t="s">
        <v>48</v>
      </c>
      <c r="F1" s="16" t="s">
        <v>47</v>
      </c>
      <c r="G1" s="16" t="s">
        <v>46</v>
      </c>
    </row>
    <row r="2" spans="1:7" x14ac:dyDescent="0.2">
      <c r="A2" s="16" t="s">
        <v>170</v>
      </c>
      <c r="B2" s="16" t="s">
        <v>174</v>
      </c>
      <c r="D2" s="16" t="s">
        <v>175</v>
      </c>
      <c r="E2" s="16">
        <v>27</v>
      </c>
      <c r="F2" s="16">
        <v>29</v>
      </c>
      <c r="G2" s="16" t="s">
        <v>36</v>
      </c>
    </row>
    <row r="3" spans="1:7" x14ac:dyDescent="0.2">
      <c r="A3" s="16" t="s">
        <v>171</v>
      </c>
      <c r="B3" s="16" t="s">
        <v>174</v>
      </c>
      <c r="D3" s="16" t="s">
        <v>177</v>
      </c>
      <c r="E3" s="16">
        <v>25</v>
      </c>
      <c r="F3" s="16">
        <v>29</v>
      </c>
      <c r="G3" s="16" t="s">
        <v>36</v>
      </c>
    </row>
    <row r="4" spans="1:7" x14ac:dyDescent="0.2">
      <c r="A4" s="16" t="s">
        <v>173</v>
      </c>
      <c r="B4" s="16" t="s">
        <v>176</v>
      </c>
      <c r="D4" s="16" t="s">
        <v>179</v>
      </c>
      <c r="E4" s="16">
        <v>26</v>
      </c>
      <c r="F4" s="16">
        <v>29</v>
      </c>
      <c r="G4" s="16" t="s">
        <v>36</v>
      </c>
    </row>
    <row r="5" spans="1:7" x14ac:dyDescent="0.2">
      <c r="A5" s="16" t="s">
        <v>172</v>
      </c>
      <c r="B5" s="16" t="s">
        <v>176</v>
      </c>
      <c r="D5" s="16" t="s">
        <v>178</v>
      </c>
      <c r="E5" s="16">
        <v>29</v>
      </c>
      <c r="F5" s="16">
        <v>29</v>
      </c>
      <c r="G5" s="16" t="s">
        <v>36</v>
      </c>
    </row>
  </sheetData>
  <sortState xmlns:xlrd2="http://schemas.microsoft.com/office/spreadsheetml/2017/richdata2" ref="A4:G5">
    <sortCondition ref="B1:B5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78E2-3054-6941-86F5-6ADF9E7695F3}">
  <dimension ref="A1:G5"/>
  <sheetViews>
    <sheetView workbookViewId="0">
      <selection activeCell="C29" sqref="C29"/>
    </sheetView>
  </sheetViews>
  <sheetFormatPr baseColWidth="10" defaultRowHeight="16" x14ac:dyDescent="0.2"/>
  <cols>
    <col min="1" max="16384" width="10.83203125" style="16"/>
  </cols>
  <sheetData>
    <row r="1" spans="1:7" x14ac:dyDescent="0.2">
      <c r="A1" s="16" t="s">
        <v>52</v>
      </c>
      <c r="B1" s="16" t="s">
        <v>51</v>
      </c>
      <c r="C1" s="16" t="s">
        <v>50</v>
      </c>
      <c r="D1" s="16" t="s">
        <v>49</v>
      </c>
      <c r="E1" s="16" t="s">
        <v>48</v>
      </c>
      <c r="F1" s="16" t="s">
        <v>47</v>
      </c>
      <c r="G1" s="16" t="s">
        <v>46</v>
      </c>
    </row>
    <row r="2" spans="1:7" x14ac:dyDescent="0.2">
      <c r="A2" s="16" t="s">
        <v>170</v>
      </c>
      <c r="B2" s="16" t="s">
        <v>174</v>
      </c>
      <c r="D2" s="16" t="s">
        <v>175</v>
      </c>
      <c r="E2" s="16">
        <v>13.5</v>
      </c>
      <c r="F2" s="16">
        <v>14</v>
      </c>
      <c r="G2" s="16" t="s">
        <v>36</v>
      </c>
    </row>
    <row r="3" spans="1:7" x14ac:dyDescent="0.2">
      <c r="A3" s="16" t="s">
        <v>171</v>
      </c>
      <c r="B3" s="16" t="s">
        <v>174</v>
      </c>
      <c r="D3" s="16" t="s">
        <v>177</v>
      </c>
      <c r="E3" s="16">
        <v>12</v>
      </c>
      <c r="F3" s="16">
        <v>14</v>
      </c>
      <c r="G3" s="16" t="s">
        <v>36</v>
      </c>
    </row>
    <row r="4" spans="1:7" x14ac:dyDescent="0.2">
      <c r="A4" s="16" t="s">
        <v>172</v>
      </c>
      <c r="B4" s="16" t="s">
        <v>176</v>
      </c>
      <c r="D4" s="16" t="s">
        <v>178</v>
      </c>
      <c r="E4" s="16">
        <v>14</v>
      </c>
      <c r="F4" s="16">
        <v>14</v>
      </c>
      <c r="G4" s="16" t="s">
        <v>36</v>
      </c>
    </row>
    <row r="5" spans="1:7" x14ac:dyDescent="0.2">
      <c r="A5" s="16" t="s">
        <v>173</v>
      </c>
      <c r="B5" s="16" t="s">
        <v>176</v>
      </c>
      <c r="D5" s="16" t="s">
        <v>179</v>
      </c>
      <c r="E5" s="16">
        <v>14</v>
      </c>
      <c r="F5" s="16">
        <v>14</v>
      </c>
      <c r="G5" s="16" t="s">
        <v>36</v>
      </c>
    </row>
  </sheetData>
  <sortState xmlns:xlrd2="http://schemas.microsoft.com/office/spreadsheetml/2017/richdata2" ref="A4:G5">
    <sortCondition ref="B1:B5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0B68E-3660-3640-8367-868E941A8C12}">
  <dimension ref="A1:Q5"/>
  <sheetViews>
    <sheetView workbookViewId="0">
      <selection activeCell="F35" sqref="F35"/>
    </sheetView>
  </sheetViews>
  <sheetFormatPr baseColWidth="10" defaultRowHeight="16" x14ac:dyDescent="0.2"/>
  <cols>
    <col min="1" max="16384" width="10.83203125" style="2"/>
  </cols>
  <sheetData>
    <row r="1" spans="1:17" x14ac:dyDescent="0.2">
      <c r="A1" s="2" t="s">
        <v>52</v>
      </c>
      <c r="B1" s="2" t="s">
        <v>51</v>
      </c>
      <c r="C1" s="2" t="s">
        <v>50</v>
      </c>
      <c r="D1" s="2" t="s">
        <v>49</v>
      </c>
      <c r="E1" s="2" t="s">
        <v>48</v>
      </c>
      <c r="F1" s="2" t="s">
        <v>47</v>
      </c>
      <c r="G1" s="2" t="s">
        <v>46</v>
      </c>
      <c r="H1" s="2" t="s">
        <v>45</v>
      </c>
      <c r="I1" s="2" t="s">
        <v>44</v>
      </c>
      <c r="J1" s="2" t="s">
        <v>43</v>
      </c>
      <c r="K1" s="2" t="s">
        <v>42</v>
      </c>
      <c r="L1" s="2" t="s">
        <v>41</v>
      </c>
      <c r="M1" s="2" t="s">
        <v>40</v>
      </c>
      <c r="N1" s="2" t="s">
        <v>39</v>
      </c>
      <c r="O1" s="2" t="s">
        <v>38</v>
      </c>
      <c r="Q1" s="47" t="s">
        <v>137</v>
      </c>
    </row>
    <row r="2" spans="1:17" x14ac:dyDescent="0.2">
      <c r="A2" s="2" t="s">
        <v>170</v>
      </c>
      <c r="B2" s="2" t="s">
        <v>174</v>
      </c>
      <c r="D2" s="2" t="s">
        <v>175</v>
      </c>
      <c r="E2" s="2">
        <v>1.75</v>
      </c>
      <c r="F2" s="2">
        <v>3</v>
      </c>
      <c r="G2" s="2" t="s">
        <v>36</v>
      </c>
      <c r="I2" s="4"/>
      <c r="J2" s="3">
        <v>0</v>
      </c>
      <c r="K2" s="2">
        <v>0</v>
      </c>
      <c r="L2" s="2">
        <v>1</v>
      </c>
      <c r="M2" s="2" t="s">
        <v>35</v>
      </c>
      <c r="N2" s="2" t="s">
        <v>34</v>
      </c>
      <c r="O2" s="2" t="s">
        <v>37</v>
      </c>
      <c r="Q2" s="2">
        <f>COUNTIF(M2:O2,"U")</f>
        <v>1</v>
      </c>
    </row>
    <row r="3" spans="1:17" x14ac:dyDescent="0.2">
      <c r="A3" s="2" t="s">
        <v>171</v>
      </c>
      <c r="B3" s="2" t="s">
        <v>174</v>
      </c>
      <c r="D3" s="2" t="s">
        <v>177</v>
      </c>
      <c r="E3" s="2">
        <v>2.5</v>
      </c>
      <c r="F3" s="2">
        <v>3</v>
      </c>
      <c r="G3" s="2" t="s">
        <v>36</v>
      </c>
      <c r="I3" s="4"/>
      <c r="J3" s="3">
        <v>0</v>
      </c>
      <c r="K3" s="2">
        <v>0</v>
      </c>
      <c r="L3" s="2">
        <v>1</v>
      </c>
      <c r="M3" s="2" t="s">
        <v>34</v>
      </c>
      <c r="N3" s="2" t="s">
        <v>34</v>
      </c>
      <c r="O3" s="2" t="s">
        <v>37</v>
      </c>
      <c r="Q3" s="2">
        <f t="shared" ref="Q3:Q5" si="0">COUNTIF(M3:O3,"U")</f>
        <v>2</v>
      </c>
    </row>
    <row r="4" spans="1:17" x14ac:dyDescent="0.2">
      <c r="A4" s="2" t="s">
        <v>172</v>
      </c>
      <c r="B4" s="2" t="s">
        <v>176</v>
      </c>
      <c r="D4" s="2" t="s">
        <v>178</v>
      </c>
      <c r="E4" s="2">
        <v>3</v>
      </c>
      <c r="F4" s="2">
        <v>3</v>
      </c>
      <c r="G4" s="2" t="s">
        <v>36</v>
      </c>
      <c r="I4" s="4"/>
      <c r="J4" s="3">
        <v>0</v>
      </c>
      <c r="K4" s="2">
        <v>0</v>
      </c>
      <c r="L4" s="2">
        <v>1</v>
      </c>
      <c r="M4" s="2" t="s">
        <v>34</v>
      </c>
      <c r="N4" s="2" t="s">
        <v>34</v>
      </c>
      <c r="O4" s="2" t="s">
        <v>34</v>
      </c>
      <c r="Q4" s="2">
        <f t="shared" si="0"/>
        <v>3</v>
      </c>
    </row>
    <row r="5" spans="1:17" x14ac:dyDescent="0.2">
      <c r="A5" s="2" t="s">
        <v>173</v>
      </c>
      <c r="B5" s="2" t="s">
        <v>176</v>
      </c>
      <c r="D5" s="2" t="s">
        <v>179</v>
      </c>
      <c r="E5" s="2">
        <v>2.25</v>
      </c>
      <c r="F5" s="2">
        <v>3</v>
      </c>
      <c r="G5" s="2" t="s">
        <v>36</v>
      </c>
      <c r="I5" s="4"/>
      <c r="J5" s="3">
        <v>0</v>
      </c>
      <c r="K5" s="2">
        <v>0</v>
      </c>
      <c r="L5" s="2">
        <v>1</v>
      </c>
      <c r="M5" s="2" t="s">
        <v>35</v>
      </c>
      <c r="N5" s="2" t="s">
        <v>34</v>
      </c>
      <c r="O5" s="2" t="s">
        <v>34</v>
      </c>
      <c r="Q5" s="2">
        <f t="shared" si="0"/>
        <v>2</v>
      </c>
    </row>
  </sheetData>
  <sortState xmlns:xlrd2="http://schemas.microsoft.com/office/spreadsheetml/2017/richdata2" ref="A2:O5">
    <sortCondition ref="B1:B5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03FBE-E8DA-D04A-85A1-BAF8950B8312}">
  <dimension ref="A1:X8"/>
  <sheetViews>
    <sheetView zoomScaleNormal="100" workbookViewId="0">
      <pane xSplit="1" topLeftCell="R1" activePane="topRight" state="frozen"/>
      <selection pane="topRight" activeCell="W16" sqref="W16"/>
    </sheetView>
  </sheetViews>
  <sheetFormatPr baseColWidth="10" defaultRowHeight="16" x14ac:dyDescent="0.2"/>
  <cols>
    <col min="1" max="4" width="10.83203125" style="16"/>
    <col min="5" max="10" width="10.83203125" style="21"/>
    <col min="11" max="18" width="12" style="21" customWidth="1"/>
    <col min="19" max="19" width="10.83203125" style="21"/>
    <col min="20" max="20" width="13.33203125" style="21" customWidth="1"/>
    <col min="21" max="16384" width="10.83203125" style="21"/>
  </cols>
  <sheetData>
    <row r="1" spans="1:24" x14ac:dyDescent="0.2">
      <c r="A1" s="16" t="s">
        <v>52</v>
      </c>
      <c r="B1" s="16" t="s">
        <v>51</v>
      </c>
      <c r="C1" s="16" t="s">
        <v>50</v>
      </c>
      <c r="D1" s="16" t="s">
        <v>49</v>
      </c>
      <c r="E1" s="21" t="s">
        <v>48</v>
      </c>
      <c r="F1" s="21" t="s">
        <v>47</v>
      </c>
      <c r="G1" s="21" t="s">
        <v>46</v>
      </c>
      <c r="H1" s="2" t="s">
        <v>45</v>
      </c>
      <c r="I1" s="2" t="s">
        <v>44</v>
      </c>
      <c r="J1" s="2" t="s">
        <v>43</v>
      </c>
      <c r="K1" s="21" t="s">
        <v>40</v>
      </c>
      <c r="L1" s="21" t="s">
        <v>39</v>
      </c>
      <c r="M1" s="21" t="s">
        <v>38</v>
      </c>
      <c r="N1" s="21" t="s">
        <v>135</v>
      </c>
      <c r="O1" s="21" t="s">
        <v>134</v>
      </c>
      <c r="P1" s="21" t="s">
        <v>133</v>
      </c>
      <c r="Q1" s="21" t="s">
        <v>132</v>
      </c>
      <c r="R1" s="21" t="s">
        <v>131</v>
      </c>
      <c r="T1" s="21" t="s">
        <v>137</v>
      </c>
      <c r="U1" s="21" t="s">
        <v>138</v>
      </c>
      <c r="W1" s="35" t="s">
        <v>153</v>
      </c>
      <c r="X1" s="35" t="s">
        <v>154</v>
      </c>
    </row>
    <row r="2" spans="1:24" x14ac:dyDescent="0.2">
      <c r="A2" s="16" t="s">
        <v>170</v>
      </c>
      <c r="B2" s="16" t="s">
        <v>174</v>
      </c>
      <c r="D2" s="16" t="s">
        <v>175</v>
      </c>
      <c r="E2" s="21">
        <v>4.75</v>
      </c>
      <c r="F2" s="21">
        <v>8</v>
      </c>
      <c r="G2" s="21" t="s">
        <v>36</v>
      </c>
      <c r="H2" s="2"/>
      <c r="I2" s="4"/>
      <c r="J2" s="3">
        <v>0</v>
      </c>
      <c r="K2" s="21" t="s">
        <v>37</v>
      </c>
      <c r="L2" s="21" t="s">
        <v>34</v>
      </c>
      <c r="M2" s="21" t="s">
        <v>34</v>
      </c>
      <c r="N2" s="21" t="s">
        <v>35</v>
      </c>
      <c r="O2" s="21" t="s">
        <v>34</v>
      </c>
      <c r="P2" s="21" t="s">
        <v>35</v>
      </c>
      <c r="Q2" s="21" t="s">
        <v>35</v>
      </c>
      <c r="R2" s="21" t="s">
        <v>37</v>
      </c>
      <c r="T2" s="21">
        <f>COUNTIF(K2:R2,"U")</f>
        <v>3</v>
      </c>
      <c r="U2" s="21">
        <f>T2-MiniReviewStandards!Q2</f>
        <v>2</v>
      </c>
      <c r="W2" s="21">
        <f>8-MiniReviewStandards!Q2</f>
        <v>7</v>
      </c>
      <c r="X2" s="21">
        <f>W2-COUNTIF(K2:R2,"X")</f>
        <v>7</v>
      </c>
    </row>
    <row r="3" spans="1:24" x14ac:dyDescent="0.2">
      <c r="A3" s="16" t="s">
        <v>171</v>
      </c>
      <c r="B3" s="16" t="s">
        <v>174</v>
      </c>
      <c r="D3" s="16" t="s">
        <v>177</v>
      </c>
      <c r="E3" s="21">
        <v>7</v>
      </c>
      <c r="F3" s="21">
        <v>8</v>
      </c>
      <c r="G3" s="21" t="s">
        <v>36</v>
      </c>
      <c r="H3" s="2"/>
      <c r="I3" s="4"/>
      <c r="J3" s="3">
        <v>0</v>
      </c>
      <c r="K3" s="21" t="s">
        <v>34</v>
      </c>
      <c r="L3" s="21" t="s">
        <v>34</v>
      </c>
      <c r="M3" s="21" t="s">
        <v>34</v>
      </c>
      <c r="N3" s="21" t="s">
        <v>34</v>
      </c>
      <c r="O3" s="21" t="s">
        <v>37</v>
      </c>
      <c r="P3" s="21" t="s">
        <v>34</v>
      </c>
      <c r="Q3" s="21" t="s">
        <v>34</v>
      </c>
      <c r="R3" s="21" t="s">
        <v>37</v>
      </c>
      <c r="T3" s="21">
        <f t="shared" ref="T3:T5" si="0">COUNTIF(K3:R3,"U")</f>
        <v>6</v>
      </c>
      <c r="U3" s="21">
        <f>T3-MiniReviewStandards!Q3</f>
        <v>4</v>
      </c>
      <c r="W3" s="21">
        <f>8-MiniReviewStandards!Q3</f>
        <v>6</v>
      </c>
      <c r="X3" s="21">
        <f>W3-COUNTIF(K3:R3,"X")</f>
        <v>6</v>
      </c>
    </row>
    <row r="4" spans="1:24" x14ac:dyDescent="0.2">
      <c r="A4" s="16" t="s">
        <v>172</v>
      </c>
      <c r="B4" s="16" t="s">
        <v>176</v>
      </c>
      <c r="D4" s="16" t="s">
        <v>178</v>
      </c>
      <c r="E4" s="21">
        <v>6</v>
      </c>
      <c r="F4" s="21">
        <v>8</v>
      </c>
      <c r="G4" s="21" t="s">
        <v>36</v>
      </c>
      <c r="H4" s="2"/>
      <c r="I4" s="4"/>
      <c r="J4" s="3">
        <v>0</v>
      </c>
      <c r="K4" s="21" t="s">
        <v>34</v>
      </c>
      <c r="L4" s="21" t="s">
        <v>34</v>
      </c>
      <c r="M4" s="21" t="s">
        <v>34</v>
      </c>
      <c r="N4" s="21" t="s">
        <v>34</v>
      </c>
      <c r="O4" s="21" t="s">
        <v>35</v>
      </c>
      <c r="P4" s="21" t="s">
        <v>37</v>
      </c>
      <c r="Q4" s="21" t="s">
        <v>35</v>
      </c>
      <c r="R4" s="21" t="s">
        <v>34</v>
      </c>
      <c r="T4" s="21">
        <f t="shared" si="0"/>
        <v>5</v>
      </c>
      <c r="U4" s="21">
        <f>T4-MiniReviewStandards!Q4</f>
        <v>2</v>
      </c>
      <c r="W4" s="21">
        <f>8-MiniReviewStandards!Q4</f>
        <v>5</v>
      </c>
      <c r="X4" s="21">
        <f t="shared" ref="X4" si="1">W4-COUNTIF(K4:R4,"X")</f>
        <v>5</v>
      </c>
    </row>
    <row r="5" spans="1:24" x14ac:dyDescent="0.2">
      <c r="A5" s="16" t="s">
        <v>173</v>
      </c>
      <c r="B5" s="16" t="s">
        <v>176</v>
      </c>
      <c r="D5" s="16" t="s">
        <v>179</v>
      </c>
      <c r="E5" s="21">
        <v>5.75</v>
      </c>
      <c r="F5" s="21">
        <v>8</v>
      </c>
      <c r="G5" s="21" t="s">
        <v>36</v>
      </c>
      <c r="H5" s="2"/>
      <c r="I5" s="4"/>
      <c r="J5" s="3">
        <v>0</v>
      </c>
      <c r="K5" s="21" t="s">
        <v>34</v>
      </c>
      <c r="L5" s="21" t="s">
        <v>34</v>
      </c>
      <c r="M5" s="21" t="s">
        <v>34</v>
      </c>
      <c r="N5" s="21" t="s">
        <v>34</v>
      </c>
      <c r="O5" s="21" t="s">
        <v>34</v>
      </c>
      <c r="P5" s="21" t="s">
        <v>35</v>
      </c>
      <c r="Q5" s="21" t="s">
        <v>35</v>
      </c>
      <c r="R5" s="21" t="s">
        <v>35</v>
      </c>
      <c r="T5" s="21">
        <f t="shared" si="0"/>
        <v>5</v>
      </c>
      <c r="U5" s="21">
        <f>T5-MiniReviewStandards!Q5</f>
        <v>3</v>
      </c>
      <c r="W5" s="21">
        <f>8-MiniReviewStandards!Q5</f>
        <v>6</v>
      </c>
      <c r="X5" s="21">
        <f>W5-COUNTIF(K5:R5,"X")</f>
        <v>6</v>
      </c>
    </row>
    <row r="6" spans="1:24" x14ac:dyDescent="0.2">
      <c r="S6" s="35" t="s">
        <v>155</v>
      </c>
      <c r="T6" s="21">
        <f>AVERAGE(T2:T4)</f>
        <v>4.666666666666667</v>
      </c>
      <c r="U6" s="21">
        <f>AVERAGE(U2:U4)</f>
        <v>2.6666666666666665</v>
      </c>
      <c r="W6" s="21">
        <f>AVERAGE(W2:W4)</f>
        <v>6</v>
      </c>
      <c r="X6" s="21">
        <f>AVERAGE(X2:X4)</f>
        <v>6</v>
      </c>
    </row>
    <row r="7" spans="1:24" x14ac:dyDescent="0.2">
      <c r="S7" s="35" t="s">
        <v>156</v>
      </c>
      <c r="T7" s="21">
        <f>MEDIAN(T2:T4)</f>
        <v>5</v>
      </c>
      <c r="U7" s="21">
        <f>MEDIAN(U2:U4)</f>
        <v>2</v>
      </c>
      <c r="W7" s="21">
        <f>MEDIAN(W2:W4)</f>
        <v>6</v>
      </c>
      <c r="X7" s="21">
        <f>MEDIAN(X2:X4)</f>
        <v>6</v>
      </c>
    </row>
    <row r="8" spans="1:24" x14ac:dyDescent="0.2">
      <c r="S8" s="35" t="s">
        <v>157</v>
      </c>
      <c r="T8" s="21" t="e">
        <f>MODE(T2:T4)</f>
        <v>#N/A</v>
      </c>
      <c r="U8" s="21">
        <f>MODE(U2:U4)</f>
        <v>2</v>
      </c>
      <c r="W8" s="21" t="e">
        <f>MODE(W2:W4)</f>
        <v>#N/A</v>
      </c>
      <c r="X8" s="21" t="e">
        <f>MODE(X2:X4)</f>
        <v>#N/A</v>
      </c>
    </row>
  </sheetData>
  <sortState xmlns:xlrd2="http://schemas.microsoft.com/office/spreadsheetml/2017/richdata2" ref="A2:R4">
    <sortCondition ref="B1:B4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3DBED-C1BD-464F-B187-F9E15F798E51}">
  <dimension ref="A1:AF8"/>
  <sheetViews>
    <sheetView workbookViewId="0">
      <pane xSplit="1" topLeftCell="K1" activePane="topRight" state="frozen"/>
      <selection pane="topRight" activeCell="AB2" sqref="AB2"/>
    </sheetView>
  </sheetViews>
  <sheetFormatPr baseColWidth="10" defaultRowHeight="16" x14ac:dyDescent="0.2"/>
  <cols>
    <col min="1" max="15" width="10.83203125" style="25"/>
    <col min="16" max="26" width="10.83203125" style="29"/>
    <col min="27" max="27" width="10.83203125" style="25"/>
    <col min="28" max="28" width="13.33203125" style="21" customWidth="1"/>
    <col min="29" max="29" width="10.83203125" style="21"/>
    <col min="30" max="30" width="10.83203125" style="25"/>
    <col min="31" max="31" width="15" style="25" customWidth="1"/>
    <col min="32" max="16384" width="10.83203125" style="25"/>
  </cols>
  <sheetData>
    <row r="1" spans="1:32" x14ac:dyDescent="0.2">
      <c r="A1" s="25" t="s">
        <v>52</v>
      </c>
      <c r="B1" s="25" t="s">
        <v>51</v>
      </c>
      <c r="C1" s="25" t="s">
        <v>50</v>
      </c>
      <c r="D1" s="25" t="s">
        <v>49</v>
      </c>
      <c r="E1" s="25" t="s">
        <v>48</v>
      </c>
      <c r="F1" s="25" t="s">
        <v>47</v>
      </c>
      <c r="G1" s="25" t="s">
        <v>46</v>
      </c>
      <c r="H1" s="25" t="s">
        <v>45</v>
      </c>
      <c r="I1" s="25" t="s">
        <v>44</v>
      </c>
      <c r="J1" s="25" t="s">
        <v>43</v>
      </c>
      <c r="K1" s="25" t="s">
        <v>42</v>
      </c>
      <c r="L1" s="25" t="s">
        <v>41</v>
      </c>
      <c r="M1" s="25" t="s">
        <v>40</v>
      </c>
      <c r="N1" s="25" t="s">
        <v>39</v>
      </c>
      <c r="O1" s="25" t="s">
        <v>38</v>
      </c>
      <c r="P1" s="29" t="s">
        <v>146</v>
      </c>
      <c r="Q1" s="29" t="s">
        <v>145</v>
      </c>
      <c r="R1" s="29" t="s">
        <v>144</v>
      </c>
      <c r="S1" s="29" t="s">
        <v>143</v>
      </c>
      <c r="T1" s="29" t="s">
        <v>142</v>
      </c>
      <c r="U1" s="29" t="s">
        <v>152</v>
      </c>
      <c r="V1" s="29" t="s">
        <v>151</v>
      </c>
      <c r="W1" s="29" t="s">
        <v>150</v>
      </c>
      <c r="X1" s="29" t="s">
        <v>149</v>
      </c>
      <c r="Y1" s="29" t="s">
        <v>148</v>
      </c>
      <c r="Z1" s="29" t="s">
        <v>147</v>
      </c>
      <c r="AB1" s="21" t="s">
        <v>137</v>
      </c>
      <c r="AC1" s="21" t="s">
        <v>138</v>
      </c>
      <c r="AE1" s="35" t="s">
        <v>153</v>
      </c>
      <c r="AF1" s="35" t="s">
        <v>154</v>
      </c>
    </row>
    <row r="2" spans="1:32" x14ac:dyDescent="0.2">
      <c r="A2" s="25" t="s">
        <v>170</v>
      </c>
      <c r="B2" s="25" t="s">
        <v>174</v>
      </c>
      <c r="D2" s="25" t="s">
        <v>175</v>
      </c>
      <c r="F2" s="25">
        <v>3</v>
      </c>
      <c r="G2" s="25" t="s">
        <v>130</v>
      </c>
      <c r="M2" s="28" t="s">
        <v>34</v>
      </c>
      <c r="N2" s="28" t="s">
        <v>34</v>
      </c>
      <c r="O2" s="28" t="s">
        <v>34</v>
      </c>
      <c r="P2" s="29" t="s">
        <v>35</v>
      </c>
      <c r="Q2" s="29" t="s">
        <v>34</v>
      </c>
      <c r="R2" s="29" t="s">
        <v>37</v>
      </c>
      <c r="S2" s="29" t="s">
        <v>34</v>
      </c>
      <c r="T2" s="29" t="s">
        <v>34</v>
      </c>
      <c r="U2" s="29" t="s">
        <v>34</v>
      </c>
      <c r="V2" s="29" t="s">
        <v>35</v>
      </c>
      <c r="W2" s="29" t="s">
        <v>37</v>
      </c>
      <c r="X2" s="29" t="s">
        <v>37</v>
      </c>
      <c r="Y2" s="29" t="s">
        <v>37</v>
      </c>
      <c r="Z2" s="29" t="s">
        <v>37</v>
      </c>
      <c r="AB2" s="21">
        <f>COUNTIF(M2:Z2,"U")+COUNTBLANK(M2:O2)</f>
        <v>7</v>
      </c>
      <c r="AC2" s="21">
        <f>AB2-Review_1_scores!T2</f>
        <v>4</v>
      </c>
      <c r="AE2" s="25">
        <f>14-Review_1_scores!T2</f>
        <v>11</v>
      </c>
      <c r="AF2" s="25">
        <f>AE2-COUNTIF(M2:Z2,"X")</f>
        <v>11</v>
      </c>
    </row>
    <row r="3" spans="1:32" x14ac:dyDescent="0.2">
      <c r="A3" s="25" t="s">
        <v>171</v>
      </c>
      <c r="B3" s="25" t="s">
        <v>174</v>
      </c>
      <c r="D3" s="25" t="s">
        <v>177</v>
      </c>
      <c r="F3" s="25">
        <v>3</v>
      </c>
      <c r="G3" s="25" t="s">
        <v>130</v>
      </c>
      <c r="P3" s="29" t="s">
        <v>34</v>
      </c>
      <c r="Q3" s="29" t="s">
        <v>34</v>
      </c>
      <c r="R3" s="29" t="s">
        <v>37</v>
      </c>
      <c r="S3" s="29" t="s">
        <v>34</v>
      </c>
      <c r="T3" s="29" t="s">
        <v>37</v>
      </c>
      <c r="U3" s="29" t="s">
        <v>37</v>
      </c>
      <c r="V3" s="29" t="s">
        <v>35</v>
      </c>
      <c r="W3" s="29" t="s">
        <v>136</v>
      </c>
      <c r="X3" s="29" t="s">
        <v>37</v>
      </c>
      <c r="Y3" s="29" t="s">
        <v>35</v>
      </c>
      <c r="Z3" s="29" t="s">
        <v>37</v>
      </c>
      <c r="AB3" s="21">
        <f t="shared" ref="AB3:AB5" si="0">COUNTIF(M3:Z3,"U")+COUNTBLANK(M3:O3)</f>
        <v>6</v>
      </c>
      <c r="AC3" s="21">
        <f>AB3-Review_1_scores!T3</f>
        <v>0</v>
      </c>
      <c r="AE3" s="25">
        <f>14-Review_1_scores!T3</f>
        <v>8</v>
      </c>
      <c r="AF3" s="25">
        <f t="shared" ref="AF3:AF5" si="1">AE3-COUNTIF(M3:Z3,"X")</f>
        <v>7</v>
      </c>
    </row>
    <row r="4" spans="1:32" x14ac:dyDescent="0.2">
      <c r="A4" s="25" t="s">
        <v>172</v>
      </c>
      <c r="B4" s="25" t="s">
        <v>176</v>
      </c>
      <c r="D4" s="25" t="s">
        <v>178</v>
      </c>
      <c r="F4" s="25">
        <v>3</v>
      </c>
      <c r="G4" s="25" t="s">
        <v>130</v>
      </c>
      <c r="P4" s="29" t="s">
        <v>34</v>
      </c>
      <c r="Q4" s="29" t="s">
        <v>34</v>
      </c>
      <c r="R4" s="29" t="s">
        <v>34</v>
      </c>
      <c r="S4" s="29" t="s">
        <v>34</v>
      </c>
      <c r="T4" s="29" t="s">
        <v>34</v>
      </c>
      <c r="U4" s="29" t="s">
        <v>37</v>
      </c>
      <c r="V4" s="29" t="s">
        <v>34</v>
      </c>
      <c r="W4" s="29" t="s">
        <v>34</v>
      </c>
      <c r="X4" s="29" t="s">
        <v>34</v>
      </c>
      <c r="Y4" s="29" t="s">
        <v>34</v>
      </c>
      <c r="Z4" s="29" t="s">
        <v>35</v>
      </c>
      <c r="AB4" s="21">
        <f t="shared" si="0"/>
        <v>12</v>
      </c>
      <c r="AC4" s="21">
        <f>AB4-Review_1_scores!T4</f>
        <v>7</v>
      </c>
      <c r="AE4" s="25">
        <f>14-Review_1_scores!T4</f>
        <v>9</v>
      </c>
      <c r="AF4" s="25">
        <f t="shared" si="1"/>
        <v>9</v>
      </c>
    </row>
    <row r="5" spans="1:32" x14ac:dyDescent="0.2">
      <c r="A5" s="25" t="s">
        <v>173</v>
      </c>
      <c r="B5" s="25" t="s">
        <v>176</v>
      </c>
      <c r="D5" s="25" t="s">
        <v>179</v>
      </c>
      <c r="E5" s="25">
        <v>2</v>
      </c>
      <c r="F5" s="25">
        <v>3</v>
      </c>
      <c r="G5" s="25" t="s">
        <v>36</v>
      </c>
      <c r="I5" s="27"/>
      <c r="J5" s="26">
        <v>0</v>
      </c>
      <c r="K5" s="25">
        <v>0</v>
      </c>
      <c r="L5" s="25">
        <v>1</v>
      </c>
      <c r="M5" s="25" t="s">
        <v>37</v>
      </c>
      <c r="N5" s="25" t="s">
        <v>34</v>
      </c>
      <c r="O5" s="25" t="s">
        <v>34</v>
      </c>
      <c r="P5" s="29" t="s">
        <v>34</v>
      </c>
      <c r="Q5" s="29" t="s">
        <v>34</v>
      </c>
      <c r="R5" s="29" t="s">
        <v>34</v>
      </c>
      <c r="S5" s="29" t="s">
        <v>34</v>
      </c>
      <c r="T5" s="29" t="s">
        <v>37</v>
      </c>
      <c r="U5" s="29" t="s">
        <v>34</v>
      </c>
      <c r="V5" s="29" t="s">
        <v>35</v>
      </c>
      <c r="W5" s="29" t="s">
        <v>34</v>
      </c>
      <c r="X5" s="29" t="s">
        <v>34</v>
      </c>
      <c r="Y5" s="29" t="s">
        <v>37</v>
      </c>
      <c r="Z5" s="29" t="s">
        <v>35</v>
      </c>
      <c r="AB5" s="21">
        <f t="shared" si="0"/>
        <v>9</v>
      </c>
      <c r="AC5" s="21">
        <f>AB5-Review_1_scores!T5</f>
        <v>4</v>
      </c>
      <c r="AE5" s="25">
        <f>14-Review_1_scores!T5</f>
        <v>9</v>
      </c>
      <c r="AF5" s="25">
        <f t="shared" si="1"/>
        <v>9</v>
      </c>
    </row>
    <row r="6" spans="1:32" x14ac:dyDescent="0.2">
      <c r="AA6" s="35" t="s">
        <v>155</v>
      </c>
      <c r="AB6" s="21">
        <f>AVERAGE(AB2:AB5)</f>
        <v>8.5</v>
      </c>
      <c r="AC6" s="21">
        <f>AVERAGE(AC2:AC5)</f>
        <v>3.75</v>
      </c>
      <c r="AD6" s="21"/>
      <c r="AE6" s="21">
        <f>AVERAGE(AE2:AE5)</f>
        <v>9.25</v>
      </c>
      <c r="AF6" s="21">
        <f>AVERAGE(AF2:AF5)</f>
        <v>9</v>
      </c>
    </row>
    <row r="7" spans="1:32" x14ac:dyDescent="0.2">
      <c r="AA7" s="35" t="s">
        <v>156</v>
      </c>
      <c r="AB7" s="21">
        <f>MEDIAN(AB2:AB5)</f>
        <v>8</v>
      </c>
      <c r="AC7" s="21">
        <f>MEDIAN(AC2:AC5)</f>
        <v>4</v>
      </c>
      <c r="AD7" s="21"/>
      <c r="AE7" s="21">
        <f>MEDIAN(AE2:AE5)</f>
        <v>9</v>
      </c>
      <c r="AF7" s="21">
        <f>MEDIAN(AF2:AF5)</f>
        <v>9</v>
      </c>
    </row>
    <row r="8" spans="1:32" x14ac:dyDescent="0.2">
      <c r="AA8" s="35" t="s">
        <v>157</v>
      </c>
      <c r="AB8" s="21" t="e">
        <f>MODE(AB2:AB5)</f>
        <v>#N/A</v>
      </c>
      <c r="AC8" s="21">
        <f>MODE(AC2:AC5)</f>
        <v>4</v>
      </c>
      <c r="AD8" s="21"/>
      <c r="AE8" s="21">
        <f>MODE(AE2:AE5)</f>
        <v>9</v>
      </c>
      <c r="AF8" s="21">
        <f>MODE(AF2:AF5)</f>
        <v>9</v>
      </c>
    </row>
  </sheetData>
  <sortState xmlns:xlrd2="http://schemas.microsoft.com/office/spreadsheetml/2017/richdata2" ref="A2:O5">
    <sortCondition ref="B1:B5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B3E28-4E0D-B64C-A0D5-55728A15A2FD}">
  <dimension ref="A1:AC5"/>
  <sheetViews>
    <sheetView workbookViewId="0">
      <pane xSplit="1" topLeftCell="M1" activePane="topRight" state="frozen"/>
      <selection pane="topRight" activeCell="Q2" sqref="Q2:U5"/>
    </sheetView>
  </sheetViews>
  <sheetFormatPr baseColWidth="10" defaultRowHeight="16" x14ac:dyDescent="0.2"/>
  <cols>
    <col min="1" max="4" width="10.83203125" style="16"/>
    <col min="5" max="12" width="10.83203125" style="39"/>
    <col min="13" max="18" width="12" style="39" customWidth="1"/>
    <col min="24" max="24" width="10.83203125" style="39"/>
    <col min="25" max="25" width="13.33203125" style="21" customWidth="1"/>
    <col min="26" max="26" width="10.83203125" style="21"/>
    <col min="27" max="27" width="10.83203125" style="25"/>
    <col min="28" max="28" width="15" style="25" customWidth="1"/>
    <col min="29" max="29" width="10.83203125" style="25"/>
    <col min="30" max="16384" width="10.83203125" style="39"/>
  </cols>
  <sheetData>
    <row r="1" spans="1:29" x14ac:dyDescent="0.2">
      <c r="A1" s="16" t="s">
        <v>52</v>
      </c>
      <c r="B1" s="16" t="s">
        <v>51</v>
      </c>
      <c r="C1" s="16" t="s">
        <v>50</v>
      </c>
      <c r="D1" s="16" t="s">
        <v>49</v>
      </c>
      <c r="E1" s="39" t="s">
        <v>48</v>
      </c>
      <c r="F1" s="39" t="s">
        <v>47</v>
      </c>
      <c r="G1" s="39" t="s">
        <v>46</v>
      </c>
      <c r="H1" s="39" t="s">
        <v>45</v>
      </c>
      <c r="I1" s="39" t="s">
        <v>44</v>
      </c>
      <c r="J1" s="39" t="s">
        <v>43</v>
      </c>
      <c r="K1" s="39" t="s">
        <v>42</v>
      </c>
      <c r="L1" s="39" t="s">
        <v>41</v>
      </c>
      <c r="M1" s="39" t="s">
        <v>152</v>
      </c>
      <c r="N1" s="39" t="s">
        <v>151</v>
      </c>
      <c r="O1" s="39" t="s">
        <v>150</v>
      </c>
      <c r="P1" s="39" t="s">
        <v>149</v>
      </c>
      <c r="Q1" s="39" t="s">
        <v>148</v>
      </c>
      <c r="R1" s="39" t="s">
        <v>147</v>
      </c>
      <c r="S1" t="s">
        <v>158</v>
      </c>
      <c r="T1" t="s">
        <v>159</v>
      </c>
      <c r="U1" t="s">
        <v>160</v>
      </c>
      <c r="V1" t="s">
        <v>161</v>
      </c>
      <c r="W1" t="s">
        <v>162</v>
      </c>
      <c r="Y1" s="21" t="s">
        <v>137</v>
      </c>
      <c r="Z1" s="21" t="s">
        <v>138</v>
      </c>
      <c r="AB1" s="35" t="s">
        <v>153</v>
      </c>
      <c r="AC1" s="35" t="s">
        <v>154</v>
      </c>
    </row>
    <row r="2" spans="1:29" x14ac:dyDescent="0.2">
      <c r="A2" s="16" t="s">
        <v>170</v>
      </c>
      <c r="B2" s="16" t="s">
        <v>174</v>
      </c>
      <c r="D2" s="16" t="s">
        <v>175</v>
      </c>
      <c r="E2" s="39">
        <v>6</v>
      </c>
      <c r="F2" s="39">
        <v>6</v>
      </c>
      <c r="G2" s="39" t="s">
        <v>36</v>
      </c>
      <c r="I2" s="41"/>
      <c r="J2" s="40">
        <v>0</v>
      </c>
      <c r="K2" s="39">
        <v>0</v>
      </c>
      <c r="L2" s="39">
        <v>1</v>
      </c>
      <c r="M2" s="39" t="s">
        <v>34</v>
      </c>
      <c r="N2" s="39" t="s">
        <v>34</v>
      </c>
      <c r="O2" s="39" t="s">
        <v>34</v>
      </c>
      <c r="P2" s="39" t="s">
        <v>34</v>
      </c>
      <c r="Q2" s="39" t="s">
        <v>34</v>
      </c>
      <c r="R2" s="39" t="s">
        <v>34</v>
      </c>
      <c r="S2" t="s">
        <v>34</v>
      </c>
      <c r="T2" t="s">
        <v>34</v>
      </c>
      <c r="U2" t="s">
        <v>37</v>
      </c>
      <c r="V2" t="s">
        <v>34</v>
      </c>
      <c r="W2" t="s">
        <v>34</v>
      </c>
      <c r="Y2" s="42">
        <f>COUNTIF(M2:W2,"U")+COUNTIF(Review_2_scores!M2:T2,"U")+COUNTBLANK(Review_2_scores!M2:O2)</f>
        <v>16</v>
      </c>
      <c r="Z2" s="42">
        <f>Y2-Review_2_scores!AB2</f>
        <v>9</v>
      </c>
      <c r="AB2" s="25">
        <f>11-COUNTIF(Review_2_scores!U2:Z2,"U")</f>
        <v>10</v>
      </c>
      <c r="AC2" s="25">
        <f>AB2-COUNTIF(M2:W2,"X")</f>
        <v>10</v>
      </c>
    </row>
    <row r="3" spans="1:29" x14ac:dyDescent="0.2">
      <c r="A3" s="16" t="s">
        <v>171</v>
      </c>
      <c r="B3" s="16" t="s">
        <v>174</v>
      </c>
      <c r="D3" s="16" t="s">
        <v>177</v>
      </c>
      <c r="E3" s="39">
        <v>5.5</v>
      </c>
      <c r="F3" s="39">
        <v>6</v>
      </c>
      <c r="G3" s="39" t="s">
        <v>36</v>
      </c>
      <c r="I3" s="41"/>
      <c r="J3" s="40">
        <v>0</v>
      </c>
      <c r="K3" s="39">
        <v>0</v>
      </c>
      <c r="L3" s="39">
        <v>1</v>
      </c>
      <c r="M3" s="39" t="s">
        <v>34</v>
      </c>
      <c r="N3" s="39" t="s">
        <v>34</v>
      </c>
      <c r="O3" s="39" t="s">
        <v>37</v>
      </c>
      <c r="P3" s="39" t="s">
        <v>34</v>
      </c>
      <c r="Q3" s="39" t="s">
        <v>34</v>
      </c>
      <c r="R3" s="39" t="s">
        <v>34</v>
      </c>
      <c r="S3" t="s">
        <v>34</v>
      </c>
      <c r="T3" t="s">
        <v>34</v>
      </c>
      <c r="U3" t="s">
        <v>35</v>
      </c>
      <c r="V3" t="s">
        <v>34</v>
      </c>
      <c r="W3" t="s">
        <v>35</v>
      </c>
      <c r="Y3" s="42">
        <f>COUNTIF(M3:W3,"U")+COUNTIF(Review_2_scores!M3:T3,"U")+COUNTBLANK(Review_2_scores!M3:O3)</f>
        <v>14</v>
      </c>
      <c r="Z3" s="42">
        <f>Y3-Review_2_scores!AB3</f>
        <v>8</v>
      </c>
      <c r="AB3" s="25">
        <f>11-COUNTIF(Review_2_scores!U3:Z3,"U")</f>
        <v>11</v>
      </c>
      <c r="AC3" s="25">
        <f>AB3-COUNTIF(M3:W3,"X")</f>
        <v>11</v>
      </c>
    </row>
    <row r="4" spans="1:29" x14ac:dyDescent="0.2">
      <c r="A4" s="16" t="s">
        <v>172</v>
      </c>
      <c r="B4" s="16" t="s">
        <v>176</v>
      </c>
      <c r="D4" s="16" t="s">
        <v>178</v>
      </c>
      <c r="E4" s="39">
        <v>5.25</v>
      </c>
      <c r="F4" s="39">
        <v>6</v>
      </c>
      <c r="G4" s="39" t="s">
        <v>36</v>
      </c>
      <c r="I4" s="41"/>
      <c r="J4" s="40">
        <v>0</v>
      </c>
      <c r="K4" s="39">
        <v>0</v>
      </c>
      <c r="L4" s="39">
        <v>1</v>
      </c>
      <c r="M4" s="39" t="s">
        <v>34</v>
      </c>
      <c r="N4" s="39" t="s">
        <v>35</v>
      </c>
      <c r="O4" s="39" t="s">
        <v>34</v>
      </c>
      <c r="P4" s="39" t="s">
        <v>34</v>
      </c>
      <c r="Q4" s="39" t="s">
        <v>34</v>
      </c>
      <c r="R4" s="39" t="s">
        <v>34</v>
      </c>
      <c r="S4" t="s">
        <v>35</v>
      </c>
      <c r="T4" t="s">
        <v>136</v>
      </c>
      <c r="U4" t="s">
        <v>136</v>
      </c>
      <c r="V4" t="s">
        <v>136</v>
      </c>
      <c r="W4" t="s">
        <v>136</v>
      </c>
      <c r="Y4" s="42">
        <f>COUNTIF(M4:W4,"U")+COUNTIF(Review_2_scores!M4:T4,"U")+COUNTBLANK(Review_2_scores!M4:O4)</f>
        <v>13</v>
      </c>
      <c r="Z4" s="42">
        <f>Y4-Review_2_scores!AB4</f>
        <v>1</v>
      </c>
      <c r="AB4" s="25">
        <f>11-COUNTIF(Review_2_scores!U4:Z4,"U")</f>
        <v>7</v>
      </c>
      <c r="AC4" s="25">
        <f>AB4-COUNTIF(M4:W4,"X")</f>
        <v>3</v>
      </c>
    </row>
    <row r="5" spans="1:29" x14ac:dyDescent="0.2">
      <c r="A5" s="16" t="s">
        <v>173</v>
      </c>
      <c r="B5" s="16" t="s">
        <v>176</v>
      </c>
      <c r="D5" s="16" t="s">
        <v>179</v>
      </c>
      <c r="E5" s="39">
        <v>2</v>
      </c>
      <c r="F5" s="39">
        <v>6</v>
      </c>
      <c r="G5" s="39" t="s">
        <v>36</v>
      </c>
      <c r="I5" s="41"/>
      <c r="J5" s="40">
        <v>0</v>
      </c>
      <c r="K5" s="39">
        <v>0</v>
      </c>
      <c r="L5" s="39">
        <v>1</v>
      </c>
      <c r="M5" s="39" t="s">
        <v>34</v>
      </c>
      <c r="N5" s="39" t="s">
        <v>136</v>
      </c>
      <c r="O5" s="39" t="s">
        <v>136</v>
      </c>
      <c r="P5" s="39" t="s">
        <v>136</v>
      </c>
      <c r="Q5" s="39" t="s">
        <v>136</v>
      </c>
      <c r="R5" s="39" t="s">
        <v>34</v>
      </c>
      <c r="S5" t="s">
        <v>35</v>
      </c>
      <c r="T5" t="s">
        <v>136</v>
      </c>
      <c r="U5" t="s">
        <v>34</v>
      </c>
      <c r="V5" t="s">
        <v>136</v>
      </c>
      <c r="W5" t="s">
        <v>37</v>
      </c>
      <c r="Y5" s="42">
        <f>COUNTIF(M5:W5,"U")+COUNTIF(Review_2_scores!M5:T5,"U")+COUNTBLANK(Review_2_scores!M5:O5)</f>
        <v>9</v>
      </c>
      <c r="Z5" s="42">
        <f>Y5-Review_2_scores!AB5</f>
        <v>0</v>
      </c>
      <c r="AB5" s="25">
        <f>11-COUNTIF(Review_2_scores!U5:Z5,"U")</f>
        <v>8</v>
      </c>
      <c r="AC5" s="25">
        <f t="shared" ref="AC5" si="0">AB5-COUNTIF(M5:W5,"X")</f>
        <v>2</v>
      </c>
    </row>
  </sheetData>
  <sortState xmlns:xlrd2="http://schemas.microsoft.com/office/spreadsheetml/2017/richdata2" ref="A4:R5">
    <sortCondition ref="B1:B5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25648-5955-E844-BAB9-D1148072D7FE}">
  <dimension ref="A1:AC8"/>
  <sheetViews>
    <sheetView topLeftCell="J1" workbookViewId="0">
      <selection activeCell="W29" sqref="W29"/>
    </sheetView>
  </sheetViews>
  <sheetFormatPr baseColWidth="10" defaultRowHeight="16" x14ac:dyDescent="0.2"/>
  <cols>
    <col min="1" max="4" width="10.83203125" style="16"/>
    <col min="5" max="17" width="10.83203125" style="44"/>
    <col min="23" max="23" width="10.83203125" style="44"/>
    <col min="24" max="24" width="10.83203125" style="39"/>
    <col min="25" max="25" width="13.33203125" style="21" customWidth="1"/>
    <col min="26" max="26" width="10.83203125" style="21"/>
    <col min="27" max="27" width="10.83203125" style="25"/>
    <col min="28" max="28" width="15" style="25" customWidth="1"/>
    <col min="29" max="29" width="10.83203125" style="25"/>
    <col min="30" max="16384" width="10.83203125" style="44"/>
  </cols>
  <sheetData>
    <row r="1" spans="1:29" x14ac:dyDescent="0.2">
      <c r="A1" s="16" t="s">
        <v>52</v>
      </c>
      <c r="B1" s="16" t="s">
        <v>51</v>
      </c>
      <c r="C1" s="16" t="s">
        <v>50</v>
      </c>
      <c r="D1" s="16" t="s">
        <v>49</v>
      </c>
      <c r="E1" s="44" t="s">
        <v>48</v>
      </c>
      <c r="F1" s="44" t="s">
        <v>47</v>
      </c>
      <c r="G1" s="44" t="s">
        <v>46</v>
      </c>
      <c r="H1" s="44" t="s">
        <v>45</v>
      </c>
      <c r="I1" s="44" t="s">
        <v>44</v>
      </c>
      <c r="J1" s="44" t="s">
        <v>43</v>
      </c>
      <c r="K1" s="44" t="s">
        <v>42</v>
      </c>
      <c r="L1" s="44" t="s">
        <v>41</v>
      </c>
      <c r="M1" s="44" t="s">
        <v>158</v>
      </c>
      <c r="N1" s="44" t="s">
        <v>159</v>
      </c>
      <c r="O1" s="44" t="s">
        <v>160</v>
      </c>
      <c r="P1" s="44" t="s">
        <v>161</v>
      </c>
      <c r="Q1" s="44" t="s">
        <v>162</v>
      </c>
      <c r="R1" t="s">
        <v>165</v>
      </c>
      <c r="S1" t="s">
        <v>166</v>
      </c>
      <c r="T1" t="s">
        <v>167</v>
      </c>
      <c r="U1" t="s">
        <v>168</v>
      </c>
      <c r="V1" t="s">
        <v>169</v>
      </c>
      <c r="Y1" s="21" t="s">
        <v>137</v>
      </c>
      <c r="Z1" s="21" t="s">
        <v>138</v>
      </c>
      <c r="AB1" s="35" t="s">
        <v>153</v>
      </c>
      <c r="AC1" s="35" t="s">
        <v>154</v>
      </c>
    </row>
    <row r="2" spans="1:29" x14ac:dyDescent="0.2">
      <c r="A2" s="16" t="s">
        <v>170</v>
      </c>
      <c r="B2" s="16" t="s">
        <v>174</v>
      </c>
      <c r="D2" s="16" t="s">
        <v>175</v>
      </c>
      <c r="E2" s="44">
        <v>4.5</v>
      </c>
      <c r="F2" s="44">
        <v>5</v>
      </c>
      <c r="G2" s="44" t="s">
        <v>36</v>
      </c>
      <c r="I2" s="46"/>
      <c r="J2" s="45">
        <v>0</v>
      </c>
      <c r="K2" s="44">
        <v>0</v>
      </c>
      <c r="L2" s="44">
        <v>1</v>
      </c>
      <c r="M2" s="44" t="s">
        <v>34</v>
      </c>
      <c r="N2" s="44" t="s">
        <v>34</v>
      </c>
      <c r="O2" s="44" t="s">
        <v>34</v>
      </c>
      <c r="P2" s="44" t="s">
        <v>34</v>
      </c>
      <c r="Q2" s="44" t="s">
        <v>37</v>
      </c>
      <c r="R2" s="39" t="s">
        <v>34</v>
      </c>
      <c r="S2" s="39" t="s">
        <v>34</v>
      </c>
      <c r="T2" t="s">
        <v>34</v>
      </c>
      <c r="U2" t="s">
        <v>34</v>
      </c>
      <c r="V2" t="s">
        <v>37</v>
      </c>
      <c r="Y2" s="42">
        <f>COUNTIF(M2:V2,"U")+IF(R2&lt;&gt;"",COUNTBLANK(M2:Q2),0)+COUNTIF(Review_3_scores!M2:R2,"U")+COUNTIF(Review_2_scores!M2:T2,"U")+COUNTBLANK(Review_2_scores!M2:O2)</f>
        <v>20</v>
      </c>
      <c r="Z2" s="42">
        <f>Y2-Review_3_scores!Y2</f>
        <v>4</v>
      </c>
      <c r="AB2" s="25">
        <f>10-COUNTIF(Review_3_scores!S2:W2,"U")</f>
        <v>6</v>
      </c>
      <c r="AC2" s="25">
        <f>IF(R2&lt;&gt;"",AB2-COUNTIF(M2:W2,"X"),"-")</f>
        <v>6</v>
      </c>
    </row>
    <row r="3" spans="1:29" x14ac:dyDescent="0.2">
      <c r="A3" s="16" t="s">
        <v>173</v>
      </c>
      <c r="B3" s="16" t="s">
        <v>176</v>
      </c>
      <c r="D3" s="16" t="s">
        <v>179</v>
      </c>
      <c r="E3" s="44">
        <v>4.5</v>
      </c>
      <c r="F3" s="44">
        <v>5</v>
      </c>
      <c r="G3" s="44" t="s">
        <v>36</v>
      </c>
      <c r="I3" s="46"/>
      <c r="J3" s="45">
        <v>0</v>
      </c>
      <c r="K3" s="44">
        <v>0</v>
      </c>
      <c r="L3" s="44">
        <v>1</v>
      </c>
      <c r="M3" s="44" t="s">
        <v>34</v>
      </c>
      <c r="N3" s="44" t="s">
        <v>34</v>
      </c>
      <c r="O3" s="44" t="s">
        <v>34</v>
      </c>
      <c r="P3" s="44" t="s">
        <v>34</v>
      </c>
      <c r="Q3" s="44" t="s">
        <v>37</v>
      </c>
      <c r="R3" s="39" t="s">
        <v>34</v>
      </c>
      <c r="S3" s="39" t="s">
        <v>34</v>
      </c>
      <c r="T3" t="s">
        <v>34</v>
      </c>
      <c r="U3" t="s">
        <v>34</v>
      </c>
      <c r="V3" t="s">
        <v>35</v>
      </c>
      <c r="Y3" s="42">
        <f>COUNTIF(M3:V3,"U")+IF(R3&lt;&gt;"",COUNTBLANK(M3:Q3),0)+COUNTIF(Review_3_scores!M3:R3,"U")+COUNTIF(Review_2_scores!M3:T3,"U")+COUNTBLANK(Review_2_scores!M3:O3)</f>
        <v>19</v>
      </c>
      <c r="Z3" s="42">
        <f>Y3-Review_3_scores!Y3</f>
        <v>5</v>
      </c>
      <c r="AB3" s="25">
        <f>10-COUNTIF(Review_3_scores!S3:W3,"U")</f>
        <v>7</v>
      </c>
      <c r="AC3" s="25">
        <f t="shared" ref="AC3:AC5" si="0">IF(R3&lt;&gt;"",AB3-COUNTIF(M3:W3,"X"),"-")</f>
        <v>7</v>
      </c>
    </row>
    <row r="4" spans="1:29" x14ac:dyDescent="0.2">
      <c r="A4" s="16" t="s">
        <v>171</v>
      </c>
      <c r="B4" s="16" t="s">
        <v>174</v>
      </c>
      <c r="D4" s="16" t="s">
        <v>177</v>
      </c>
      <c r="E4" s="44">
        <v>3.5</v>
      </c>
      <c r="F4" s="44">
        <v>5</v>
      </c>
      <c r="G4" s="44" t="s">
        <v>36</v>
      </c>
      <c r="I4" s="46"/>
      <c r="J4" s="45">
        <v>0</v>
      </c>
      <c r="K4" s="44">
        <v>0</v>
      </c>
      <c r="L4" s="44">
        <v>1</v>
      </c>
      <c r="M4" s="44" t="s">
        <v>34</v>
      </c>
      <c r="N4" s="44" t="s">
        <v>34</v>
      </c>
      <c r="O4" s="44" t="s">
        <v>35</v>
      </c>
      <c r="P4" s="44" t="s">
        <v>34</v>
      </c>
      <c r="Q4" s="44" t="s">
        <v>35</v>
      </c>
      <c r="R4" s="39" t="s">
        <v>34</v>
      </c>
      <c r="S4" s="39" t="s">
        <v>34</v>
      </c>
      <c r="T4" t="s">
        <v>35</v>
      </c>
      <c r="U4" t="s">
        <v>136</v>
      </c>
      <c r="V4" t="s">
        <v>136</v>
      </c>
      <c r="Y4" s="42">
        <f>COUNTIF(M4:V4,"U")+IF(R4&lt;&gt;"",COUNTBLANK(M4:Q4),0)+COUNTIF(Review_3_scores!M4:R4,"U")+COUNTIF(Review_2_scores!M4:T4,"U")+COUNTBLANK(Review_2_scores!M4:O4)</f>
        <v>18</v>
      </c>
      <c r="Z4" s="42">
        <f>Y4-Review_3_scores!Y4</f>
        <v>5</v>
      </c>
      <c r="AB4" s="25">
        <f>10-COUNTIF(Review_3_scores!S4:W4,"U")</f>
        <v>10</v>
      </c>
      <c r="AC4" s="25">
        <f t="shared" si="0"/>
        <v>8</v>
      </c>
    </row>
    <row r="5" spans="1:29" x14ac:dyDescent="0.2">
      <c r="A5" s="16" t="s">
        <v>172</v>
      </c>
      <c r="B5" s="16" t="s">
        <v>176</v>
      </c>
      <c r="D5" s="16" t="s">
        <v>178</v>
      </c>
      <c r="E5" s="44">
        <v>4.5</v>
      </c>
      <c r="F5" s="44">
        <v>5</v>
      </c>
      <c r="G5" s="44" t="s">
        <v>36</v>
      </c>
      <c r="I5" s="46"/>
      <c r="J5" s="45">
        <v>0</v>
      </c>
      <c r="K5" s="44">
        <v>0</v>
      </c>
      <c r="L5" s="44">
        <v>1</v>
      </c>
      <c r="M5" s="44" t="s">
        <v>34</v>
      </c>
      <c r="N5" s="44" t="s">
        <v>34</v>
      </c>
      <c r="O5" s="44" t="s">
        <v>34</v>
      </c>
      <c r="P5" s="44" t="s">
        <v>34</v>
      </c>
      <c r="Q5" s="44" t="s">
        <v>37</v>
      </c>
      <c r="R5" s="39" t="s">
        <v>136</v>
      </c>
      <c r="S5" s="39" t="s">
        <v>34</v>
      </c>
      <c r="T5" t="s">
        <v>35</v>
      </c>
      <c r="U5" t="s">
        <v>136</v>
      </c>
      <c r="V5" t="s">
        <v>34</v>
      </c>
      <c r="Y5" s="42">
        <f>COUNTIF(M5:V5,"U")+IF(R5&lt;&gt;"",COUNTBLANK(M5:Q5),0)+COUNTIF(Review_3_scores!M5:R5,"U")+COUNTIF(Review_2_scores!M5:T5,"U")+COUNTBLANK(Review_2_scores!M5:O5)</f>
        <v>14</v>
      </c>
      <c r="Z5" s="42">
        <f>Y5-Review_3_scores!Y5</f>
        <v>5</v>
      </c>
      <c r="AB5" s="25">
        <f>10-COUNTIF(Review_3_scores!S5:W5,"U")</f>
        <v>9</v>
      </c>
      <c r="AC5" s="25">
        <f t="shared" si="0"/>
        <v>7</v>
      </c>
    </row>
    <row r="6" spans="1:29" x14ac:dyDescent="0.2">
      <c r="X6" s="39" t="s">
        <v>139</v>
      </c>
      <c r="Y6" s="21">
        <f>AVERAGE(Y2:Y5)</f>
        <v>17.75</v>
      </c>
      <c r="Z6" s="42">
        <f>Y6-Review_2_scores!AB6</f>
        <v>9.25</v>
      </c>
      <c r="AA6" s="21"/>
      <c r="AB6" s="21">
        <f>AVERAGE(AB2:AB5)</f>
        <v>8</v>
      </c>
      <c r="AC6" s="21">
        <f>AVERAGE(AC2:AC5)</f>
        <v>7</v>
      </c>
    </row>
    <row r="7" spans="1:29" x14ac:dyDescent="0.2">
      <c r="X7" s="39" t="s">
        <v>140</v>
      </c>
      <c r="Y7" s="21">
        <f>MEDIAN(Y2:Y5)</f>
        <v>18.5</v>
      </c>
      <c r="Z7" s="21">
        <f>MEDIAN(Z2:Z5)</f>
        <v>5</v>
      </c>
      <c r="AA7" s="21"/>
      <c r="AB7" s="21">
        <f>MEDIAN(AB2:AB5)</f>
        <v>8</v>
      </c>
      <c r="AC7" s="21">
        <f>MEDIAN(AC2:AC5)</f>
        <v>7</v>
      </c>
    </row>
    <row r="8" spans="1:29" x14ac:dyDescent="0.2">
      <c r="X8" s="39" t="s">
        <v>157</v>
      </c>
      <c r="Y8" s="21" t="e">
        <f>MODE(Y2:Y5)</f>
        <v>#N/A</v>
      </c>
      <c r="Z8" s="21">
        <f>MODE(Z2:Z5)</f>
        <v>5</v>
      </c>
      <c r="AA8" s="21"/>
      <c r="AB8" s="21" t="e">
        <f>MODE(AB2:AB5)</f>
        <v>#N/A</v>
      </c>
      <c r="AC8" s="21">
        <f>MODE(AC2:AC5)</f>
        <v>7</v>
      </c>
    </row>
  </sheetData>
  <sortState xmlns:xlrd2="http://schemas.microsoft.com/office/spreadsheetml/2017/richdata2" ref="A2:V8">
    <sortCondition ref="M1:M8"/>
  </sortState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37A8-205C-DB48-B8FB-F666F8B4EDED}">
  <dimension ref="A1:AO11"/>
  <sheetViews>
    <sheetView workbookViewId="0">
      <pane xSplit="1" topLeftCell="AK1" activePane="topRight" state="frozen"/>
      <selection pane="topRight" activeCell="L3" sqref="L3"/>
    </sheetView>
  </sheetViews>
  <sheetFormatPr baseColWidth="10" defaultRowHeight="15" x14ac:dyDescent="0.2"/>
  <cols>
    <col min="4" max="8" width="10.83203125" customWidth="1"/>
    <col min="11" max="11" width="10.83203125" style="30"/>
    <col min="16" max="16" width="10.83203125" style="30"/>
    <col min="23" max="23" width="10.83203125" style="7"/>
  </cols>
  <sheetData>
    <row r="1" spans="1:41" s="5" customFormat="1" ht="51" customHeight="1" x14ac:dyDescent="0.2">
      <c r="A1" s="5" t="s">
        <v>53</v>
      </c>
      <c r="B1" s="5" t="s">
        <v>51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6">
        <v>1</v>
      </c>
      <c r="J1" s="6">
        <v>2</v>
      </c>
      <c r="K1" s="31">
        <v>3</v>
      </c>
      <c r="L1" s="6">
        <v>4</v>
      </c>
      <c r="M1" s="6">
        <v>5</v>
      </c>
      <c r="N1" s="6">
        <v>6</v>
      </c>
      <c r="O1" s="6">
        <v>7</v>
      </c>
      <c r="P1" s="31">
        <v>8</v>
      </c>
      <c r="Q1" s="6">
        <v>9</v>
      </c>
      <c r="R1" s="6">
        <v>10</v>
      </c>
      <c r="S1" s="6">
        <v>11</v>
      </c>
      <c r="T1" s="6">
        <v>12</v>
      </c>
      <c r="U1" s="6">
        <v>13</v>
      </c>
      <c r="V1" s="6">
        <v>14</v>
      </c>
      <c r="W1" s="6">
        <v>15</v>
      </c>
      <c r="X1" s="6">
        <v>16</v>
      </c>
      <c r="Y1" s="6">
        <v>17</v>
      </c>
      <c r="Z1" s="6">
        <v>18</v>
      </c>
      <c r="AA1" s="6">
        <v>19</v>
      </c>
      <c r="AB1" s="6">
        <v>20</v>
      </c>
      <c r="AC1" s="6">
        <v>21</v>
      </c>
      <c r="AD1" s="6">
        <v>22</v>
      </c>
      <c r="AE1" s="6">
        <v>23</v>
      </c>
      <c r="AF1" s="6">
        <v>24</v>
      </c>
      <c r="AI1" s="5" t="s">
        <v>60</v>
      </c>
      <c r="AJ1" s="5" t="s">
        <v>55</v>
      </c>
      <c r="AK1" s="5" t="s">
        <v>56</v>
      </c>
      <c r="AL1" s="5" t="s">
        <v>57</v>
      </c>
      <c r="AM1" s="5" t="s">
        <v>58</v>
      </c>
      <c r="AN1" s="5" t="s">
        <v>59</v>
      </c>
      <c r="AO1" s="5" t="s">
        <v>61</v>
      </c>
    </row>
    <row r="2" spans="1:41" ht="16" x14ac:dyDescent="0.2">
      <c r="A2" s="1" t="s">
        <v>170</v>
      </c>
      <c r="B2" s="1" t="s">
        <v>174</v>
      </c>
      <c r="C2" s="2">
        <f t="shared" ref="C2:C5" si="0">COUNTIF(I2:AF2,"U")</f>
        <v>20</v>
      </c>
      <c r="D2" s="2">
        <f>COUNTIF(I2:K2,"U")</f>
        <v>3</v>
      </c>
      <c r="E2" s="2">
        <f>COUNTIF(L2:P2,"U")</f>
        <v>3</v>
      </c>
      <c r="F2" s="2">
        <f t="shared" ref="F2:F5" si="1">COUNTIF(Q2:V2,"U")</f>
        <v>6</v>
      </c>
      <c r="G2" s="2">
        <f t="shared" ref="G2:G5" si="2">COUNTIF(W2:AA2,"U")</f>
        <v>4</v>
      </c>
      <c r="H2" s="2">
        <f t="shared" ref="H2:H5" si="3">COUNTIF(AB2:AF2,"U")</f>
        <v>4</v>
      </c>
      <c r="I2" t="str">
        <f>IF(OR(Review_2_scores!M2="",Review_2_scores!M2="X"),Review_1_scores!K2,Review_2_scores!M2)</f>
        <v>U</v>
      </c>
      <c r="J2" t="str">
        <f>IF(OR(Review_2_scores!N2="",Review_2_scores!N2="X"),Review_1_scores!L2,Review_2_scores!N2)</f>
        <v>U</v>
      </c>
      <c r="K2" s="30" t="str">
        <f>IF(OR(Review_2_scores!O2="",Review_2_scores!O2="X"),Review_1_scores!M2,Review_2_scores!O2)</f>
        <v>U</v>
      </c>
      <c r="L2" t="str">
        <f>IF(OR(Review_2_scores!P2="",Review_2_scores!P2="X"),Review_1_scores!N2,Review_2_scores!P2)</f>
        <v>DN</v>
      </c>
      <c r="M2" t="str">
        <f>IF(OR(Review_2_scores!Q2="",Review_2_scores!Q2="X"),Review_1_scores!O2,Review_2_scores!Q2)</f>
        <v>U</v>
      </c>
      <c r="N2" t="str">
        <f>IF(OR(Review_2_scores!R2="",Review_2_scores!R2="X"),Review_1_scores!P2,Review_2_scores!R2)</f>
        <v>P</v>
      </c>
      <c r="O2" t="str">
        <f>IF(OR(Review_2_scores!S2="",Review_2_scores!S2="X"),Review_1_scores!Q2,Review_2_scores!S2)</f>
        <v>U</v>
      </c>
      <c r="P2" s="30" t="str">
        <f>IF(OR(Review_2_scores!T2="",Review_2_scores!T2="X"),Review_1_scores!R2,Review_2_scores!T2)</f>
        <v>U</v>
      </c>
      <c r="Q2" t="str">
        <f>IF(OR(Review_3_scores!M2="",Review_3_scores!M2="X"),Review_2_scores!U2,Review_3_scores!M2)</f>
        <v>U</v>
      </c>
      <c r="R2" t="str">
        <f>IF(OR(Review_3_scores!N2="",Review_3_scores!N2="X"),Review_2_scores!V2,Review_3_scores!N2)</f>
        <v>U</v>
      </c>
      <c r="S2" t="str">
        <f>IF(OR(Review_3_scores!O2="",Review_3_scores!O2="X"),Review_2_scores!W2,Review_3_scores!O2)</f>
        <v>U</v>
      </c>
      <c r="T2" t="str">
        <f>IF(OR(Review_3_scores!P2="",Review_3_scores!P2="X"),Review_2_scores!X2,Review_3_scores!P2)</f>
        <v>U</v>
      </c>
      <c r="U2" t="str">
        <f>IF(OR(Review_3_scores!Q2="",Review_3_scores!Q2="X"),Review_2_scores!Y2,Review_3_scores!Q2)</f>
        <v>U</v>
      </c>
      <c r="V2" t="str">
        <f>IF(OR(Review_3_scores!R2="",Review_3_scores!R2="X"),Review_2_scores!Z2,Review_3_scores!R2)</f>
        <v>U</v>
      </c>
      <c r="W2" s="7" t="str">
        <f>IF(OR(Review_4_scores!M2="",Review_4_scores!M2="X"),Review_3_scores!S4,Review_4_scores!M2)</f>
        <v>U</v>
      </c>
      <c r="X2" t="str">
        <f>IF(OR(Review_4_scores!N2="",Review_4_scores!N2="X"),Review_3_scores!T4,Review_4_scores!N2)</f>
        <v>U</v>
      </c>
      <c r="Y2" t="str">
        <f>IF(OR(Review_4_scores!O2="",Review_4_scores!O2="X"),Review_3_scores!U4,Review_4_scores!O2)</f>
        <v>U</v>
      </c>
      <c r="Z2" t="str">
        <f>IF(OR(Review_4_scores!P2="",Review_4_scores!P2="X"),Review_3_scores!V4,Review_4_scores!P2)</f>
        <v>U</v>
      </c>
      <c r="AA2" s="30" t="str">
        <f>IF(OR(Review_4_scores!Q2="",Review_4_scores!Q2="X"),Review_3_scores!W4,Review_4_scores!Q2)</f>
        <v>P</v>
      </c>
      <c r="AB2" t="str">
        <f>Review_4_scores!R2</f>
        <v>U</v>
      </c>
      <c r="AC2" t="str">
        <f>Review_4_scores!S2</f>
        <v>U</v>
      </c>
      <c r="AD2" t="str">
        <f>Review_4_scores!T2</f>
        <v>U</v>
      </c>
      <c r="AE2" t="str">
        <f>Review_4_scores!U2</f>
        <v>U</v>
      </c>
      <c r="AF2" t="str">
        <f>Review_4_scores!V2</f>
        <v>P</v>
      </c>
    </row>
    <row r="3" spans="1:41" ht="16" x14ac:dyDescent="0.2">
      <c r="A3" s="1" t="s">
        <v>171</v>
      </c>
      <c r="B3" s="1" t="s">
        <v>174</v>
      </c>
      <c r="C3" s="2">
        <f t="shared" si="0"/>
        <v>19</v>
      </c>
      <c r="D3" s="2">
        <f t="shared" ref="D3:D5" si="4">COUNTIF(I3:K3,"U")</f>
        <v>3</v>
      </c>
      <c r="E3" s="2">
        <f t="shared" ref="E3:E5" si="5">COUNTIF(L3:P3,"U")</f>
        <v>3</v>
      </c>
      <c r="F3" s="2">
        <f t="shared" si="1"/>
        <v>5</v>
      </c>
      <c r="G3" s="2">
        <f t="shared" si="2"/>
        <v>4</v>
      </c>
      <c r="H3" s="2">
        <f t="shared" si="3"/>
        <v>4</v>
      </c>
      <c r="I3" t="str">
        <f>IF(OR(Review_2_scores!M3="",Review_2_scores!M3="X"),Review_1_scores!K3,Review_2_scores!M3)</f>
        <v>U</v>
      </c>
      <c r="J3" t="str">
        <f>IF(OR(Review_2_scores!N3="",Review_2_scores!N3="X"),Review_1_scores!L3,Review_2_scores!N3)</f>
        <v>U</v>
      </c>
      <c r="K3" s="30" t="str">
        <f>IF(OR(Review_2_scores!O3="",Review_2_scores!O3="X"),Review_1_scores!M3,Review_2_scores!O3)</f>
        <v>U</v>
      </c>
      <c r="L3" t="str">
        <f>IF(OR(Review_2_scores!P3="",Review_2_scores!P3="X"),Review_1_scores!N3,Review_2_scores!P3)</f>
        <v>U</v>
      </c>
      <c r="M3" t="str">
        <f>IF(OR(Review_2_scores!Q3="",Review_2_scores!Q3="X"),Review_1_scores!O3,Review_2_scores!Q3)</f>
        <v>U</v>
      </c>
      <c r="N3" t="str">
        <f>IF(OR(Review_2_scores!R3="",Review_2_scores!R3="X"),Review_1_scores!P3,Review_2_scores!R3)</f>
        <v>P</v>
      </c>
      <c r="O3" t="str">
        <f>IF(OR(Review_2_scores!S3="",Review_2_scores!S3="X"),Review_1_scores!Q3,Review_2_scores!S3)</f>
        <v>U</v>
      </c>
      <c r="P3" s="30" t="str">
        <f>IF(OR(Review_2_scores!T3="",Review_2_scores!T3="X"),Review_1_scores!R3,Review_2_scores!T3)</f>
        <v>P</v>
      </c>
      <c r="Q3" t="str">
        <f>IF(OR(Review_3_scores!M3="",Review_3_scores!M3="X"),Review_2_scores!U3,Review_3_scores!M3)</f>
        <v>U</v>
      </c>
      <c r="R3" t="str">
        <f>IF(OR(Review_3_scores!N3="",Review_3_scores!N3="X"),Review_2_scores!V3,Review_3_scores!N3)</f>
        <v>U</v>
      </c>
      <c r="S3" t="str">
        <f>IF(OR(Review_3_scores!O3="",Review_3_scores!O3="X"),Review_2_scores!W3,Review_3_scores!O3)</f>
        <v>P</v>
      </c>
      <c r="T3" t="str">
        <f>IF(OR(Review_3_scores!P3="",Review_3_scores!P3="X"),Review_2_scores!X3,Review_3_scores!P3)</f>
        <v>U</v>
      </c>
      <c r="U3" t="str">
        <f>IF(OR(Review_3_scores!Q3="",Review_3_scores!Q3="X"),Review_2_scores!Y3,Review_3_scores!Q3)</f>
        <v>U</v>
      </c>
      <c r="V3" t="str">
        <f>IF(OR(Review_3_scores!R3="",Review_3_scores!R3="X"),Review_2_scores!Z3,Review_3_scores!R3)</f>
        <v>U</v>
      </c>
      <c r="W3" s="7" t="str">
        <f>IF(OR(Review_4_scores!M3="",Review_4_scores!M3="X"),Review_3_scores!S5,Review_4_scores!M3)</f>
        <v>U</v>
      </c>
      <c r="X3" t="str">
        <f>IF(OR(Review_4_scores!N3="",Review_4_scores!N3="X"),Review_3_scores!T5,Review_4_scores!N3)</f>
        <v>U</v>
      </c>
      <c r="Y3" t="str">
        <f>IF(OR(Review_4_scores!O3="",Review_4_scores!O3="X"),Review_3_scores!U5,Review_4_scores!O3)</f>
        <v>U</v>
      </c>
      <c r="Z3" t="str">
        <f>IF(OR(Review_4_scores!P3="",Review_4_scores!P3="X"),Review_3_scores!V5,Review_4_scores!P3)</f>
        <v>U</v>
      </c>
      <c r="AA3" s="30" t="str">
        <f>IF(OR(Review_4_scores!Q3="",Review_4_scores!Q3="X"),Review_3_scores!W5,Review_4_scores!Q3)</f>
        <v>P</v>
      </c>
      <c r="AB3" t="str">
        <f>Review_4_scores!R3</f>
        <v>U</v>
      </c>
      <c r="AC3" t="str">
        <f>Review_4_scores!S3</f>
        <v>U</v>
      </c>
      <c r="AD3" t="str">
        <f>Review_4_scores!T3</f>
        <v>U</v>
      </c>
      <c r="AE3" t="str">
        <f>Review_4_scores!U3</f>
        <v>U</v>
      </c>
      <c r="AF3" t="str">
        <f>Review_4_scores!V3</f>
        <v>DN</v>
      </c>
    </row>
    <row r="4" spans="1:41" ht="16" x14ac:dyDescent="0.2">
      <c r="A4" s="13" t="s">
        <v>172</v>
      </c>
      <c r="B4" s="1" t="s">
        <v>176</v>
      </c>
      <c r="C4" s="2">
        <f t="shared" si="0"/>
        <v>18</v>
      </c>
      <c r="D4" s="2">
        <f t="shared" si="4"/>
        <v>3</v>
      </c>
      <c r="E4" s="2">
        <f t="shared" si="5"/>
        <v>5</v>
      </c>
      <c r="F4" s="2">
        <f t="shared" si="1"/>
        <v>5</v>
      </c>
      <c r="G4" s="2">
        <f t="shared" si="2"/>
        <v>3</v>
      </c>
      <c r="H4" s="2">
        <f t="shared" si="3"/>
        <v>2</v>
      </c>
      <c r="I4" t="str">
        <f>IF(OR(Review_2_scores!M4="",Review_2_scores!M4="X"),Review_1_scores!K4,Review_2_scores!M4)</f>
        <v>U</v>
      </c>
      <c r="J4" t="str">
        <f>IF(OR(Review_2_scores!N4="",Review_2_scores!N4="X"),Review_1_scores!L4,Review_2_scores!N4)</f>
        <v>U</v>
      </c>
      <c r="K4" s="30" t="str">
        <f>IF(OR(Review_2_scores!O4="",Review_2_scores!O4="X"),Review_1_scores!M4,Review_2_scores!O4)</f>
        <v>U</v>
      </c>
      <c r="L4" t="str">
        <f>IF(OR(Review_2_scores!P4="",Review_2_scores!P4="X"),Review_1_scores!N4,Review_2_scores!P4)</f>
        <v>U</v>
      </c>
      <c r="M4" t="str">
        <f>IF(OR(Review_2_scores!Q4="",Review_2_scores!Q4="X"),Review_1_scores!O4,Review_2_scores!Q4)</f>
        <v>U</v>
      </c>
      <c r="N4" t="str">
        <f>IF(OR(Review_2_scores!R4="",Review_2_scores!R4="X"),Review_1_scores!P4,Review_2_scores!R4)</f>
        <v>U</v>
      </c>
      <c r="O4" t="str">
        <f>IF(OR(Review_2_scores!S4="",Review_2_scores!S4="X"),Review_1_scores!Q4,Review_2_scores!S4)</f>
        <v>U</v>
      </c>
      <c r="P4" s="30" t="str">
        <f>IF(OR(Review_2_scores!T4="",Review_2_scores!T4="X"),Review_1_scores!R4,Review_2_scores!T4)</f>
        <v>U</v>
      </c>
      <c r="Q4" t="str">
        <f>IF(OR(Review_3_scores!M4="",Review_3_scores!M4="X"),Review_2_scores!U4,Review_3_scores!M4)</f>
        <v>U</v>
      </c>
      <c r="R4" t="str">
        <f>IF(OR(Review_3_scores!N4="",Review_3_scores!N4="X"),Review_2_scores!V4,Review_3_scores!N4)</f>
        <v>DN</v>
      </c>
      <c r="S4" t="str">
        <f>IF(OR(Review_3_scores!O4="",Review_3_scores!O4="X"),Review_2_scores!W4,Review_3_scores!O4)</f>
        <v>U</v>
      </c>
      <c r="T4" t="str">
        <f>IF(OR(Review_3_scores!P4="",Review_3_scores!P4="X"),Review_2_scores!X4,Review_3_scores!P4)</f>
        <v>U</v>
      </c>
      <c r="U4" t="str">
        <f>IF(OR(Review_3_scores!Q4="",Review_3_scores!Q4="X"),Review_2_scores!Y4,Review_3_scores!Q4)</f>
        <v>U</v>
      </c>
      <c r="V4" t="str">
        <f>IF(OR(Review_3_scores!R4="",Review_3_scores!R4="X"),Review_2_scores!Z4,Review_3_scores!R4)</f>
        <v>U</v>
      </c>
      <c r="W4" s="7" t="str">
        <f>IF(OR(Review_4_scores!M4="",Review_4_scores!M4="X"),Review_3_scores!S6,Review_4_scores!M4)</f>
        <v>U</v>
      </c>
      <c r="X4" t="str">
        <f>IF(OR(Review_4_scores!N4="",Review_4_scores!N4="X"),Review_3_scores!T6,Review_4_scores!N4)</f>
        <v>U</v>
      </c>
      <c r="Y4" t="str">
        <f>IF(OR(Review_4_scores!O4="",Review_4_scores!O4="X"),Review_3_scores!U6,Review_4_scores!O4)</f>
        <v>DN</v>
      </c>
      <c r="Z4" t="str">
        <f>IF(OR(Review_4_scores!P4="",Review_4_scores!P4="X"),Review_3_scores!V6,Review_4_scores!P4)</f>
        <v>U</v>
      </c>
      <c r="AA4" s="30" t="str">
        <f>IF(OR(Review_4_scores!Q4="",Review_4_scores!Q4="X"),Review_3_scores!W6,Review_4_scores!Q4)</f>
        <v>DN</v>
      </c>
      <c r="AB4" t="str">
        <f>Review_4_scores!R4</f>
        <v>U</v>
      </c>
      <c r="AC4" t="str">
        <f>Review_4_scores!S4</f>
        <v>U</v>
      </c>
      <c r="AD4" t="str">
        <f>Review_4_scores!T4</f>
        <v>DN</v>
      </c>
      <c r="AE4" t="str">
        <f>Review_4_scores!U4</f>
        <v>X</v>
      </c>
      <c r="AF4" t="str">
        <f>Review_4_scores!V4</f>
        <v>X</v>
      </c>
    </row>
    <row r="5" spans="1:41" ht="16" x14ac:dyDescent="0.2">
      <c r="A5" s="1" t="s">
        <v>173</v>
      </c>
      <c r="B5" s="1" t="s">
        <v>176</v>
      </c>
      <c r="C5" s="2">
        <f t="shared" si="0"/>
        <v>16</v>
      </c>
      <c r="D5" s="2">
        <f t="shared" si="4"/>
        <v>2</v>
      </c>
      <c r="E5" s="2">
        <f t="shared" si="5"/>
        <v>4</v>
      </c>
      <c r="F5" s="2">
        <f t="shared" si="1"/>
        <v>4</v>
      </c>
      <c r="G5" s="2">
        <f t="shared" si="2"/>
        <v>4</v>
      </c>
      <c r="H5" s="2">
        <f t="shared" si="3"/>
        <v>2</v>
      </c>
      <c r="I5" t="str">
        <f>IF(OR(Review_2_scores!M5="",Review_2_scores!M5="X"),Review_1_scores!K5,Review_2_scores!M5)</f>
        <v>P</v>
      </c>
      <c r="J5" t="str">
        <f>IF(OR(Review_2_scores!N5="",Review_2_scores!N5="X"),Review_1_scores!L5,Review_2_scores!N5)</f>
        <v>U</v>
      </c>
      <c r="K5" s="30" t="str">
        <f>IF(OR(Review_2_scores!O5="",Review_2_scores!O5="X"),Review_1_scores!M5,Review_2_scores!O5)</f>
        <v>U</v>
      </c>
      <c r="L5" t="str">
        <f>IF(OR(Review_2_scores!P5="",Review_2_scores!P5="X"),Review_1_scores!N5,Review_2_scores!P5)</f>
        <v>U</v>
      </c>
      <c r="M5" t="str">
        <f>IF(OR(Review_2_scores!Q5="",Review_2_scores!Q5="X"),Review_1_scores!O5,Review_2_scores!Q5)</f>
        <v>U</v>
      </c>
      <c r="N5" t="str">
        <f>IF(OR(Review_2_scores!R5="",Review_2_scores!R5="X"),Review_1_scores!P5,Review_2_scores!R5)</f>
        <v>U</v>
      </c>
      <c r="O5" t="str">
        <f>IF(OR(Review_2_scores!S5="",Review_2_scores!S5="X"),Review_1_scores!Q5,Review_2_scores!S5)</f>
        <v>U</v>
      </c>
      <c r="P5" s="30" t="str">
        <f>IF(OR(Review_2_scores!T5="",Review_2_scores!T5="X"),Review_1_scores!R5,Review_2_scores!T5)</f>
        <v>P</v>
      </c>
      <c r="Q5" t="str">
        <f>IF(OR(Review_3_scores!M5="",Review_3_scores!M5="X"),Review_2_scores!U5,Review_3_scores!M5)</f>
        <v>U</v>
      </c>
      <c r="R5" t="str">
        <f>IF(OR(Review_3_scores!N5="",Review_3_scores!N5="X"),Review_2_scores!V5,Review_3_scores!N5)</f>
        <v>DN</v>
      </c>
      <c r="S5" t="str">
        <f>IF(OR(Review_3_scores!O5="",Review_3_scores!O5="X"),Review_2_scores!W5,Review_3_scores!O5)</f>
        <v>U</v>
      </c>
      <c r="T5" t="str">
        <f>IF(OR(Review_3_scores!P5="",Review_3_scores!P5="X"),Review_2_scores!X5,Review_3_scores!P5)</f>
        <v>U</v>
      </c>
      <c r="U5" t="str">
        <f>IF(OR(Review_3_scores!Q5="",Review_3_scores!Q5="X"),Review_2_scores!Y5,Review_3_scores!Q5)</f>
        <v>P</v>
      </c>
      <c r="V5" t="str">
        <f>IF(OR(Review_3_scores!R5="",Review_3_scores!R5="X"),Review_2_scores!Z5,Review_3_scores!R5)</f>
        <v>U</v>
      </c>
      <c r="W5" s="7" t="str">
        <f>IF(OR(Review_4_scores!M5="",Review_4_scores!M5="X"),Review_3_scores!S7,Review_4_scores!M5)</f>
        <v>U</v>
      </c>
      <c r="X5" t="str">
        <f>IF(OR(Review_4_scores!N5="",Review_4_scores!N5="X"),Review_3_scores!T7,Review_4_scores!N5)</f>
        <v>U</v>
      </c>
      <c r="Y5" t="str">
        <f>IF(OR(Review_4_scores!O5="",Review_4_scores!O5="X"),Review_3_scores!U7,Review_4_scores!O5)</f>
        <v>U</v>
      </c>
      <c r="Z5" t="str">
        <f>IF(OR(Review_4_scores!P5="",Review_4_scores!P5="X"),Review_3_scores!V7,Review_4_scores!P5)</f>
        <v>U</v>
      </c>
      <c r="AA5" s="30" t="str">
        <f>IF(OR(Review_4_scores!Q5="",Review_4_scores!Q5="X"),Review_3_scores!W7,Review_4_scores!Q5)</f>
        <v>P</v>
      </c>
      <c r="AB5" t="str">
        <f>Review_4_scores!R5</f>
        <v>X</v>
      </c>
      <c r="AC5" t="str">
        <f>Review_4_scores!S5</f>
        <v>U</v>
      </c>
      <c r="AD5" t="str">
        <f>Review_4_scores!T5</f>
        <v>DN</v>
      </c>
      <c r="AE5" t="str">
        <f>Review_4_scores!U5</f>
        <v>X</v>
      </c>
      <c r="AF5" t="str">
        <f>Review_4_scores!V5</f>
        <v>U</v>
      </c>
    </row>
    <row r="6" spans="1:41" x14ac:dyDescent="0.2">
      <c r="B6" s="1"/>
      <c r="I6" s="9"/>
      <c r="J6" s="9"/>
      <c r="K6" s="32"/>
      <c r="L6" s="9"/>
      <c r="M6" s="9"/>
      <c r="N6" s="9"/>
      <c r="O6" s="9"/>
      <c r="P6" s="32"/>
      <c r="Q6" s="9"/>
      <c r="R6" s="9"/>
      <c r="S6" s="9"/>
      <c r="T6" s="9"/>
      <c r="U6" s="9"/>
      <c r="V6" s="9"/>
      <c r="W6" s="22"/>
      <c r="X6" s="9"/>
      <c r="Y6" s="9"/>
      <c r="Z6" s="9"/>
      <c r="AA6" s="9"/>
      <c r="AB6" s="9"/>
      <c r="AC6" s="9"/>
      <c r="AD6" s="9"/>
      <c r="AE6" s="9"/>
      <c r="AF6" s="9"/>
    </row>
    <row r="7" spans="1:41" ht="16" x14ac:dyDescent="0.2">
      <c r="C7" s="2" t="s">
        <v>62</v>
      </c>
      <c r="I7" s="2">
        <f t="shared" ref="I7:AA7" si="6">COUNTIF(I2:I5,"U")</f>
        <v>3</v>
      </c>
      <c r="J7" s="2">
        <f t="shared" si="6"/>
        <v>4</v>
      </c>
      <c r="K7" s="33">
        <f t="shared" si="6"/>
        <v>4</v>
      </c>
      <c r="L7" s="2">
        <f t="shared" si="6"/>
        <v>3</v>
      </c>
      <c r="M7" s="2">
        <f t="shared" si="6"/>
        <v>4</v>
      </c>
      <c r="N7" s="2">
        <f t="shared" si="6"/>
        <v>2</v>
      </c>
      <c r="O7" s="2">
        <f t="shared" si="6"/>
        <v>4</v>
      </c>
      <c r="P7" s="33">
        <f t="shared" si="6"/>
        <v>2</v>
      </c>
      <c r="Q7" s="2">
        <f t="shared" si="6"/>
        <v>4</v>
      </c>
      <c r="R7" s="2">
        <f t="shared" si="6"/>
        <v>2</v>
      </c>
      <c r="S7" s="2">
        <f t="shared" si="6"/>
        <v>3</v>
      </c>
      <c r="T7" s="2">
        <f t="shared" si="6"/>
        <v>4</v>
      </c>
      <c r="U7" s="2">
        <f t="shared" si="6"/>
        <v>3</v>
      </c>
      <c r="V7" s="2">
        <f t="shared" si="6"/>
        <v>4</v>
      </c>
      <c r="W7" s="2">
        <f t="shared" si="6"/>
        <v>4</v>
      </c>
      <c r="X7" s="2">
        <f t="shared" si="6"/>
        <v>4</v>
      </c>
      <c r="Y7" s="2">
        <f t="shared" si="6"/>
        <v>3</v>
      </c>
      <c r="Z7" s="2">
        <f t="shared" si="6"/>
        <v>4</v>
      </c>
      <c r="AA7" s="2">
        <f t="shared" si="6"/>
        <v>0</v>
      </c>
      <c r="AB7" s="2"/>
      <c r="AC7" s="2"/>
      <c r="AD7" s="2"/>
      <c r="AE7" s="2"/>
      <c r="AF7" s="2"/>
    </row>
    <row r="8" spans="1:41" ht="16" x14ac:dyDescent="0.2">
      <c r="C8" s="2" t="s">
        <v>63</v>
      </c>
      <c r="I8" s="2">
        <f t="shared" ref="I8:AA8" si="7">COUNTIF(I2:I5,"P")</f>
        <v>1</v>
      </c>
      <c r="J8" s="2">
        <f t="shared" si="7"/>
        <v>0</v>
      </c>
      <c r="K8" s="33">
        <f t="shared" si="7"/>
        <v>0</v>
      </c>
      <c r="L8" s="2">
        <f t="shared" si="7"/>
        <v>0</v>
      </c>
      <c r="M8" s="2">
        <f t="shared" si="7"/>
        <v>0</v>
      </c>
      <c r="N8" s="2">
        <f t="shared" si="7"/>
        <v>2</v>
      </c>
      <c r="O8" s="2">
        <f t="shared" si="7"/>
        <v>0</v>
      </c>
      <c r="P8" s="33">
        <f t="shared" si="7"/>
        <v>2</v>
      </c>
      <c r="Q8" s="2">
        <f t="shared" si="7"/>
        <v>0</v>
      </c>
      <c r="R8" s="2">
        <f t="shared" si="7"/>
        <v>0</v>
      </c>
      <c r="S8" s="2">
        <f t="shared" si="7"/>
        <v>1</v>
      </c>
      <c r="T8" s="2">
        <f t="shared" si="7"/>
        <v>0</v>
      </c>
      <c r="U8" s="2">
        <f t="shared" si="7"/>
        <v>1</v>
      </c>
      <c r="V8" s="2">
        <f t="shared" si="7"/>
        <v>0</v>
      </c>
      <c r="W8" s="2">
        <f t="shared" si="7"/>
        <v>0</v>
      </c>
      <c r="X8" s="2">
        <f t="shared" si="7"/>
        <v>0</v>
      </c>
      <c r="Y8" s="2">
        <f t="shared" si="7"/>
        <v>0</v>
      </c>
      <c r="Z8" s="2">
        <f t="shared" si="7"/>
        <v>0</v>
      </c>
      <c r="AA8" s="2">
        <f t="shared" si="7"/>
        <v>3</v>
      </c>
      <c r="AB8" s="2"/>
      <c r="AC8" s="2"/>
      <c r="AD8" s="2"/>
      <c r="AE8" s="2"/>
      <c r="AF8" s="2"/>
    </row>
    <row r="9" spans="1:41" ht="16" x14ac:dyDescent="0.2">
      <c r="C9" s="2" t="s">
        <v>64</v>
      </c>
      <c r="I9" s="2">
        <f t="shared" ref="I9:AA9" si="8">COUNTIF(I2:I5,"DN")</f>
        <v>0</v>
      </c>
      <c r="J9" s="2">
        <f t="shared" si="8"/>
        <v>0</v>
      </c>
      <c r="K9" s="33">
        <f t="shared" si="8"/>
        <v>0</v>
      </c>
      <c r="L9" s="2">
        <f t="shared" si="8"/>
        <v>1</v>
      </c>
      <c r="M9" s="2">
        <f t="shared" si="8"/>
        <v>0</v>
      </c>
      <c r="N9" s="2">
        <f t="shared" si="8"/>
        <v>0</v>
      </c>
      <c r="O9" s="2">
        <f t="shared" si="8"/>
        <v>0</v>
      </c>
      <c r="P9" s="33">
        <f t="shared" si="8"/>
        <v>0</v>
      </c>
      <c r="Q9" s="2">
        <f t="shared" si="8"/>
        <v>0</v>
      </c>
      <c r="R9" s="2">
        <f t="shared" si="8"/>
        <v>2</v>
      </c>
      <c r="S9" s="2">
        <f t="shared" si="8"/>
        <v>0</v>
      </c>
      <c r="T9" s="2">
        <f t="shared" si="8"/>
        <v>0</v>
      </c>
      <c r="U9" s="2">
        <f t="shared" si="8"/>
        <v>0</v>
      </c>
      <c r="V9" s="2">
        <f t="shared" si="8"/>
        <v>0</v>
      </c>
      <c r="W9" s="2">
        <f t="shared" si="8"/>
        <v>0</v>
      </c>
      <c r="X9" s="2">
        <f t="shared" si="8"/>
        <v>0</v>
      </c>
      <c r="Y9" s="2">
        <f t="shared" si="8"/>
        <v>1</v>
      </c>
      <c r="Z9" s="2">
        <f t="shared" si="8"/>
        <v>0</v>
      </c>
      <c r="AA9" s="2">
        <f t="shared" si="8"/>
        <v>1</v>
      </c>
      <c r="AB9" s="2"/>
      <c r="AC9" s="2"/>
      <c r="AD9" s="2"/>
      <c r="AE9" s="2"/>
      <c r="AF9" s="2"/>
    </row>
    <row r="10" spans="1:41" ht="16" x14ac:dyDescent="0.2">
      <c r="C10" s="2" t="s">
        <v>65</v>
      </c>
      <c r="I10" s="8">
        <f t="shared" ref="I10:AA10" si="9">COUNTIF(I2:I5,"X")</f>
        <v>0</v>
      </c>
      <c r="J10" s="8">
        <f t="shared" si="9"/>
        <v>0</v>
      </c>
      <c r="K10" s="34">
        <f t="shared" si="9"/>
        <v>0</v>
      </c>
      <c r="L10" s="2">
        <f t="shared" si="9"/>
        <v>0</v>
      </c>
      <c r="M10" s="8">
        <f t="shared" si="9"/>
        <v>0</v>
      </c>
      <c r="N10" s="8">
        <f t="shared" si="9"/>
        <v>0</v>
      </c>
      <c r="O10" s="8">
        <f t="shared" si="9"/>
        <v>0</v>
      </c>
      <c r="P10" s="34">
        <f t="shared" si="9"/>
        <v>0</v>
      </c>
      <c r="Q10" s="2">
        <f t="shared" si="9"/>
        <v>0</v>
      </c>
      <c r="R10" s="8">
        <f t="shared" si="9"/>
        <v>0</v>
      </c>
      <c r="S10" s="8">
        <f t="shared" si="9"/>
        <v>0</v>
      </c>
      <c r="T10" s="8">
        <f t="shared" si="9"/>
        <v>0</v>
      </c>
      <c r="U10" s="8">
        <f t="shared" si="9"/>
        <v>0</v>
      </c>
      <c r="V10" s="8">
        <f t="shared" si="9"/>
        <v>0</v>
      </c>
      <c r="W10" s="8">
        <f t="shared" si="9"/>
        <v>0</v>
      </c>
      <c r="X10" s="8">
        <f t="shared" si="9"/>
        <v>0</v>
      </c>
      <c r="Y10" s="8">
        <f t="shared" si="9"/>
        <v>0</v>
      </c>
      <c r="Z10" s="8">
        <f t="shared" si="9"/>
        <v>0</v>
      </c>
      <c r="AA10" s="8">
        <f t="shared" si="9"/>
        <v>0</v>
      </c>
      <c r="AB10" s="8"/>
      <c r="AC10" s="8"/>
      <c r="AD10" s="8"/>
      <c r="AE10" s="8"/>
      <c r="AF10" s="8"/>
    </row>
    <row r="11" spans="1:41" x14ac:dyDescent="0.2">
      <c r="W11"/>
    </row>
  </sheetData>
  <sortState xmlns:xlrd2="http://schemas.microsoft.com/office/spreadsheetml/2017/richdata2" ref="A2:AF6">
    <sortCondition ref="B1:B6"/>
  </sortState>
  <conditionalFormatting sqref="C2:C5">
    <cfRule type="cellIs" dxfId="40" priority="12" stopIfTrue="1" operator="equal">
      <formula>COUNTIF($I2:$AD2,"&lt;&gt;")</formula>
    </cfRule>
    <cfRule type="cellIs" dxfId="39" priority="13" stopIfTrue="1" operator="lessThan">
      <formula>0.5*COUNTIF($I2:$AD2,"&lt;&gt;")</formula>
    </cfRule>
  </conditionalFormatting>
  <conditionalFormatting sqref="D2:D5">
    <cfRule type="cellIs" dxfId="38" priority="1" operator="equal">
      <formula>3</formula>
    </cfRule>
    <cfRule type="cellIs" dxfId="37" priority="2" operator="lessThan">
      <formula>2</formula>
    </cfRule>
  </conditionalFormatting>
  <conditionalFormatting sqref="E2:E5">
    <cfRule type="cellIs" dxfId="36" priority="6" operator="lessThan">
      <formula>2.5</formula>
    </cfRule>
    <cfRule type="cellIs" dxfId="35" priority="7" stopIfTrue="1" operator="equal">
      <formula>5</formula>
    </cfRule>
  </conditionalFormatting>
  <conditionalFormatting sqref="F2:F5">
    <cfRule type="cellIs" dxfId="34" priority="8" operator="equal">
      <formula>6</formula>
    </cfRule>
    <cfRule type="cellIs" dxfId="33" priority="9" operator="lessThan">
      <formula>3</formula>
    </cfRule>
  </conditionalFormatting>
  <conditionalFormatting sqref="F2:H5">
    <cfRule type="cellIs" dxfId="32" priority="11" stopIfTrue="1" operator="lessThan">
      <formula>2.5</formula>
    </cfRule>
  </conditionalFormatting>
  <conditionalFormatting sqref="G2:H5">
    <cfRule type="cellIs" dxfId="31" priority="10" operator="equal">
      <formula>5</formula>
    </cfRule>
  </conditionalFormatting>
  <conditionalFormatting sqref="I2:AF5">
    <cfRule type="containsText" dxfId="30" priority="3" operator="containsText" text="U">
      <formula>NOT(ISERROR(SEARCH("U",I2)))</formula>
    </cfRule>
    <cfRule type="containsText" dxfId="29" priority="4" operator="containsText" text="X">
      <formula>NOT(ISERROR(SEARCH("X",I2)))</formula>
    </cfRule>
    <cfRule type="containsText" dxfId="28" priority="5" operator="containsText" text="DN">
      <formula>NOT(ISERROR(SEARCH("DN",I2)))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9"/>
  <sheetViews>
    <sheetView tabSelected="1" workbookViewId="0">
      <pane xSplit="1" topLeftCell="BH1" activePane="topRight" state="frozen"/>
      <selection pane="topRight" activeCell="BN2" sqref="BN2"/>
    </sheetView>
  </sheetViews>
  <sheetFormatPr baseColWidth="10" defaultColWidth="8.83203125" defaultRowHeight="16" x14ac:dyDescent="0.2"/>
  <cols>
    <col min="13" max="28" width="0" hidden="1" customWidth="1"/>
    <col min="29" max="29" width="8.83203125" style="7"/>
    <col min="31" max="46" width="12" customWidth="1"/>
    <col min="47" max="47" width="8.83203125" style="7"/>
    <col min="50" max="50" width="8.83203125" customWidth="1"/>
    <col min="51" max="56" width="8.83203125" hidden="1" customWidth="1"/>
    <col min="57" max="57" width="8.83203125" style="7"/>
    <col min="60" max="65" width="8.83203125" customWidth="1"/>
    <col min="66" max="66" width="8.83203125" style="7"/>
    <col min="74" max="74" width="8.83203125" customWidth="1"/>
    <col min="75" max="89" width="9.83203125" customWidth="1"/>
    <col min="90" max="90" width="9.33203125" style="7" bestFit="1" customWidth="1"/>
    <col min="95" max="95" width="8.83203125" style="19"/>
    <col min="97" max="97" width="8.83203125" style="18"/>
  </cols>
  <sheetData>
    <row r="1" spans="1:10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  <c r="N1" s="1" t="s">
        <v>77</v>
      </c>
      <c r="O1" s="1" t="s">
        <v>78</v>
      </c>
      <c r="P1" s="1" t="s">
        <v>79</v>
      </c>
      <c r="Q1" s="1" t="s">
        <v>80</v>
      </c>
      <c r="R1" s="1" t="s">
        <v>81</v>
      </c>
      <c r="S1" s="1" t="s">
        <v>82</v>
      </c>
      <c r="T1" s="1" t="s">
        <v>83</v>
      </c>
      <c r="U1" s="1" t="s">
        <v>84</v>
      </c>
      <c r="V1" s="1" t="s">
        <v>85</v>
      </c>
      <c r="W1" s="1" t="s">
        <v>86</v>
      </c>
      <c r="X1" s="1" t="s">
        <v>87</v>
      </c>
      <c r="Y1" s="1" t="s">
        <v>88</v>
      </c>
      <c r="Z1" s="1" t="s">
        <v>89</v>
      </c>
      <c r="AA1" s="1" t="s">
        <v>90</v>
      </c>
      <c r="AB1" s="1" t="s">
        <v>91</v>
      </c>
      <c r="AC1" s="10" t="s">
        <v>92</v>
      </c>
      <c r="AD1" s="1" t="s">
        <v>93</v>
      </c>
      <c r="AE1" s="1" t="s">
        <v>94</v>
      </c>
      <c r="AF1" s="1" t="s">
        <v>95</v>
      </c>
      <c r="AG1" s="1" t="s">
        <v>96</v>
      </c>
      <c r="AH1" s="1" t="s">
        <v>97</v>
      </c>
      <c r="AI1" s="1" t="s">
        <v>98</v>
      </c>
      <c r="AJ1" s="1" t="s">
        <v>99</v>
      </c>
      <c r="AK1" s="1" t="s">
        <v>100</v>
      </c>
      <c r="AL1" s="1" t="s">
        <v>101</v>
      </c>
      <c r="AM1" s="1" t="s">
        <v>102</v>
      </c>
      <c r="AN1" s="1" t="s">
        <v>103</v>
      </c>
      <c r="AO1" s="1" t="s">
        <v>104</v>
      </c>
      <c r="AP1" s="1" t="s">
        <v>105</v>
      </c>
      <c r="AQ1" s="1" t="s">
        <v>106</v>
      </c>
      <c r="AR1" s="1" t="s">
        <v>107</v>
      </c>
      <c r="AS1" s="13" t="s">
        <v>164</v>
      </c>
      <c r="AT1" s="1" t="s">
        <v>108</v>
      </c>
      <c r="AU1" s="14" t="s">
        <v>110</v>
      </c>
      <c r="AV1" s="1" t="s">
        <v>111</v>
      </c>
      <c r="AW1" s="1" t="s">
        <v>112</v>
      </c>
      <c r="AX1" s="1" t="s">
        <v>113</v>
      </c>
      <c r="AY1" s="1" t="s">
        <v>114</v>
      </c>
      <c r="AZ1" s="1" t="s">
        <v>115</v>
      </c>
      <c r="BA1" s="1" t="s">
        <v>116</v>
      </c>
      <c r="BB1" s="1" t="s">
        <v>117</v>
      </c>
      <c r="BC1" s="1" t="s">
        <v>118</v>
      </c>
      <c r="BD1" s="1" t="s">
        <v>119</v>
      </c>
      <c r="BE1" s="14" t="s">
        <v>121</v>
      </c>
      <c r="BF1" s="1" t="s">
        <v>122</v>
      </c>
      <c r="BG1" s="1" t="s">
        <v>123</v>
      </c>
      <c r="BH1" s="1" t="s">
        <v>124</v>
      </c>
      <c r="BI1" s="1" t="s">
        <v>125</v>
      </c>
      <c r="BJ1" s="1" t="s">
        <v>126</v>
      </c>
      <c r="BK1" s="1" t="s">
        <v>127</v>
      </c>
      <c r="BL1" s="1" t="s">
        <v>128</v>
      </c>
      <c r="BM1" s="1" t="s">
        <v>109</v>
      </c>
      <c r="BN1" s="10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10</v>
      </c>
      <c r="BU1" s="1" t="s">
        <v>11</v>
      </c>
      <c r="BV1" s="1" t="s">
        <v>12</v>
      </c>
      <c r="BW1" s="1" t="s">
        <v>13</v>
      </c>
      <c r="BX1" s="1" t="s">
        <v>14</v>
      </c>
      <c r="BY1" s="1" t="s">
        <v>15</v>
      </c>
      <c r="BZ1" s="1" t="s">
        <v>16</v>
      </c>
      <c r="CA1" s="1" t="s">
        <v>17</v>
      </c>
      <c r="CB1" s="1" t="s">
        <v>18</v>
      </c>
      <c r="CC1" s="1" t="s">
        <v>19</v>
      </c>
      <c r="CD1" s="1" t="s">
        <v>20</v>
      </c>
      <c r="CE1" s="1" t="s">
        <v>21</v>
      </c>
      <c r="CF1" s="1" t="s">
        <v>22</v>
      </c>
      <c r="CG1" s="1" t="s">
        <v>23</v>
      </c>
      <c r="CH1" s="1" t="s">
        <v>24</v>
      </c>
      <c r="CI1" s="1" t="s">
        <v>25</v>
      </c>
      <c r="CJ1" s="1" t="s">
        <v>26</v>
      </c>
      <c r="CK1" s="1" t="s">
        <v>27</v>
      </c>
      <c r="CL1" s="14" t="s">
        <v>67</v>
      </c>
      <c r="CM1" s="1" t="s">
        <v>66</v>
      </c>
      <c r="CN1" s="1" t="s">
        <v>120</v>
      </c>
      <c r="CO1" s="1" t="s">
        <v>129</v>
      </c>
      <c r="CP1" s="1" t="s">
        <v>28</v>
      </c>
      <c r="CQ1" s="19" t="s">
        <v>29</v>
      </c>
      <c r="CR1" s="1"/>
      <c r="CS1" s="43" t="s">
        <v>163</v>
      </c>
      <c r="CT1" s="1"/>
      <c r="CU1" s="24"/>
      <c r="CX1" s="9"/>
      <c r="CY1" s="9"/>
    </row>
    <row r="2" spans="1:103" ht="17" x14ac:dyDescent="0.25">
      <c r="A2" s="13" t="s">
        <v>170</v>
      </c>
      <c r="B2" s="1" t="s">
        <v>174</v>
      </c>
      <c r="C2" s="1" t="s">
        <v>30</v>
      </c>
      <c r="D2" s="1" t="s">
        <v>175</v>
      </c>
      <c r="E2" s="1"/>
      <c r="F2" s="11">
        <v>2</v>
      </c>
      <c r="G2" s="11">
        <v>3</v>
      </c>
      <c r="H2" s="11">
        <v>3</v>
      </c>
      <c r="I2" s="11">
        <v>3</v>
      </c>
      <c r="J2" s="11">
        <v>3</v>
      </c>
      <c r="K2" s="11">
        <v>3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>
        <v>10</v>
      </c>
      <c r="AD2" s="11">
        <v>10</v>
      </c>
      <c r="AE2" s="11">
        <v>10</v>
      </c>
      <c r="AF2" s="11">
        <v>10</v>
      </c>
      <c r="AG2" s="11">
        <v>10</v>
      </c>
      <c r="AH2" s="11">
        <v>10</v>
      </c>
      <c r="AI2" s="11">
        <v>10</v>
      </c>
      <c r="AJ2" s="11">
        <v>10</v>
      </c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20">
        <f>Homework_1_scores!E2/Homework_1_scores!F2</f>
        <v>0.93103448275862066</v>
      </c>
      <c r="AV2" s="11"/>
      <c r="AW2" s="11"/>
      <c r="AX2" s="11"/>
      <c r="AY2" s="11"/>
      <c r="AZ2" s="11"/>
      <c r="BA2" s="11"/>
      <c r="BB2" s="11"/>
      <c r="BC2" s="11"/>
      <c r="BD2" s="11"/>
      <c r="BE2" s="20">
        <f>Lab_1_scores!E2/Lab_1_scores!F2</f>
        <v>0.9642857142857143</v>
      </c>
      <c r="BF2" s="11"/>
      <c r="BG2" s="11"/>
      <c r="BH2" s="11"/>
      <c r="BI2" s="11"/>
      <c r="BJ2" s="11"/>
      <c r="BK2" s="11"/>
      <c r="BL2" s="11"/>
      <c r="BM2" s="11"/>
      <c r="BN2" s="12">
        <f>IF(Standards!I2&lt;&gt;"",IF(Standards!I2="U",1,0),"")</f>
        <v>1</v>
      </c>
      <c r="BO2" s="11">
        <f>IF(Standards!J2&lt;&gt;"",IF(Standards!J2="U",1,0),"")</f>
        <v>1</v>
      </c>
      <c r="BP2" s="11">
        <f>IF(Standards!K2&lt;&gt;"",IF(Standards!K2="U",1,0),"")</f>
        <v>1</v>
      </c>
      <c r="BQ2" s="11">
        <f>IF(Standards!L2&lt;&gt;"",IF(Standards!L2="U",1,0),"")</f>
        <v>0</v>
      </c>
      <c r="BR2" s="11">
        <f>IF(Standards!M2&lt;&gt;"",IF(Standards!M2="U",1,0),"")</f>
        <v>1</v>
      </c>
      <c r="BS2" s="11">
        <f>IF(Standards!N2&lt;&gt;"",IF(Standards!N2="U",1,0),"")</f>
        <v>0</v>
      </c>
      <c r="BT2" s="11">
        <f>IF(Standards!O2&lt;&gt;"",IF(Standards!O2="U",1,0),"")</f>
        <v>1</v>
      </c>
      <c r="BU2" s="11">
        <f>IF(Standards!P2&lt;&gt;"",IF(Standards!P2="U",1,0),"")</f>
        <v>1</v>
      </c>
      <c r="BV2" s="11">
        <f>IF(Standards!Q2&lt;&gt;"",IF(Standards!Q2="U",1,0),"")</f>
        <v>1</v>
      </c>
      <c r="BW2" s="11">
        <f>IF(Standards!R2&lt;&gt;"",IF(Standards!R2="U",1,0),"")</f>
        <v>1</v>
      </c>
      <c r="BX2" s="11">
        <f>IF(Standards!S2&lt;&gt;"",IF(Standards!S2="U",1,0),"")</f>
        <v>1</v>
      </c>
      <c r="BY2" s="11">
        <f>IF(Standards!T2&lt;&gt;"",IF(Standards!T2="U",1,0),"")</f>
        <v>1</v>
      </c>
      <c r="BZ2" s="11">
        <f>IF(Standards!U2&lt;&gt;"",IF(Standards!U2="U",1,0),"")</f>
        <v>1</v>
      </c>
      <c r="CA2" s="11">
        <f>IF(Standards!V2&lt;&gt;"",IF(Standards!V2="U",1,0),"")</f>
        <v>1</v>
      </c>
      <c r="CB2" s="11">
        <f>IF(Standards!W2&lt;&gt;"",IF(Standards!W2="U",1,0),"")</f>
        <v>1</v>
      </c>
      <c r="CC2" s="11">
        <f>IF(Standards!X2&lt;&gt;"",IF(Standards!X2="U",1,0),"")</f>
        <v>1</v>
      </c>
      <c r="CD2" s="11">
        <f>IF(Standards!Y2&lt;&gt;"",IF(Standards!Y2="U",1,0),"")</f>
        <v>1</v>
      </c>
      <c r="CE2" s="11">
        <f>IF(Standards!Z2&lt;&gt;"",IF(Standards!Z2="U",1,0),"")</f>
        <v>1</v>
      </c>
      <c r="CF2" s="11">
        <f>IF(Standards!AA2&lt;&gt;"",IF(Standards!AA2="U",1,0),"")</f>
        <v>0</v>
      </c>
      <c r="CG2" s="11">
        <f>IF(Standards!AB2&lt;&gt;"",IF(Standards!AB2="U",1,0),"")</f>
        <v>1</v>
      </c>
      <c r="CH2" s="11">
        <f>IF(Standards!AC2&lt;&gt;"",IF(Standards!AC2="U",1,0),"")</f>
        <v>1</v>
      </c>
      <c r="CI2" s="11">
        <f>IF(Standards!AD2&lt;&gt;"",IF(Standards!AD2="U",1,0),"")</f>
        <v>1</v>
      </c>
      <c r="CJ2" s="11">
        <f>IF(Standards!AE2&lt;&gt;"",IF(Standards!AE2="U",1,0),"")</f>
        <v>1</v>
      </c>
      <c r="CK2" s="48">
        <f>IF(Standards!AF2&lt;&gt;"",IF(Standards!AF2="U",1,0),"")</f>
        <v>0</v>
      </c>
      <c r="CL2" s="17">
        <f>(SUM($F2:$AB2) - SMALL($F2:$AB2,1) - SMALL($F2:$AB2,2)) / (3 * (COUNTA($F2:$AB2) - 2))</f>
        <v>1</v>
      </c>
      <c r="CM2" s="17">
        <f t="shared" ref="CM2:CM5" si="0">(AVERAGE($AC2:$AT2))/10</f>
        <v>1</v>
      </c>
      <c r="CN2" s="36">
        <f>AVERAGE($AU2:$BD2)</f>
        <v>0.93103448275862066</v>
      </c>
      <c r="CO2" s="36">
        <f t="shared" ref="CO2" si="1">AVERAGE(BE2:BM2)</f>
        <v>0.9642857142857143</v>
      </c>
      <c r="CP2" s="15">
        <f>AVERAGEIF($BN2:$CK2, "&lt;&gt;")</f>
        <v>0.83333333333333337</v>
      </c>
      <c r="CQ2" s="19">
        <f>$CL2*0.04+$CM2*0.05+$CN2*0.15+$CO2*0.16+$CP2*0.6</f>
        <v>0.88394088669950743</v>
      </c>
      <c r="CR2" t="str">
        <f>LOOKUP($CQ2, {0,0.6,0.67,0.7,0.73,0.77,0.8,0.83,0.87,0.9,0.93}, {"F","D","D+","C-","C","C+","B-","B","B+","A-","A"})</f>
        <v>B+</v>
      </c>
      <c r="CS2" s="23">
        <f>$CL2*0.04+$CM2*0.05+$CN2*0.15+$CO2*0.16+(SUM($BN2:$CA2))/14*0.6</f>
        <v>0.89822660098522167</v>
      </c>
      <c r="CT2" s="49" t="str">
        <f>LOOKUP($CS2, {0,0.6,0.67,0.7,0.73,0.77,0.8,0.83,0.87,0.9,0.93}, {"F","D","D+","C-","C","C+","B-","B","B+","A-","A"})</f>
        <v>B+</v>
      </c>
      <c r="CU2" s="23"/>
      <c r="CX2" s="11"/>
      <c r="CY2" s="38"/>
    </row>
    <row r="3" spans="1:103" ht="17" x14ac:dyDescent="0.25">
      <c r="A3" s="1" t="s">
        <v>171</v>
      </c>
      <c r="B3" s="1" t="s">
        <v>174</v>
      </c>
      <c r="C3" s="1" t="s">
        <v>31</v>
      </c>
      <c r="D3" s="1" t="s">
        <v>177</v>
      </c>
      <c r="E3" s="1"/>
      <c r="F3" s="11">
        <v>3</v>
      </c>
      <c r="G3" s="11">
        <v>3</v>
      </c>
      <c r="H3" s="11">
        <v>3</v>
      </c>
      <c r="I3" s="11">
        <v>3</v>
      </c>
      <c r="J3" s="11">
        <v>3</v>
      </c>
      <c r="K3" s="11">
        <v>3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2">
        <v>10</v>
      </c>
      <c r="AD3" s="11">
        <v>10</v>
      </c>
      <c r="AE3" s="11">
        <v>10</v>
      </c>
      <c r="AF3" s="11">
        <v>10</v>
      </c>
      <c r="AG3" s="11">
        <v>10</v>
      </c>
      <c r="AH3" s="11">
        <v>10</v>
      </c>
      <c r="AI3" s="11">
        <v>10</v>
      </c>
      <c r="AJ3" s="11">
        <v>10</v>
      </c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20">
        <f>Homework_1_scores!E3/Homework_1_scores!F3</f>
        <v>0.86206896551724133</v>
      </c>
      <c r="AV3" s="11"/>
      <c r="AW3" s="11"/>
      <c r="AX3" s="11"/>
      <c r="AY3" s="11"/>
      <c r="AZ3" s="11"/>
      <c r="BA3" s="11"/>
      <c r="BB3" s="11"/>
      <c r="BC3" s="11"/>
      <c r="BD3" s="11"/>
      <c r="BE3" s="20">
        <f>Lab_1_scores!E3/Lab_1_scores!F3</f>
        <v>0.8571428571428571</v>
      </c>
      <c r="BF3" s="11"/>
      <c r="BG3" s="11"/>
      <c r="BH3" s="11"/>
      <c r="BI3" s="11"/>
      <c r="BJ3" s="11"/>
      <c r="BK3" s="11"/>
      <c r="BL3" s="11"/>
      <c r="BM3" s="11"/>
      <c r="BN3" s="12">
        <f>IF(Standards!I3&lt;&gt;"",IF(Standards!I3="U",1,0),"")</f>
        <v>1</v>
      </c>
      <c r="BO3" s="11">
        <f>IF(Standards!J3&lt;&gt;"",IF(Standards!J3="U",1,0),"")</f>
        <v>1</v>
      </c>
      <c r="BP3" s="11">
        <f>IF(Standards!K3&lt;&gt;"",IF(Standards!K3="U",1,0),"")</f>
        <v>1</v>
      </c>
      <c r="BQ3" s="11">
        <f>IF(Standards!L3&lt;&gt;"",IF(Standards!L3="U",1,0),"")</f>
        <v>1</v>
      </c>
      <c r="BR3" s="11">
        <f>IF(Standards!M3&lt;&gt;"",IF(Standards!M3="U",1,0),"")</f>
        <v>1</v>
      </c>
      <c r="BS3" s="11">
        <f>IF(Standards!N3&lt;&gt;"",IF(Standards!N3="U",1,0),"")</f>
        <v>0</v>
      </c>
      <c r="BT3" s="11">
        <f>IF(Standards!O3&lt;&gt;"",IF(Standards!O3="U",1,0),"")</f>
        <v>1</v>
      </c>
      <c r="BU3" s="11">
        <f>IF(Standards!P3&lt;&gt;"",IF(Standards!P3="U",1,0),"")</f>
        <v>0</v>
      </c>
      <c r="BV3" s="11">
        <f>IF(Standards!Q3&lt;&gt;"",IF(Standards!Q3="U",1,0),"")</f>
        <v>1</v>
      </c>
      <c r="BW3" s="11">
        <f>IF(Standards!R3&lt;&gt;"",IF(Standards!R3="U",1,0),"")</f>
        <v>1</v>
      </c>
      <c r="BX3" s="11">
        <f>IF(Standards!S3&lt;&gt;"",IF(Standards!S3="U",1,0),"")</f>
        <v>0</v>
      </c>
      <c r="BY3" s="11">
        <f>IF(Standards!T3&lt;&gt;"",IF(Standards!T3="U",1,0),"")</f>
        <v>1</v>
      </c>
      <c r="BZ3" s="11">
        <f>IF(Standards!U3&lt;&gt;"",IF(Standards!U3="U",1,0),"")</f>
        <v>1</v>
      </c>
      <c r="CA3" s="11">
        <f>IF(Standards!V3&lt;&gt;"",IF(Standards!V3="U",1,0),"")</f>
        <v>1</v>
      </c>
      <c r="CB3" s="11">
        <f>IF(Standards!W3&lt;&gt;"",IF(Standards!W3="U",1,0),"")</f>
        <v>1</v>
      </c>
      <c r="CC3" s="11">
        <f>IF(Standards!X3&lt;&gt;"",IF(Standards!X3="U",1,0),"")</f>
        <v>1</v>
      </c>
      <c r="CD3" s="11">
        <f>IF(Standards!Y3&lt;&gt;"",IF(Standards!Y3="U",1,0),"")</f>
        <v>1</v>
      </c>
      <c r="CE3" s="11">
        <f>IF(Standards!Z3&lt;&gt;"",IF(Standards!Z3="U",1,0),"")</f>
        <v>1</v>
      </c>
      <c r="CF3" s="11">
        <f>IF(Standards!AA3&lt;&gt;"",IF(Standards!AA3="U",1,0),"")</f>
        <v>0</v>
      </c>
      <c r="CG3" s="11">
        <f>IF(Standards!AB3&lt;&gt;"",IF(Standards!AB3="U",1,0),"")</f>
        <v>1</v>
      </c>
      <c r="CH3" s="11">
        <f>IF(Standards!AC3&lt;&gt;"",IF(Standards!AC3="U",1,0),"")</f>
        <v>1</v>
      </c>
      <c r="CI3" s="11">
        <f>IF(Standards!AD3&lt;&gt;"",IF(Standards!AD3="U",1,0),"")</f>
        <v>1</v>
      </c>
      <c r="CJ3" s="11">
        <f>IF(Standards!AE3&lt;&gt;"",IF(Standards!AE3="U",1,0),"")</f>
        <v>1</v>
      </c>
      <c r="CK3" s="48">
        <f>IF(Standards!AF3&lt;&gt;"",IF(Standards!AF3="U",1,0),"")</f>
        <v>0</v>
      </c>
      <c r="CL3" s="17">
        <f t="shared" ref="CL3:CL5" si="2">(SUM($F3:$AB3) - SMALL($F3:$AB3,1) - SMALL($F3:$AB3,2)) / (3 * (COUNTA($F3:$AB3) - 2))</f>
        <v>1</v>
      </c>
      <c r="CM3" s="17">
        <f t="shared" si="0"/>
        <v>1</v>
      </c>
      <c r="CN3" s="36">
        <f t="shared" ref="CN3:CN5" si="3">AVERAGE($AU3:$BD3)</f>
        <v>0.86206896551724133</v>
      </c>
      <c r="CO3" s="36">
        <f t="shared" ref="CO3:CO5" si="4">AVERAGE(BE3:BM3)</f>
        <v>0.8571428571428571</v>
      </c>
      <c r="CP3" s="15">
        <f t="shared" ref="CP3:CP5" si="5">AVERAGEIF($BN3:$CK3, "&lt;&gt;")</f>
        <v>0.79166666666666663</v>
      </c>
      <c r="CQ3" s="19">
        <f t="shared" ref="CQ3:CQ5" si="6">$CL3*0.04+$CM3*0.05+$CN3*0.15+$CO3*0.16+$CP3*0.6</f>
        <v>0.83145320197044326</v>
      </c>
      <c r="CR3" t="str">
        <f>LOOKUP($CQ3, {0,0.6,0.67,0.7,0.73,0.77,0.8,0.83,0.87,0.9,0.93}, {"F","D","D+","C-","C","C+","B-","B","B+","A-","A"})</f>
        <v>B</v>
      </c>
      <c r="CS3" s="23">
        <f t="shared" ref="CS3:CS5" si="7">$CL3*0.04+$CM3*0.05+$CN3*0.15+$CO3*0.16+(SUM($BN3:$CA3))/14*0.6</f>
        <v>0.8278817733990147</v>
      </c>
      <c r="CT3" s="49" t="str">
        <f>LOOKUP($CS3, {0,0.6,0.67,0.7,0.73,0.77,0.8,0.83,0.87,0.9,0.93}, {"F","D","D+","C-","C","C+","B-","B","B+","A-","A"})</f>
        <v>B-</v>
      </c>
      <c r="CU3" s="23"/>
      <c r="CX3" s="11"/>
      <c r="CY3" s="38"/>
    </row>
    <row r="4" spans="1:103" ht="17" x14ac:dyDescent="0.25">
      <c r="A4" s="1" t="s">
        <v>172</v>
      </c>
      <c r="B4" s="1" t="s">
        <v>176</v>
      </c>
      <c r="C4" s="1" t="s">
        <v>32</v>
      </c>
      <c r="D4" s="1" t="s">
        <v>178</v>
      </c>
      <c r="E4" s="1"/>
      <c r="F4" s="11">
        <v>3</v>
      </c>
      <c r="G4" s="11">
        <v>3</v>
      </c>
      <c r="H4" s="11">
        <v>3</v>
      </c>
      <c r="I4" s="11">
        <v>3</v>
      </c>
      <c r="J4" s="11">
        <v>3</v>
      </c>
      <c r="K4" s="11">
        <v>3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2">
        <v>10</v>
      </c>
      <c r="AD4" s="11">
        <v>10</v>
      </c>
      <c r="AE4" s="11">
        <v>10</v>
      </c>
      <c r="AF4" s="11">
        <v>10</v>
      </c>
      <c r="AG4" s="11">
        <v>10</v>
      </c>
      <c r="AH4" s="11">
        <v>10</v>
      </c>
      <c r="AI4" s="11">
        <v>10</v>
      </c>
      <c r="AJ4" s="11">
        <v>10</v>
      </c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20">
        <f>Homework_1_scores!E4/Homework_1_scores!F4</f>
        <v>0.89655172413793105</v>
      </c>
      <c r="AV4" s="11"/>
      <c r="AW4" s="11"/>
      <c r="AX4" s="11"/>
      <c r="AY4" s="11"/>
      <c r="AZ4" s="11"/>
      <c r="BA4" s="11"/>
      <c r="BB4" s="11"/>
      <c r="BC4" s="11"/>
      <c r="BD4" s="11"/>
      <c r="BE4" s="20">
        <f>Lab_1_scores!E4/Lab_1_scores!F4</f>
        <v>1</v>
      </c>
      <c r="BF4" s="11"/>
      <c r="BG4" s="11"/>
      <c r="BH4" s="11"/>
      <c r="BI4" s="11"/>
      <c r="BJ4" s="11"/>
      <c r="BK4" s="11"/>
      <c r="BL4" s="11"/>
      <c r="BM4" s="11"/>
      <c r="BN4" s="12">
        <f>IF(Standards!I4&lt;&gt;"",IF(Standards!I4="U",1,0),"")</f>
        <v>1</v>
      </c>
      <c r="BO4" s="11">
        <f>IF(Standards!J4&lt;&gt;"",IF(Standards!J4="U",1,0),"")</f>
        <v>1</v>
      </c>
      <c r="BP4" s="11">
        <f>IF(Standards!K4&lt;&gt;"",IF(Standards!K4="U",1,0),"")</f>
        <v>1</v>
      </c>
      <c r="BQ4" s="11">
        <f>IF(Standards!L4&lt;&gt;"",IF(Standards!L4="U",1,0),"")</f>
        <v>1</v>
      </c>
      <c r="BR4" s="11">
        <f>IF(Standards!M4&lt;&gt;"",IF(Standards!M4="U",1,0),"")</f>
        <v>1</v>
      </c>
      <c r="BS4" s="11">
        <f>IF(Standards!N4&lt;&gt;"",IF(Standards!N4="U",1,0),"")</f>
        <v>1</v>
      </c>
      <c r="BT4" s="11">
        <f>IF(Standards!O4&lt;&gt;"",IF(Standards!O4="U",1,0),"")</f>
        <v>1</v>
      </c>
      <c r="BU4" s="11">
        <f>IF(Standards!P4&lt;&gt;"",IF(Standards!P4="U",1,0),"")</f>
        <v>1</v>
      </c>
      <c r="BV4" s="11">
        <f>IF(Standards!Q4&lt;&gt;"",IF(Standards!Q4="U",1,0),"")</f>
        <v>1</v>
      </c>
      <c r="BW4" s="11">
        <f>IF(Standards!R4&lt;&gt;"",IF(Standards!R4="U",1,0),"")</f>
        <v>0</v>
      </c>
      <c r="BX4" s="11">
        <f>IF(Standards!S4&lt;&gt;"",IF(Standards!S4="U",1,0),"")</f>
        <v>1</v>
      </c>
      <c r="BY4" s="11">
        <f>IF(Standards!T4&lt;&gt;"",IF(Standards!T4="U",1,0),"")</f>
        <v>1</v>
      </c>
      <c r="BZ4" s="11">
        <f>IF(Standards!U4&lt;&gt;"",IF(Standards!U4="U",1,0),"")</f>
        <v>1</v>
      </c>
      <c r="CA4" s="11">
        <f>IF(Standards!V4&lt;&gt;"",IF(Standards!V4="U",1,0),"")</f>
        <v>1</v>
      </c>
      <c r="CB4" s="11">
        <f>IF(Standards!W4&lt;&gt;"",IF(Standards!W4="U",1,0),"")</f>
        <v>1</v>
      </c>
      <c r="CC4" s="11">
        <f>IF(Standards!X4&lt;&gt;"",IF(Standards!X4="U",1,0),"")</f>
        <v>1</v>
      </c>
      <c r="CD4" s="11">
        <f>IF(Standards!Y4&lt;&gt;"",IF(Standards!Y4="U",1,0),"")</f>
        <v>0</v>
      </c>
      <c r="CE4" s="11">
        <f>IF(Standards!Z4&lt;&gt;"",IF(Standards!Z4="U",1,0),"")</f>
        <v>1</v>
      </c>
      <c r="CF4" s="11">
        <f>IF(Standards!AA4&lt;&gt;"",IF(Standards!AA4="U",1,0),"")</f>
        <v>0</v>
      </c>
      <c r="CG4" s="11">
        <f>IF(Standards!AB4&lt;&gt;"",IF(Standards!AB4="U",1,0),"")</f>
        <v>1</v>
      </c>
      <c r="CH4" s="11">
        <f>IF(Standards!AC4&lt;&gt;"",IF(Standards!AC4="U",1,0),"")</f>
        <v>1</v>
      </c>
      <c r="CI4" s="11">
        <f>IF(Standards!AD4&lt;&gt;"",IF(Standards!AD4="U",1,0),"")</f>
        <v>0</v>
      </c>
      <c r="CJ4" s="11">
        <f>IF(Standards!AE4&lt;&gt;"",IF(Standards!AE4="U",1,0),"")</f>
        <v>0</v>
      </c>
      <c r="CK4" s="48">
        <f>IF(Standards!AF4&lt;&gt;"",IF(Standards!AF4="U",1,0),"")</f>
        <v>0</v>
      </c>
      <c r="CL4" s="17">
        <f t="shared" si="2"/>
        <v>1</v>
      </c>
      <c r="CM4" s="17">
        <f t="shared" si="0"/>
        <v>1</v>
      </c>
      <c r="CN4" s="36">
        <f t="shared" si="3"/>
        <v>0.89655172413793105</v>
      </c>
      <c r="CO4" s="36">
        <f t="shared" si="4"/>
        <v>1</v>
      </c>
      <c r="CP4" s="15">
        <f t="shared" si="5"/>
        <v>0.75</v>
      </c>
      <c r="CQ4" s="19">
        <f t="shared" si="6"/>
        <v>0.83448275862068955</v>
      </c>
      <c r="CR4" t="str">
        <f>LOOKUP($CQ4, {0,0.6,0.67,0.7,0.73,0.77,0.8,0.83,0.87,0.9,0.93}, {"F","D","D+","C-","C","C+","B-","B","B+","A-","A"})</f>
        <v>B</v>
      </c>
      <c r="CS4" s="23">
        <f t="shared" si="7"/>
        <v>0.94162561576354675</v>
      </c>
      <c r="CT4" s="49" t="str">
        <f>LOOKUP($CS4, {0,0.6,0.67,0.7,0.73,0.77,0.8,0.83,0.87,0.9,0.93}, {"F","D","D+","C-","C","C+","B-","B","B+","A-","A"})</f>
        <v>A</v>
      </c>
      <c r="CU4" s="23"/>
      <c r="CX4" s="11"/>
      <c r="CY4" s="38"/>
    </row>
    <row r="5" spans="1:103" ht="17" x14ac:dyDescent="0.25">
      <c r="A5" s="1" t="s">
        <v>173</v>
      </c>
      <c r="B5" s="1" t="s">
        <v>176</v>
      </c>
      <c r="C5" s="1" t="s">
        <v>33</v>
      </c>
      <c r="D5" s="1" t="s">
        <v>179</v>
      </c>
      <c r="E5" s="1"/>
      <c r="F5" s="11">
        <v>3</v>
      </c>
      <c r="G5" s="11">
        <v>3</v>
      </c>
      <c r="H5" s="11">
        <v>3</v>
      </c>
      <c r="I5" s="11">
        <v>3</v>
      </c>
      <c r="J5" s="11">
        <v>3</v>
      </c>
      <c r="K5" s="11">
        <v>3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2">
        <v>10</v>
      </c>
      <c r="AD5" s="11">
        <v>10</v>
      </c>
      <c r="AE5" s="11">
        <v>10</v>
      </c>
      <c r="AF5" s="11">
        <v>10</v>
      </c>
      <c r="AG5" s="11">
        <v>10</v>
      </c>
      <c r="AH5" s="11">
        <v>10</v>
      </c>
      <c r="AI5" s="11">
        <v>10</v>
      </c>
      <c r="AJ5" s="11">
        <v>10</v>
      </c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20">
        <f>Homework_1_scores!E5/Homework_1_scores!F5</f>
        <v>1</v>
      </c>
      <c r="AV5" s="11"/>
      <c r="AW5" s="11"/>
      <c r="AX5" s="11"/>
      <c r="AY5" s="11"/>
      <c r="AZ5" s="11"/>
      <c r="BA5" s="11"/>
      <c r="BB5" s="11"/>
      <c r="BC5" s="11"/>
      <c r="BD5" s="11"/>
      <c r="BE5" s="20">
        <f>Lab_1_scores!E5/Lab_1_scores!F5</f>
        <v>1</v>
      </c>
      <c r="BF5" s="11"/>
      <c r="BG5" s="11"/>
      <c r="BH5" s="11"/>
      <c r="BI5" s="11"/>
      <c r="BJ5" s="11"/>
      <c r="BK5" s="11"/>
      <c r="BL5" s="11"/>
      <c r="BM5" s="11"/>
      <c r="BN5" s="12">
        <f>IF(Standards!I5&lt;&gt;"",IF(Standards!I5="U",1,0),"")</f>
        <v>0</v>
      </c>
      <c r="BO5" s="11">
        <f>IF(Standards!J5&lt;&gt;"",IF(Standards!J5="U",1,0),"")</f>
        <v>1</v>
      </c>
      <c r="BP5" s="11">
        <f>IF(Standards!K5&lt;&gt;"",IF(Standards!K5="U",1,0),"")</f>
        <v>1</v>
      </c>
      <c r="BQ5" s="11">
        <f>IF(Standards!L5&lt;&gt;"",IF(Standards!L5="U",1,0),"")</f>
        <v>1</v>
      </c>
      <c r="BR5" s="11">
        <f>IF(Standards!M5&lt;&gt;"",IF(Standards!M5="U",1,0),"")</f>
        <v>1</v>
      </c>
      <c r="BS5" s="11">
        <f>IF(Standards!N5&lt;&gt;"",IF(Standards!N5="U",1,0),"")</f>
        <v>1</v>
      </c>
      <c r="BT5" s="11">
        <f>IF(Standards!O5&lt;&gt;"",IF(Standards!O5="U",1,0),"")</f>
        <v>1</v>
      </c>
      <c r="BU5" s="11">
        <f>IF(Standards!P5&lt;&gt;"",IF(Standards!P5="U",1,0),"")</f>
        <v>0</v>
      </c>
      <c r="BV5" s="11">
        <f>IF(Standards!Q5&lt;&gt;"",IF(Standards!Q5="U",1,0),"")</f>
        <v>1</v>
      </c>
      <c r="BW5" s="11">
        <f>IF(Standards!R5&lt;&gt;"",IF(Standards!R5="U",1,0),"")</f>
        <v>0</v>
      </c>
      <c r="BX5" s="11">
        <f>IF(Standards!S5&lt;&gt;"",IF(Standards!S5="U",1,0),"")</f>
        <v>1</v>
      </c>
      <c r="BY5" s="11">
        <f>IF(Standards!T5&lt;&gt;"",IF(Standards!T5="U",1,0),"")</f>
        <v>1</v>
      </c>
      <c r="BZ5" s="11">
        <f>IF(Standards!U5&lt;&gt;"",IF(Standards!U5="U",1,0),"")</f>
        <v>0</v>
      </c>
      <c r="CA5" s="11">
        <f>IF(Standards!V5&lt;&gt;"",IF(Standards!V5="U",1,0),"")</f>
        <v>1</v>
      </c>
      <c r="CB5" s="11">
        <f>IF(Standards!W5&lt;&gt;"",IF(Standards!W5="U",1,0),"")</f>
        <v>1</v>
      </c>
      <c r="CC5" s="11">
        <f>IF(Standards!X5&lt;&gt;"",IF(Standards!X5="U",1,0),"")</f>
        <v>1</v>
      </c>
      <c r="CD5" s="11">
        <f>IF(Standards!Y5&lt;&gt;"",IF(Standards!Y5="U",1,0),"")</f>
        <v>1</v>
      </c>
      <c r="CE5" s="11">
        <f>IF(Standards!Z5&lt;&gt;"",IF(Standards!Z5="U",1,0),"")</f>
        <v>1</v>
      </c>
      <c r="CF5" s="11">
        <f>IF(Standards!AA5&lt;&gt;"",IF(Standards!AA5="U",1,0),"")</f>
        <v>0</v>
      </c>
      <c r="CG5" s="11">
        <f>IF(Standards!AB5&lt;&gt;"",IF(Standards!AB5="U",1,0),"")</f>
        <v>0</v>
      </c>
      <c r="CH5" s="11">
        <f>IF(Standards!AC5&lt;&gt;"",IF(Standards!AC5="U",1,0),"")</f>
        <v>1</v>
      </c>
      <c r="CI5" s="11">
        <f>IF(Standards!AD5&lt;&gt;"",IF(Standards!AD5="U",1,0),"")</f>
        <v>0</v>
      </c>
      <c r="CJ5" s="11">
        <f>IF(Standards!AE5&lt;&gt;"",IF(Standards!AE5="U",1,0),"")</f>
        <v>0</v>
      </c>
      <c r="CK5" s="48">
        <f>IF(Standards!AF5&lt;&gt;"",IF(Standards!AF5="U",1,0),"")</f>
        <v>1</v>
      </c>
      <c r="CL5" s="17">
        <f t="shared" si="2"/>
        <v>1</v>
      </c>
      <c r="CM5" s="17">
        <f t="shared" si="0"/>
        <v>1</v>
      </c>
      <c r="CN5" s="36">
        <f t="shared" si="3"/>
        <v>1</v>
      </c>
      <c r="CO5" s="36">
        <f t="shared" si="4"/>
        <v>1</v>
      </c>
      <c r="CP5" s="15">
        <f t="shared" si="5"/>
        <v>0.66666666666666663</v>
      </c>
      <c r="CQ5" s="19">
        <f t="shared" si="6"/>
        <v>0.8</v>
      </c>
      <c r="CR5" t="str">
        <f>LOOKUP($CQ5, {0,0.6,0.67,0.7,0.73,0.77,0.8,0.83,0.87,0.9,0.93}, {"F","D","D+","C-","C","C+","B-","B","B+","A-","A"})</f>
        <v>B-</v>
      </c>
      <c r="CS5" s="23">
        <f t="shared" si="7"/>
        <v>0.82857142857142851</v>
      </c>
      <c r="CT5" s="49" t="str">
        <f>LOOKUP($CS5, {0,0.6,0.67,0.7,0.73,0.77,0.8,0.83,0.87,0.9,0.93}, {"F","D","D+","C-","C","C+","B-","B","B+","A-","A"})</f>
        <v>B-</v>
      </c>
      <c r="CU5" s="23"/>
      <c r="CX5" s="11"/>
      <c r="CY5" s="38"/>
    </row>
    <row r="6" spans="1:103" x14ac:dyDescent="0.2">
      <c r="CU6" s="9"/>
    </row>
    <row r="7" spans="1:103" x14ac:dyDescent="0.2">
      <c r="CR7" s="9" t="s">
        <v>139</v>
      </c>
      <c r="CS7" s="18">
        <f>AVERAGE(CS2:CS5)</f>
        <v>0.87407635467980294</v>
      </c>
      <c r="CU7" s="37"/>
    </row>
    <row r="8" spans="1:103" x14ac:dyDescent="0.2">
      <c r="CR8" s="9" t="s">
        <v>140</v>
      </c>
      <c r="CS8" s="18">
        <f>MEDIAN(CS2:CS5)</f>
        <v>0.86339901477832504</v>
      </c>
      <c r="CU8" s="37"/>
    </row>
    <row r="9" spans="1:103" x14ac:dyDescent="0.2">
      <c r="CR9" s="9" t="s">
        <v>141</v>
      </c>
      <c r="CS9" s="18">
        <f>STDEV(CS2:CS5)</f>
        <v>5.5829426856596406E-2</v>
      </c>
      <c r="CU9" s="15"/>
    </row>
  </sheetData>
  <sheetProtection formatCells="0" formatColumns="0" formatRows="0" insertColumns="0" insertRows="0" insertHyperlinks="0" deleteColumns="0" deleteRows="0" sort="0" autoFilter="0" pivotTables="0"/>
  <conditionalFormatting sqref="AR2:AT5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2:CO5">
    <cfRule type="cellIs" dxfId="25" priority="12" operator="lessThan">
      <formula>0.8</formula>
    </cfRule>
    <cfRule type="cellIs" dxfId="24" priority="13" operator="lessThan">
      <formula>0.6</formula>
    </cfRule>
  </conditionalFormatting>
  <conditionalFormatting sqref="CP2:CP5">
    <cfRule type="cellIs" dxfId="23" priority="11" operator="lessThan">
      <formula>0.5</formula>
    </cfRule>
  </conditionalFormatting>
  <conditionalFormatting sqref="CV2:CV5 CR2:CR5">
    <cfRule type="cellIs" dxfId="22" priority="42" operator="equal">
      <formula>"F"</formula>
    </cfRule>
    <cfRule type="containsText" dxfId="21" priority="40" operator="containsText" text="D+">
      <formula>NOT(ISERROR(SEARCH("D+",CR2)))</formula>
    </cfRule>
    <cfRule type="cellIs" dxfId="20" priority="41" operator="equal">
      <formula>"D"</formula>
    </cfRule>
    <cfRule type="containsText" dxfId="19" priority="39" operator="containsText" text="C">
      <formula>NOT(ISERROR(SEARCH("C",CR2)))</formula>
    </cfRule>
    <cfRule type="containsText" dxfId="18" priority="38" operator="containsText" text="B-">
      <formula>NOT(ISERROR(SEARCH("B-",CR2)))</formula>
    </cfRule>
    <cfRule type="containsText" dxfId="17" priority="36" operator="containsText" text="B+">
      <formula>NOT(ISERROR(SEARCH("B+",CR2)))</formula>
    </cfRule>
    <cfRule type="cellIs" dxfId="16" priority="37" operator="equal">
      <formula>"B"</formula>
    </cfRule>
    <cfRule type="containsText" dxfId="15" priority="35" stopIfTrue="1" operator="containsText" text="A-">
      <formula>NOT(ISERROR(SEARCH("A-",CR2)))</formula>
    </cfRule>
    <cfRule type="containsText" dxfId="14" priority="34" stopIfTrue="1" operator="containsText" text="A">
      <formula>NOT(ISERROR(SEARCH("A",CR2)))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stopIfTrue="1" id="{EC2277FC-0532-B146-854F-974BAEC838F5}">
            <xm:f>Standards!$C2&lt;4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expression" priority="24" id="{2CEDA407-96AE-7E41-899C-654AF1881195}">
            <xm:f>Standards!$C2&lt;2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A2:A5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Homework_1_scores</vt:lpstr>
      <vt:lpstr>Lab_1_scores</vt:lpstr>
      <vt:lpstr>MiniReviewStandards</vt:lpstr>
      <vt:lpstr>Review_1_scores</vt:lpstr>
      <vt:lpstr>Review_2_scores</vt:lpstr>
      <vt:lpstr>Review_3_scores</vt:lpstr>
      <vt:lpstr>Review_4_scores</vt:lpstr>
      <vt:lpstr>Standards</vt:lpstr>
      <vt:lpstr>Grades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Merriman, Claire</cp:lastModifiedBy>
  <dcterms:created xsi:type="dcterms:W3CDTF">2024-02-05T17:24:31Z</dcterms:created>
  <dcterms:modified xsi:type="dcterms:W3CDTF">2024-07-02T04:18:10Z</dcterms:modified>
  <cp:category/>
</cp:coreProperties>
</file>