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threadedComments/threadedComment5.xml" ContentType="application/vnd.ms-excel.threaded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10.xml" ContentType="application/vnd.openxmlformats-officedocument.drawing+xml"/>
  <Override PartName="/xl/comments9.xml" ContentType="application/vnd.openxmlformats-officedocument.spreadsheetml.comments+xml"/>
  <Override PartName="/xl/charts/chart3.xml" ContentType="application/vnd.openxmlformats-officedocument.drawingml.chart+xml"/>
  <Override PartName="/xl/drawings/drawing11.xml" ContentType="application/vnd.openxmlformats-officedocument.drawing+xml"/>
  <Override PartName="/xl/comments10.xml" ContentType="application/vnd.openxmlformats-officedocument.spreadsheetml.comments+xml"/>
  <Override PartName="/xl/charts/chart4.xml" ContentType="application/vnd.openxmlformats-officedocument.drawingml.chart+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charts/chart5.xml" ContentType="application/vnd.openxmlformats-officedocument.drawingml.chart+xml"/>
  <Override PartName="/xl/drawings/drawing14.xml" ContentType="application/vnd.openxmlformats-officedocument.drawing+xml"/>
  <Override PartName="/xl/comments13.xml" ContentType="application/vnd.openxmlformats-officedocument.spreadsheetml.comments+xml"/>
  <Override PartName="/xl/charts/chart6.xml" ContentType="application/vnd.openxmlformats-officedocument.drawingml.chart+xml"/>
  <Override PartName="/xl/comments14.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Q:\Project Data\GlacierData\Benchmark_Program\Data\Gulkana\2023\"/>
    </mc:Choice>
  </mc:AlternateContent>
  <xr:revisionPtr revIDLastSave="0" documentId="13_ncr:1_{8CCBC7ED-64F0-449E-9332-C862C33952AC}" xr6:coauthVersionLast="47" xr6:coauthVersionMax="47" xr10:uidLastSave="{00000000-0000-0000-0000-000000000000}"/>
  <bookViews>
    <workbookView xWindow="1860" yWindow="525" windowWidth="16020" windowHeight="15015" tabRatio="775" xr2:uid="{00000000-000D-0000-FFFF-FFFF00000000}"/>
  </bookViews>
  <sheets>
    <sheet name="GUI Input" sheetId="19" r:id="rId1"/>
    <sheet name="AU" sheetId="2" r:id="rId2"/>
    <sheet name="AB" sheetId="1" r:id="rId3"/>
    <sheet name="B" sheetId="3" r:id="rId4"/>
    <sheet name="D" sheetId="4" r:id="rId5"/>
    <sheet name="T" sheetId="6" r:id="rId6"/>
    <sheet name="V" sheetId="7" r:id="rId7"/>
    <sheet name="Z" sheetId="36" r:id="rId8"/>
    <sheet name="20230415_Pitcore_D" sheetId="41" r:id="rId9"/>
    <sheet name="20230416_Pit_B" sheetId="42" r:id="rId10"/>
    <sheet name="20230416_Pit_AB" sheetId="43" r:id="rId11"/>
    <sheet name="20230417_Probes_AU" sheetId="44" r:id="rId12"/>
    <sheet name="20230822_Pit_D" sheetId="47" r:id="rId13"/>
    <sheet name="20230823_Pit_T" sheetId="45" r:id="rId14"/>
    <sheet name="20230823_Probes_Z" sheetId="48" r:id="rId15"/>
  </sheets>
  <externalReferences>
    <externalReference r:id="rId16"/>
    <externalReference r:id="rId17"/>
    <externalReference r:id="rId18"/>
  </externalReferences>
  <definedNames>
    <definedName name="a" localSheetId="8">#REF!</definedName>
    <definedName name="a" localSheetId="9">#REF!</definedName>
    <definedName name="a" localSheetId="12">#REF!</definedName>
    <definedName name="a" localSheetId="13">#REF!</definedName>
    <definedName name="a" localSheetId="7">#REF!</definedName>
    <definedName name="a">#REF!</definedName>
    <definedName name="b" localSheetId="8">#REF!</definedName>
    <definedName name="b" localSheetId="9">#REF!</definedName>
    <definedName name="b" localSheetId="12">#REF!</definedName>
    <definedName name="b" localSheetId="13">#REF!</definedName>
    <definedName name="b" localSheetId="7">#REF!</definedName>
    <definedName name="b">#REF!</definedName>
    <definedName name="BasAlt" localSheetId="8">{1181,1250,1350,1450,1550,1650,1750,1850,1950,2050,2150,2250,2350,2436.5}</definedName>
    <definedName name="BasAlt" localSheetId="9">{1181,1250,1350,1450,1550,1650,1750,1850,1950,2050,2150,2250,2350,2436.5}</definedName>
    <definedName name="BasAlt" localSheetId="12">{1181,1250,1350,1450,1550,1650,1750,1850,1950,2050,2150,2250,2350,2436.5}</definedName>
    <definedName name="BasAlt" localSheetId="13">{1181,1250,1350,1450,1550,1650,1750,1850,1950,2050,2150,2250,2350,2436.5}</definedName>
    <definedName name="BasAlt" localSheetId="7">{1181,1250,1350,1450,1550,1650,1750,1850,1950,2050,2150,2250,2350,2436.5}</definedName>
    <definedName name="BasAlt">{1181,1250,1350,1450,1550,1650,1750,1850,1950,2050,2150,2250,2350,2436.5}</definedName>
    <definedName name="BasAlt2009" localSheetId="8">{1181,1250,1350,1450,1550,1650,1750,1850,1950,2050,2150,2250,2350,2436.5}</definedName>
    <definedName name="BasAlt2009" localSheetId="9">{1181,1250,1350,1450,1550,1650,1750,1850,1950,2050,2150,2250,2350,2436.5}</definedName>
    <definedName name="BasAlt2009" localSheetId="12">{1181,1250,1350,1450,1550,1650,1750,1850,1950,2050,2150,2250,2350,2436.5}</definedName>
    <definedName name="BasAlt2009" localSheetId="13">{1181,1250,1350,1450,1550,1650,1750,1850,1950,2050,2150,2250,2350,2436.5}</definedName>
    <definedName name="BasAlt2009" localSheetId="7">{1181,1250,1350,1450,1550,1650,1750,1850,1950,2050,2150,2250,2350,2436.5}</definedName>
    <definedName name="BasAlt2009">{1181,1250,1350,1450,1550,1650,1750,1850,1950,2050,2150,2250,2350,2436.5}</definedName>
    <definedName name="Cerr">5</definedName>
    <definedName name="CSerr">10</definedName>
    <definedName name="DATA">'[1]Stake A'!$A$103:$CC$165</definedName>
    <definedName name="_xlnm.Data_Form">#NAME?</definedName>
    <definedName name="GlacAlt" localSheetId="8">{1181,1250,1350,1450,1550,1650,1750,1850,1950,2050,2150,2250,2350,2436.5}</definedName>
    <definedName name="GlacAlt" localSheetId="9">{1181,1250,1350,1450,1550,1650,1750,1850,1950,2050,2150,2250,2350,2436.5}</definedName>
    <definedName name="GlacAlt" localSheetId="12">{1181,1250,1350,1450,1550,1650,1750,1850,1950,2050,2150,2250,2350,2436.5}</definedName>
    <definedName name="GlacAlt" localSheetId="13">{1181,1250,1350,1450,1550,1650,1750,1850,1950,2050,2150,2250,2350,2436.5}</definedName>
    <definedName name="GlacAlt" localSheetId="7">{1181,1250,1350,1450,1550,1650,1750,1850,1950,2050,2150,2250,2350,2436.5}</definedName>
    <definedName name="GlacAlt">{1181,1250,1350,1450,1550,1650,1750,1850,1950,2050,2150,2250,2350,2436.5}</definedName>
    <definedName name="LapPer100mAvg">-0.55</definedName>
    <definedName name="LapPer100mDry">-0.986</definedName>
    <definedName name="LapPer100mWet">-0.66</definedName>
    <definedName name="name" localSheetId="8">{1181,1250,1350,1450,1550,1650,1750,1850,1950,2050,2150,2250,2350,2436.5}</definedName>
    <definedName name="name" localSheetId="9">{1181,1250,1350,1450,1550,1650,1750,1850,1950,2050,2150,2250,2350,2436.5}</definedName>
    <definedName name="name" localSheetId="12">{1181,1250,1350,1450,1550,1650,1750,1850,1950,2050,2150,2250,2350,2436.5}</definedName>
    <definedName name="name" localSheetId="13">{1181,1250,1350,1450,1550,1650,1750,1850,1950,2050,2150,2250,2350,2436.5}</definedName>
    <definedName name="name" localSheetId="7">{1181,1250,1350,1450,1550,1650,1750,1850,1950,2050,2150,2250,2350,2436.5}</definedName>
    <definedName name="name">{1181,1250,1350,1450,1550,1650,1750,1850,1950,2050,2150,2250,2350,2436.5}</definedName>
    <definedName name="Print_Area_A">'[1]Stake A'!$F$103:$CC$199</definedName>
    <definedName name="Radiuserr">0.1</definedName>
    <definedName name="Sample_TypeAu" localSheetId="8">'20230416_Pit_B'!#REF!</definedName>
    <definedName name="Sample_TypeAu" localSheetId="9">'20230416_Pit_B'!#REF!</definedName>
    <definedName name="Sample_TypeAu" localSheetId="12">'20230822_Pit_D'!#REF!</definedName>
    <definedName name="Sample_TypeAu" localSheetId="13">'20230823_Pit_T'!#REF!</definedName>
    <definedName name="Sample_TypeAu" localSheetId="7">#REF!</definedName>
    <definedName name="Sample_TypeAu">#REF!</definedName>
    <definedName name="SampleType" localSheetId="8">#REF!</definedName>
    <definedName name="SampleType" localSheetId="9">#REF!</definedName>
    <definedName name="SampleType" localSheetId="12">#REF!</definedName>
    <definedName name="SampleType" localSheetId="13">#REF!</definedName>
    <definedName name="SampleType" localSheetId="7">#REF!</definedName>
    <definedName name="SampleType">#REF!</definedName>
    <definedName name="SampleType1" localSheetId="8">#REF!</definedName>
    <definedName name="SampleType1" localSheetId="9">#REF!</definedName>
    <definedName name="SampleType1" localSheetId="12">#REF!</definedName>
    <definedName name="SampleType1" localSheetId="13">#REF!</definedName>
    <definedName name="SampleType1" localSheetId="7">#REF!</definedName>
    <definedName name="SampleType1">#REF!</definedName>
    <definedName name="SampleTypeAU" localSheetId="8">#REF!</definedName>
    <definedName name="SampleTypeAU" localSheetId="9">#REF!</definedName>
    <definedName name="SampleTypeAU" localSheetId="12">#REF!</definedName>
    <definedName name="SampleTypeAU" localSheetId="13">#REF!</definedName>
    <definedName name="SampleTypeAU" localSheetId="7">#REF!</definedName>
    <definedName name="SampleTypeAU">#REF!</definedName>
    <definedName name="SampletypeD">#REF!</definedName>
    <definedName name="SampleTypeX">#REF!</definedName>
    <definedName name="SBDerr">0.5</definedName>
    <definedName name="Serr">5</definedName>
    <definedName name="Sipri_xsection">'[2]99.05.14'!$M$3</definedName>
    <definedName name="SipriXsection">'[2]00.05.12'!$M$3</definedName>
    <definedName name="SiteA">'[1]Stake A'!$A$103:$CC$165</definedName>
    <definedName name="SKit_XSection">'[3]SCD May 97, 1998'!$K$4</definedName>
    <definedName name="TempArray">[2]SNOWPIT!$P$9:$Q$20</definedName>
    <definedName name="TempArray2006">'[3]2006.5.12 Pit'!$P$9:$Q$23</definedName>
    <definedName name="TempArray2008">'[3]2008.09.28 Pit'!$P$9:$Q$23</definedName>
    <definedName name="XSECTAREA">[2]SNOWPIT!$Q$1</definedName>
    <definedName name="XSECTION">'[2]98.05.27'!$K$3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9" i="4" l="1"/>
  <c r="Q23" i="4"/>
  <c r="I35" i="6" l="1"/>
  <c r="E35" i="6"/>
  <c r="C8" i="19"/>
  <c r="C7" i="19"/>
  <c r="C6" i="19"/>
  <c r="C4" i="19"/>
  <c r="C32" i="3"/>
  <c r="I29" i="3"/>
  <c r="G29" i="3"/>
  <c r="E29" i="3"/>
  <c r="I25" i="1"/>
  <c r="G25" i="1"/>
  <c r="C3" i="19" s="1"/>
  <c r="E25" i="1"/>
  <c r="D2" i="19"/>
  <c r="C2" i="19"/>
  <c r="C31" i="2"/>
  <c r="C30" i="2"/>
  <c r="I29" i="2"/>
  <c r="G29" i="2"/>
  <c r="E29" i="2"/>
  <c r="I26" i="36"/>
  <c r="E26" i="36"/>
  <c r="I28" i="4"/>
  <c r="G28" i="4"/>
  <c r="C5" i="19" s="1"/>
  <c r="E28" i="4"/>
  <c r="C32" i="4"/>
  <c r="P22" i="4"/>
  <c r="C31" i="4"/>
  <c r="I6" i="19"/>
  <c r="H6" i="19"/>
  <c r="G6" i="19"/>
  <c r="C30" i="36"/>
  <c r="C29" i="36"/>
  <c r="Q9" i="36"/>
  <c r="E48" i="7"/>
  <c r="I48" i="7"/>
  <c r="C38" i="6"/>
  <c r="Q28" i="6"/>
  <c r="Q26" i="6"/>
  <c r="J18" i="1"/>
  <c r="I18" i="1" s="1"/>
  <c r="F19" i="1"/>
  <c r="G19" i="1" s="1"/>
  <c r="K18" i="1"/>
  <c r="G18" i="1"/>
  <c r="L18" i="1" s="1"/>
  <c r="F16" i="1"/>
  <c r="E16" i="1"/>
  <c r="I3" i="48"/>
  <c r="M53" i="48"/>
  <c r="I1" i="45"/>
  <c r="I3" i="47"/>
  <c r="I1" i="47"/>
  <c r="I4" i="47"/>
  <c r="I2" i="47"/>
  <c r="I4" i="45"/>
  <c r="I20" i="45"/>
  <c r="J20" i="45"/>
  <c r="I21" i="45"/>
  <c r="J21" i="45"/>
  <c r="I22" i="45"/>
  <c r="J22" i="45" s="1"/>
  <c r="I23" i="45"/>
  <c r="J23" i="45"/>
  <c r="I24" i="45"/>
  <c r="J24" i="45"/>
  <c r="I25" i="45"/>
  <c r="J25" i="45" s="1"/>
  <c r="I26" i="45"/>
  <c r="J26" i="45"/>
  <c r="I27" i="45"/>
  <c r="J27" i="45"/>
  <c r="I28" i="45"/>
  <c r="J28" i="45" s="1"/>
  <c r="I29" i="45"/>
  <c r="J29" i="45"/>
  <c r="I30" i="45"/>
  <c r="J30" i="45"/>
  <c r="I31" i="45"/>
  <c r="J31" i="45" s="1"/>
  <c r="I32" i="45"/>
  <c r="J32" i="45"/>
  <c r="G20" i="45"/>
  <c r="H20" i="45"/>
  <c r="G21" i="45"/>
  <c r="H21" i="45" s="1"/>
  <c r="G22" i="45"/>
  <c r="H22" i="45" s="1"/>
  <c r="G23" i="45"/>
  <c r="H23" i="45" s="1"/>
  <c r="G24" i="45"/>
  <c r="H24" i="45"/>
  <c r="G25" i="45"/>
  <c r="H25" i="45"/>
  <c r="G26" i="45"/>
  <c r="H26" i="45"/>
  <c r="G27" i="45"/>
  <c r="H27" i="45"/>
  <c r="G28" i="45"/>
  <c r="H28" i="45" s="1"/>
  <c r="G29" i="45"/>
  <c r="H29" i="45" s="1"/>
  <c r="G30" i="45"/>
  <c r="H30" i="45"/>
  <c r="G31" i="45"/>
  <c r="H31" i="45"/>
  <c r="G32" i="45"/>
  <c r="H32" i="45"/>
  <c r="F22" i="45"/>
  <c r="F23" i="45"/>
  <c r="F24" i="45"/>
  <c r="F25" i="45"/>
  <c r="F26" i="45"/>
  <c r="F27" i="45"/>
  <c r="F28" i="45"/>
  <c r="F29" i="45"/>
  <c r="F30" i="45"/>
  <c r="F31" i="45"/>
  <c r="F32" i="45"/>
  <c r="F21" i="45"/>
  <c r="E20" i="45"/>
  <c r="E21" i="45"/>
  <c r="E22" i="45"/>
  <c r="E23" i="45"/>
  <c r="E24" i="45"/>
  <c r="E25" i="45"/>
  <c r="E26" i="45"/>
  <c r="E27" i="45"/>
  <c r="E28" i="45"/>
  <c r="E29" i="45"/>
  <c r="E30" i="45"/>
  <c r="E31" i="45"/>
  <c r="E32" i="45"/>
  <c r="F20" i="45"/>
  <c r="M57" i="47"/>
  <c r="M56" i="47"/>
  <c r="M54" i="47"/>
  <c r="M55" i="47" s="1"/>
  <c r="M53" i="47"/>
  <c r="H19" i="47"/>
  <c r="G19" i="47"/>
  <c r="F19" i="47"/>
  <c r="E19" i="47"/>
  <c r="G18" i="47"/>
  <c r="H18" i="47" s="1"/>
  <c r="F18" i="47"/>
  <c r="E18" i="47"/>
  <c r="H17" i="47"/>
  <c r="G17" i="47"/>
  <c r="F17" i="47"/>
  <c r="E17" i="47"/>
  <c r="G16" i="47"/>
  <c r="H16" i="47" s="1"/>
  <c r="F16" i="47"/>
  <c r="E16" i="47"/>
  <c r="H15" i="47"/>
  <c r="G15" i="47"/>
  <c r="F15" i="47"/>
  <c r="E15" i="47"/>
  <c r="G14" i="47"/>
  <c r="H14" i="47" s="1"/>
  <c r="F14" i="47"/>
  <c r="E14" i="47"/>
  <c r="H13" i="47"/>
  <c r="I19" i="47" s="1"/>
  <c r="J19" i="47" s="1"/>
  <c r="G13" i="47"/>
  <c r="F13" i="47"/>
  <c r="E13" i="47"/>
  <c r="Q37" i="7"/>
  <c r="L38" i="7"/>
  <c r="F39" i="7"/>
  <c r="F38" i="7"/>
  <c r="G23" i="7"/>
  <c r="G24" i="7" s="1"/>
  <c r="F24" i="7" s="1"/>
  <c r="C31" i="3"/>
  <c r="Q13" i="3"/>
  <c r="Q20" i="3"/>
  <c r="O19" i="3"/>
  <c r="G13" i="3"/>
  <c r="F19" i="45"/>
  <c r="I2" i="45"/>
  <c r="C32" i="2"/>
  <c r="O23" i="2"/>
  <c r="R21" i="2"/>
  <c r="Q23" i="2"/>
  <c r="F23" i="2"/>
  <c r="I9" i="36"/>
  <c r="H9" i="36"/>
  <c r="F8" i="36"/>
  <c r="G8" i="36"/>
  <c r="S7" i="36"/>
  <c r="F10" i="36"/>
  <c r="G10" i="36"/>
  <c r="F9" i="36"/>
  <c r="H27" i="6"/>
  <c r="L26" i="6"/>
  <c r="G26" i="6"/>
  <c r="L27" i="6"/>
  <c r="S25" i="6"/>
  <c r="F28" i="6"/>
  <c r="G28" i="6"/>
  <c r="G27" i="6"/>
  <c r="F27" i="6"/>
  <c r="O23" i="4" l="1"/>
  <c r="C30" i="4" s="1"/>
  <c r="H19" i="1"/>
  <c r="P18" i="1"/>
  <c r="L19" i="1"/>
  <c r="Q19" i="1" s="1"/>
  <c r="O19" i="1" s="1"/>
  <c r="G16" i="1"/>
  <c r="I15" i="47"/>
  <c r="J15" i="47" s="1"/>
  <c r="I14" i="47"/>
  <c r="J14" i="47" s="1"/>
  <c r="I16" i="47"/>
  <c r="J16" i="47" s="1"/>
  <c r="I13" i="47"/>
  <c r="J13" i="47" s="1"/>
  <c r="I18" i="47"/>
  <c r="J18" i="47" s="1"/>
  <c r="I17" i="47"/>
  <c r="J17" i="47" s="1"/>
  <c r="J38" i="7"/>
  <c r="Q38" i="7" s="1"/>
  <c r="C51" i="7" s="1"/>
  <c r="F20" i="3"/>
  <c r="F19" i="3"/>
  <c r="M57" i="45"/>
  <c r="M56" i="45"/>
  <c r="M54" i="45"/>
  <c r="M55" i="45" s="1"/>
  <c r="M53" i="45"/>
  <c r="I3" i="45" s="1"/>
  <c r="G19" i="45"/>
  <c r="E19" i="45"/>
  <c r="G18" i="45"/>
  <c r="F18" i="45"/>
  <c r="E18" i="45"/>
  <c r="G17" i="45"/>
  <c r="F17" i="45"/>
  <c r="E17" i="45"/>
  <c r="G16" i="45"/>
  <c r="F16" i="45"/>
  <c r="E16" i="45"/>
  <c r="G15" i="45"/>
  <c r="F15" i="45"/>
  <c r="E15" i="45"/>
  <c r="G14" i="45"/>
  <c r="F14" i="45"/>
  <c r="E14" i="45"/>
  <c r="G13" i="45"/>
  <c r="F13" i="45"/>
  <c r="E13" i="45"/>
  <c r="H19" i="45" l="1"/>
  <c r="H16" i="45"/>
  <c r="H18" i="45"/>
  <c r="H17" i="45"/>
  <c r="H15" i="45"/>
  <c r="H13" i="45"/>
  <c r="I13" i="45" s="1"/>
  <c r="J13" i="45" s="1"/>
  <c r="H14" i="45"/>
  <c r="I15" i="45" l="1"/>
  <c r="J15" i="45" s="1"/>
  <c r="I16" i="45"/>
  <c r="J16" i="45" s="1"/>
  <c r="I19" i="45"/>
  <c r="J19" i="45" s="1"/>
  <c r="I14" i="45"/>
  <c r="J14" i="45" s="1"/>
  <c r="I17" i="45"/>
  <c r="J17" i="45" s="1"/>
  <c r="I18" i="45"/>
  <c r="J18" i="45" s="1"/>
  <c r="I15" i="4"/>
  <c r="F16" i="4"/>
  <c r="G15" i="4"/>
  <c r="F24" i="4"/>
  <c r="F23" i="4"/>
  <c r="G23" i="4" s="1"/>
  <c r="F22" i="2"/>
  <c r="I3" i="44"/>
  <c r="K15" i="1"/>
  <c r="K21" i="2"/>
  <c r="J15" i="1"/>
  <c r="P15" i="1" s="1"/>
  <c r="I15" i="1"/>
  <c r="J21" i="2"/>
  <c r="I21" i="2"/>
  <c r="M53" i="44"/>
  <c r="L15" i="4" l="1"/>
  <c r="P21" i="2"/>
  <c r="L23" i="4"/>
  <c r="I4" i="43"/>
  <c r="J32" i="43"/>
  <c r="M12" i="43"/>
  <c r="G32" i="43"/>
  <c r="E32" i="43"/>
  <c r="G31" i="43"/>
  <c r="H31" i="43" s="1"/>
  <c r="F31" i="43"/>
  <c r="E31" i="43"/>
  <c r="G30" i="43"/>
  <c r="H30" i="43" s="1"/>
  <c r="F30" i="43"/>
  <c r="E30" i="43"/>
  <c r="G29" i="43"/>
  <c r="H29" i="43" s="1"/>
  <c r="F29" i="43"/>
  <c r="E29" i="43"/>
  <c r="G28" i="43"/>
  <c r="H28" i="43" s="1"/>
  <c r="F28" i="43"/>
  <c r="E28" i="43"/>
  <c r="G27" i="43"/>
  <c r="H27" i="43" s="1"/>
  <c r="F27" i="43"/>
  <c r="E27" i="43"/>
  <c r="G26" i="43"/>
  <c r="H26" i="43" s="1"/>
  <c r="F26" i="43"/>
  <c r="E26" i="43"/>
  <c r="G25" i="43"/>
  <c r="H25" i="43" s="1"/>
  <c r="F25" i="43"/>
  <c r="E25" i="43"/>
  <c r="G24" i="43"/>
  <c r="H24" i="43" s="1"/>
  <c r="F24" i="43"/>
  <c r="E24" i="43"/>
  <c r="G23" i="43"/>
  <c r="H23" i="43" s="1"/>
  <c r="F23" i="43"/>
  <c r="E23" i="43"/>
  <c r="G22" i="43"/>
  <c r="H22" i="43" s="1"/>
  <c r="F22" i="43"/>
  <c r="E22" i="43"/>
  <c r="G21" i="43"/>
  <c r="H21" i="43" s="1"/>
  <c r="F21" i="43"/>
  <c r="E21" i="43"/>
  <c r="G20" i="43"/>
  <c r="H20" i="43" s="1"/>
  <c r="F20" i="43"/>
  <c r="E20" i="43"/>
  <c r="G19" i="43"/>
  <c r="H19" i="43" s="1"/>
  <c r="F19" i="43"/>
  <c r="E19" i="43"/>
  <c r="G18" i="43"/>
  <c r="H18" i="43" s="1"/>
  <c r="F18" i="43"/>
  <c r="E18" i="43"/>
  <c r="G17" i="43"/>
  <c r="H17" i="43" s="1"/>
  <c r="F17" i="43"/>
  <c r="E17" i="43"/>
  <c r="G16" i="43"/>
  <c r="H16" i="43" s="1"/>
  <c r="F16" i="43"/>
  <c r="E16" i="43"/>
  <c r="G15" i="43"/>
  <c r="H15" i="43" s="1"/>
  <c r="F15" i="43"/>
  <c r="E15" i="43"/>
  <c r="G14" i="43"/>
  <c r="H14" i="43" s="1"/>
  <c r="F14" i="43"/>
  <c r="E14" i="43"/>
  <c r="G13" i="43"/>
  <c r="H13" i="43" s="1"/>
  <c r="F13" i="43"/>
  <c r="E13" i="43"/>
  <c r="I37" i="42"/>
  <c r="H32" i="43" l="1"/>
  <c r="I32" i="43" s="1"/>
  <c r="I24" i="43"/>
  <c r="J24" i="43" s="1"/>
  <c r="I20" i="43"/>
  <c r="J20" i="43" s="1"/>
  <c r="I16" i="43"/>
  <c r="J16" i="43" s="1"/>
  <c r="I30" i="43"/>
  <c r="J30" i="43" s="1"/>
  <c r="I28" i="43"/>
  <c r="J28" i="43" s="1"/>
  <c r="I26" i="43"/>
  <c r="J26" i="43" s="1"/>
  <c r="I22" i="43"/>
  <c r="J22" i="43" s="1"/>
  <c r="I18" i="43"/>
  <c r="J18" i="43" s="1"/>
  <c r="I14" i="43"/>
  <c r="J14" i="43" s="1"/>
  <c r="I23" i="43"/>
  <c r="J23" i="43" s="1"/>
  <c r="I17" i="43"/>
  <c r="J17" i="43" s="1"/>
  <c r="I13" i="43"/>
  <c r="J13" i="43" s="1"/>
  <c r="I31" i="43"/>
  <c r="J31" i="43" s="1"/>
  <c r="I29" i="43"/>
  <c r="J29" i="43" s="1"/>
  <c r="I27" i="43"/>
  <c r="J27" i="43" s="1"/>
  <c r="I25" i="43"/>
  <c r="J25" i="43" s="1"/>
  <c r="I21" i="43"/>
  <c r="J21" i="43" s="1"/>
  <c r="I19" i="43"/>
  <c r="J19" i="43" s="1"/>
  <c r="I15" i="43"/>
  <c r="J15" i="43" s="1"/>
  <c r="C38" i="41" l="1"/>
  <c r="C26" i="1"/>
  <c r="G15" i="1"/>
  <c r="L15" i="1" s="1"/>
  <c r="G21" i="2"/>
  <c r="K18" i="3"/>
  <c r="I4" i="42"/>
  <c r="J16" i="42"/>
  <c r="J20" i="42"/>
  <c r="J13" i="42"/>
  <c r="F46" i="42"/>
  <c r="H46" i="42" s="1"/>
  <c r="E13" i="42"/>
  <c r="F13" i="42"/>
  <c r="G13" i="42"/>
  <c r="H13" i="42" s="1"/>
  <c r="E14" i="42"/>
  <c r="F14" i="42"/>
  <c r="G14" i="42"/>
  <c r="E15" i="42"/>
  <c r="F15" i="42"/>
  <c r="G15" i="42"/>
  <c r="H15" i="42" s="1"/>
  <c r="E16" i="42"/>
  <c r="F16" i="42"/>
  <c r="G16" i="42"/>
  <c r="H16" i="42" s="1"/>
  <c r="E17" i="42"/>
  <c r="F17" i="42"/>
  <c r="G17" i="42"/>
  <c r="H17" i="42" s="1"/>
  <c r="E18" i="42"/>
  <c r="F18" i="42"/>
  <c r="G18" i="42"/>
  <c r="H18" i="42" s="1"/>
  <c r="E19" i="42"/>
  <c r="F19" i="42"/>
  <c r="G19" i="42"/>
  <c r="E20" i="42"/>
  <c r="F20" i="42"/>
  <c r="G20" i="42"/>
  <c r="H20" i="42" s="1"/>
  <c r="E21" i="42"/>
  <c r="F21" i="42"/>
  <c r="G21" i="42"/>
  <c r="H21" i="42" s="1"/>
  <c r="E22" i="42"/>
  <c r="F22" i="42"/>
  <c r="G22" i="42"/>
  <c r="H22" i="42"/>
  <c r="E23" i="42"/>
  <c r="F23" i="42"/>
  <c r="G23" i="42"/>
  <c r="H23" i="42"/>
  <c r="E24" i="42"/>
  <c r="F24" i="42"/>
  <c r="G24" i="42"/>
  <c r="H24" i="42" s="1"/>
  <c r="E25" i="42"/>
  <c r="F25" i="42"/>
  <c r="G25" i="42"/>
  <c r="H25" i="42" s="1"/>
  <c r="E26" i="42"/>
  <c r="F26" i="42"/>
  <c r="G26" i="42"/>
  <c r="H26" i="42" s="1"/>
  <c r="E27" i="42"/>
  <c r="F27" i="42"/>
  <c r="G27" i="42"/>
  <c r="E28" i="42"/>
  <c r="F28" i="42"/>
  <c r="G28" i="42"/>
  <c r="H28" i="42" s="1"/>
  <c r="E29" i="42"/>
  <c r="F29" i="42"/>
  <c r="G29" i="42"/>
  <c r="H29" i="42" s="1"/>
  <c r="E30" i="42"/>
  <c r="F30" i="42"/>
  <c r="G30" i="42"/>
  <c r="H30" i="42"/>
  <c r="E31" i="42"/>
  <c r="F31" i="42"/>
  <c r="G31" i="42"/>
  <c r="H31" i="42" s="1"/>
  <c r="E32" i="42"/>
  <c r="F32" i="42"/>
  <c r="G32" i="42"/>
  <c r="H32" i="42" s="1"/>
  <c r="E33" i="42"/>
  <c r="F33" i="42"/>
  <c r="G33" i="42"/>
  <c r="H33" i="42" s="1"/>
  <c r="E34" i="42"/>
  <c r="F34" i="42"/>
  <c r="G34" i="42"/>
  <c r="H34" i="42"/>
  <c r="E35" i="42"/>
  <c r="F35" i="42"/>
  <c r="G35" i="42"/>
  <c r="E36" i="42"/>
  <c r="F36" i="42"/>
  <c r="G36" i="42"/>
  <c r="H36" i="42" s="1"/>
  <c r="E37" i="42"/>
  <c r="F37" i="42"/>
  <c r="G37" i="42"/>
  <c r="H37" i="42" s="1"/>
  <c r="E38" i="42"/>
  <c r="F38" i="42"/>
  <c r="G38" i="42"/>
  <c r="H38" i="42" s="1"/>
  <c r="E39" i="42"/>
  <c r="F39" i="42"/>
  <c r="G39" i="42"/>
  <c r="H39" i="42" s="1"/>
  <c r="E40" i="42"/>
  <c r="F40" i="42"/>
  <c r="G40" i="42"/>
  <c r="H40" i="42" s="1"/>
  <c r="E41" i="42"/>
  <c r="F41" i="42"/>
  <c r="G41" i="42"/>
  <c r="H41" i="42" s="1"/>
  <c r="E42" i="42"/>
  <c r="F42" i="42"/>
  <c r="G42" i="42"/>
  <c r="H42" i="42"/>
  <c r="E43" i="42"/>
  <c r="H43" i="42" s="1"/>
  <c r="F43" i="42"/>
  <c r="G43" i="42"/>
  <c r="E44" i="42"/>
  <c r="F44" i="42"/>
  <c r="G44" i="42"/>
  <c r="H44" i="42" s="1"/>
  <c r="E45" i="42"/>
  <c r="F45" i="42"/>
  <c r="G45" i="42"/>
  <c r="H45" i="42" s="1"/>
  <c r="E46" i="42"/>
  <c r="G46" i="42"/>
  <c r="M53" i="42"/>
  <c r="I3" i="42" s="1"/>
  <c r="J18" i="3" s="1"/>
  <c r="M54" i="42"/>
  <c r="M55" i="42" s="1"/>
  <c r="M56" i="42"/>
  <c r="M57" i="42"/>
  <c r="Q16" i="1" l="1"/>
  <c r="C28" i="1"/>
  <c r="O16" i="1"/>
  <c r="C27" i="1" s="1"/>
  <c r="L21" i="2"/>
  <c r="H22" i="2"/>
  <c r="P18" i="3"/>
  <c r="C30" i="3" s="1"/>
  <c r="H35" i="42"/>
  <c r="I42" i="42" s="1"/>
  <c r="J42" i="42" s="1"/>
  <c r="H27" i="42"/>
  <c r="H19" i="42"/>
  <c r="H14" i="42"/>
  <c r="I20" i="42"/>
  <c r="I28" i="42"/>
  <c r="J28" i="42" s="1"/>
  <c r="I15" i="42"/>
  <c r="J15" i="42" s="1"/>
  <c r="I23" i="42"/>
  <c r="J23" i="42" s="1"/>
  <c r="I31" i="42"/>
  <c r="J31" i="42" s="1"/>
  <c r="I18" i="42"/>
  <c r="J18" i="42" s="1"/>
  <c r="I26" i="42"/>
  <c r="J26" i="42" s="1"/>
  <c r="I34" i="42"/>
  <c r="J34" i="42" s="1"/>
  <c r="I13" i="42"/>
  <c r="I21" i="42"/>
  <c r="J21" i="42" s="1"/>
  <c r="I29" i="42"/>
  <c r="J29" i="42" s="1"/>
  <c r="I16" i="42"/>
  <c r="I24" i="42"/>
  <c r="J24" i="42" s="1"/>
  <c r="I32" i="42"/>
  <c r="J32" i="42" s="1"/>
  <c r="I19" i="42"/>
  <c r="J19" i="42" s="1"/>
  <c r="I27" i="42"/>
  <c r="J27" i="42" s="1"/>
  <c r="I14" i="42"/>
  <c r="J14" i="42" s="1"/>
  <c r="I22" i="42"/>
  <c r="J22" i="42" s="1"/>
  <c r="I30" i="42"/>
  <c r="J30" i="42" s="1"/>
  <c r="I25" i="42"/>
  <c r="J25" i="42" s="1"/>
  <c r="I17" i="42"/>
  <c r="J17" i="42" s="1"/>
  <c r="I33" i="42"/>
  <c r="J33" i="42" s="1"/>
  <c r="I35" i="42" l="1"/>
  <c r="J35" i="42" s="1"/>
  <c r="I40" i="42"/>
  <c r="J40" i="42" s="1"/>
  <c r="I43" i="42"/>
  <c r="J43" i="42" s="1"/>
  <c r="I39" i="42"/>
  <c r="J39" i="42" s="1"/>
  <c r="I41" i="42"/>
  <c r="J41" i="42" s="1"/>
  <c r="I44" i="42"/>
  <c r="J44" i="42" s="1"/>
  <c r="I46" i="42"/>
  <c r="J46" i="42" s="1"/>
  <c r="I45" i="42"/>
  <c r="J45" i="42" s="1"/>
  <c r="I36" i="42"/>
  <c r="J36" i="42" s="1"/>
  <c r="I38" i="42"/>
  <c r="J38" i="42" s="1"/>
  <c r="J37" i="42"/>
  <c r="G18" i="3"/>
  <c r="L18" i="3" s="1"/>
  <c r="C34" i="3" s="1"/>
  <c r="C39" i="41"/>
  <c r="I1" i="41" s="1"/>
  <c r="C37" i="41"/>
  <c r="C36" i="41" s="1"/>
  <c r="C35" i="41"/>
  <c r="C34" i="41"/>
  <c r="O20" i="41"/>
  <c r="N26" i="41" s="1"/>
  <c r="C33" i="41"/>
  <c r="C32" i="41" s="1"/>
  <c r="C31" i="41"/>
  <c r="C30" i="41" s="1"/>
  <c r="C29" i="41"/>
  <c r="C28" i="41" s="1"/>
  <c r="N29" i="41" s="1"/>
  <c r="C27" i="41"/>
  <c r="C26" i="41" s="1"/>
  <c r="N13" i="41"/>
  <c r="O13" i="41"/>
  <c r="P13" i="41"/>
  <c r="N14" i="41"/>
  <c r="O14" i="41"/>
  <c r="P14" i="41"/>
  <c r="N15" i="41"/>
  <c r="O15" i="41"/>
  <c r="P15" i="41"/>
  <c r="N16" i="41"/>
  <c r="O16" i="41"/>
  <c r="P16" i="41"/>
  <c r="N17" i="41"/>
  <c r="O17" i="41"/>
  <c r="P17" i="41"/>
  <c r="Q17" i="41" s="1"/>
  <c r="N18" i="41"/>
  <c r="O18" i="41"/>
  <c r="P18" i="41"/>
  <c r="N19" i="41"/>
  <c r="O19" i="41"/>
  <c r="P19" i="41"/>
  <c r="Q19" i="41" s="1"/>
  <c r="N20" i="41"/>
  <c r="P20" i="41"/>
  <c r="G26" i="41"/>
  <c r="L26" i="41"/>
  <c r="G27" i="41"/>
  <c r="L27" i="41"/>
  <c r="G28" i="41"/>
  <c r="L28" i="41"/>
  <c r="G29" i="41"/>
  <c r="L29" i="41"/>
  <c r="G30" i="41"/>
  <c r="L30" i="41"/>
  <c r="M30" i="41" s="1"/>
  <c r="P30" i="41" s="1"/>
  <c r="G31" i="41"/>
  <c r="L31" i="41"/>
  <c r="M31" i="41" s="1"/>
  <c r="P31" i="41" s="1"/>
  <c r="G32" i="41"/>
  <c r="L32" i="41"/>
  <c r="G33" i="41"/>
  <c r="L33" i="41"/>
  <c r="G34" i="41"/>
  <c r="L34" i="41"/>
  <c r="G35" i="41"/>
  <c r="L35" i="41"/>
  <c r="G36" i="41"/>
  <c r="L36" i="41"/>
  <c r="G37" i="41"/>
  <c r="L37" i="41"/>
  <c r="G38" i="41"/>
  <c r="L38" i="41"/>
  <c r="G39" i="41"/>
  <c r="L39" i="41"/>
  <c r="V53" i="41"/>
  <c r="I3" i="41" s="1"/>
  <c r="V54" i="41"/>
  <c r="V55" i="41" s="1"/>
  <c r="V56" i="41"/>
  <c r="V57" i="41"/>
  <c r="O39" i="41" l="1"/>
  <c r="N35" i="41"/>
  <c r="Q18" i="41"/>
  <c r="Q20" i="41"/>
  <c r="O36" i="41"/>
  <c r="O37" i="41"/>
  <c r="N39" i="41"/>
  <c r="M38" i="41"/>
  <c r="P38" i="41" s="1"/>
  <c r="N28" i="41"/>
  <c r="M29" i="41"/>
  <c r="P29" i="41" s="1"/>
  <c r="M32" i="41"/>
  <c r="P32" i="41" s="1"/>
  <c r="N27" i="41"/>
  <c r="M39" i="41"/>
  <c r="P39" i="41" s="1"/>
  <c r="O26" i="41"/>
  <c r="O38" i="41"/>
  <c r="N38" i="41"/>
  <c r="M36" i="41"/>
  <c r="P36" i="41" s="1"/>
  <c r="M35" i="41"/>
  <c r="P35" i="41" s="1"/>
  <c r="O34" i="41"/>
  <c r="O27" i="41"/>
  <c r="Q15" i="41"/>
  <c r="O35" i="41"/>
  <c r="Q14" i="41"/>
  <c r="N37" i="41"/>
  <c r="M37" i="41"/>
  <c r="P37" i="41" s="1"/>
  <c r="Q13" i="41"/>
  <c r="M34" i="41"/>
  <c r="P34" i="41" s="1"/>
  <c r="N36" i="41"/>
  <c r="M27" i="41"/>
  <c r="P27" i="41" s="1"/>
  <c r="N31" i="41"/>
  <c r="Q16" i="41"/>
  <c r="O32" i="41"/>
  <c r="N32" i="41"/>
  <c r="O30" i="41"/>
  <c r="O29" i="41"/>
  <c r="Q29" i="41" s="1"/>
  <c r="N30" i="41"/>
  <c r="Q30" i="41"/>
  <c r="O28" i="41"/>
  <c r="M28" i="41"/>
  <c r="P28" i="41" s="1"/>
  <c r="O33" i="41"/>
  <c r="N33" i="41"/>
  <c r="M26" i="41"/>
  <c r="P26" i="41" s="1"/>
  <c r="M33" i="41"/>
  <c r="P33" i="41" s="1"/>
  <c r="O31" i="41"/>
  <c r="N34" i="41"/>
  <c r="Q37" i="41" l="1"/>
  <c r="Q39" i="41"/>
  <c r="Q38" i="41"/>
  <c r="Q35" i="41"/>
  <c r="Q27" i="41"/>
  <c r="Q26" i="41"/>
  <c r="Q28" i="41"/>
  <c r="R14" i="41"/>
  <c r="S14" i="41" s="1"/>
  <c r="Q36" i="41"/>
  <c r="Q34" i="41"/>
  <c r="R18" i="41"/>
  <c r="S18" i="41" s="1"/>
  <c r="R15" i="41"/>
  <c r="S15" i="41" s="1"/>
  <c r="Q32" i="41"/>
  <c r="R16" i="41"/>
  <c r="S16" i="41" s="1"/>
  <c r="Q31" i="41"/>
  <c r="Q33" i="41"/>
  <c r="R13" i="41"/>
  <c r="S13" i="41" s="1"/>
  <c r="R20" i="41"/>
  <c r="S20" i="41" s="1"/>
  <c r="R17" i="41"/>
  <c r="S17" i="41" s="1"/>
  <c r="R19" i="41"/>
  <c r="S19" i="41" s="1"/>
  <c r="R34" i="41" l="1"/>
  <c r="R29" i="41"/>
  <c r="S29" i="41" s="1"/>
  <c r="R30" i="41"/>
  <c r="S30" i="41" s="1"/>
  <c r="S34" i="41"/>
  <c r="R28" i="41"/>
  <c r="S28" i="41" s="1"/>
  <c r="R35" i="41"/>
  <c r="S35" i="41" s="1"/>
  <c r="R33" i="41"/>
  <c r="S33" i="41" s="1"/>
  <c r="R26" i="41"/>
  <c r="S26" i="41" s="1"/>
  <c r="R32" i="41"/>
  <c r="S32" i="41" s="1"/>
  <c r="R39" i="41"/>
  <c r="S39" i="41" s="1"/>
  <c r="I4" i="41" s="1"/>
  <c r="R27" i="41"/>
  <c r="S27" i="41" s="1"/>
  <c r="R38" i="41"/>
  <c r="S38" i="41" s="1"/>
  <c r="R36" i="41"/>
  <c r="S36" i="41" s="1"/>
  <c r="R31" i="41"/>
  <c r="S31" i="41" s="1"/>
  <c r="R37" i="41"/>
  <c r="S37" i="41" s="1"/>
  <c r="P6" i="36" l="1"/>
  <c r="H7" i="19"/>
  <c r="I8" i="19"/>
  <c r="H8" i="19"/>
  <c r="G8" i="19"/>
  <c r="F8" i="19"/>
  <c r="Q8" i="36"/>
  <c r="O8" i="36" s="1"/>
  <c r="F26" i="6"/>
  <c r="P16" i="3"/>
  <c r="L16" i="3"/>
  <c r="Q17" i="3"/>
  <c r="O17" i="3" s="1"/>
  <c r="S21" i="4"/>
  <c r="Q21" i="4"/>
  <c r="G21" i="4"/>
  <c r="P19" i="4"/>
  <c r="F20" i="4"/>
  <c r="F25" i="6"/>
  <c r="F17" i="3"/>
  <c r="G14" i="1"/>
  <c r="R15" i="1" s="1"/>
  <c r="G20" i="2"/>
  <c r="G22" i="6"/>
  <c r="F21" i="6"/>
  <c r="G13" i="6"/>
  <c r="I2" i="19"/>
  <c r="D8" i="19"/>
  <c r="D6" i="19"/>
  <c r="D5" i="19"/>
  <c r="D4" i="19"/>
  <c r="D3" i="19"/>
  <c r="D7" i="19"/>
  <c r="P13" i="4"/>
  <c r="P18" i="36"/>
  <c r="O18" i="36"/>
  <c r="G18" i="36"/>
  <c r="P16" i="36"/>
  <c r="O16" i="36" s="1"/>
  <c r="G16" i="36"/>
  <c r="H16" i="36" s="1"/>
  <c r="P15" i="36"/>
  <c r="O15" i="36" s="1"/>
  <c r="G15" i="36"/>
  <c r="P14" i="36"/>
  <c r="O14" i="36"/>
  <c r="G14" i="36"/>
  <c r="P13" i="36"/>
  <c r="O13" i="36" s="1"/>
  <c r="G13" i="36"/>
  <c r="H14" i="36" s="1"/>
  <c r="G11" i="36"/>
  <c r="G7" i="36"/>
  <c r="G6" i="36"/>
  <c r="P24" i="6"/>
  <c r="G24" i="6"/>
  <c r="L24" i="6" s="1"/>
  <c r="P20" i="6"/>
  <c r="G20" i="6"/>
  <c r="L20" i="6" s="1"/>
  <c r="R20" i="6" s="1"/>
  <c r="K13" i="1"/>
  <c r="K10" i="1" s="1"/>
  <c r="P10" i="1" s="1"/>
  <c r="P11" i="3"/>
  <c r="L11" i="3"/>
  <c r="I13" i="1"/>
  <c r="P13" i="1" s="1"/>
  <c r="G13" i="1"/>
  <c r="G10" i="1"/>
  <c r="L10" i="1" s="1"/>
  <c r="P16" i="2"/>
  <c r="P19" i="2"/>
  <c r="G19" i="2"/>
  <c r="L19" i="2" s="1"/>
  <c r="G16" i="2"/>
  <c r="L16" i="2" s="1"/>
  <c r="R16" i="2" s="1"/>
  <c r="I11" i="2"/>
  <c r="P11" i="2" s="1"/>
  <c r="G11" i="2"/>
  <c r="L11" i="2" s="1"/>
  <c r="R11" i="2" s="1"/>
  <c r="P37" i="7"/>
  <c r="P22" i="7"/>
  <c r="P34" i="7"/>
  <c r="G37" i="7"/>
  <c r="L37" i="7" s="1"/>
  <c r="G22" i="7"/>
  <c r="L22" i="7" s="1"/>
  <c r="Q22" i="7" s="1"/>
  <c r="G34" i="7"/>
  <c r="L34" i="7" s="1"/>
  <c r="Q34" i="7" s="1"/>
  <c r="G19" i="4"/>
  <c r="L19" i="4" s="1"/>
  <c r="O21" i="4" l="1"/>
  <c r="L13" i="1"/>
  <c r="Q14" i="1" s="1"/>
  <c r="O14" i="1" s="1"/>
  <c r="H15" i="36"/>
  <c r="Q12" i="3"/>
  <c r="F21" i="4"/>
  <c r="H23" i="4"/>
  <c r="Q20" i="2"/>
  <c r="O20" i="2" s="1"/>
  <c r="C34" i="2"/>
  <c r="O26" i="6"/>
  <c r="O12" i="3"/>
  <c r="G13" i="4" l="1"/>
  <c r="L13" i="4" s="1"/>
  <c r="R13" i="4" s="1"/>
  <c r="G16" i="3"/>
  <c r="F19" i="6"/>
  <c r="G18" i="6"/>
  <c r="F12" i="6"/>
  <c r="G11" i="6"/>
  <c r="F11" i="4"/>
  <c r="F10" i="4"/>
  <c r="P9" i="4"/>
  <c r="S18" i="6"/>
  <c r="S11" i="6"/>
  <c r="G9" i="3"/>
  <c r="G9" i="1"/>
  <c r="Q9" i="1" s="1"/>
  <c r="H15" i="2"/>
  <c r="H10" i="2"/>
  <c r="O9" i="1" l="1"/>
  <c r="R10" i="1"/>
  <c r="H13" i="4"/>
  <c r="Q12" i="6"/>
  <c r="Q19" i="6"/>
  <c r="S9" i="3"/>
  <c r="F10" i="3"/>
  <c r="G10" i="3" s="1"/>
  <c r="R11" i="3" s="1"/>
  <c r="Q10" i="3" l="1"/>
  <c r="O10" i="3" s="1"/>
  <c r="S10" i="4" l="1"/>
  <c r="Q11" i="4"/>
  <c r="O10" i="4" l="1"/>
  <c r="F5" i="19" l="1"/>
  <c r="I3" i="19" l="1"/>
  <c r="I7" i="19" l="1"/>
  <c r="I4" i="19" l="1"/>
  <c r="I5" i="19"/>
  <c r="G7" i="19"/>
  <c r="H5" i="19" l="1"/>
  <c r="G5" i="19" l="1"/>
  <c r="G3" i="19" l="1"/>
  <c r="H4" i="19"/>
  <c r="H2" i="19"/>
  <c r="G2" i="19" l="1"/>
  <c r="G4" i="19"/>
  <c r="F4" i="19" l="1"/>
  <c r="F2" i="19" l="1"/>
  <c r="F3" i="19" l="1"/>
  <c r="C30" i="1"/>
  <c r="H3" i="19" s="1"/>
  <c r="M56" i="43"/>
  <c r="M53" i="43" l="1"/>
  <c r="I3" i="43" s="1"/>
  <c r="M57" i="43"/>
  <c r="M54" i="43"/>
  <c r="M55" i="4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cmcneil</author>
    <author>tc={DB2ECB5E-D8DF-4C93-82D8-8536E2DD742D}</author>
  </authors>
  <commentList>
    <comment ref="A4" authorId="0" shapeId="0" xr:uid="{00000000-0006-0000-0100-000001000000}">
      <text>
        <r>
          <rPr>
            <b/>
            <sz val="9"/>
            <color indexed="81"/>
            <rFont val="Tahoma"/>
            <family val="2"/>
          </rPr>
          <t>cmcneil:</t>
        </r>
        <r>
          <rPr>
            <sz val="9"/>
            <color indexed="81"/>
            <rFont val="Tahoma"/>
            <family val="2"/>
          </rPr>
          <t xml:space="preserve">
Date of site visit</t>
        </r>
      </text>
    </comment>
    <comment ref="B4" authorId="0" shapeId="0" xr:uid="{00000000-0006-0000-0100-000002000000}">
      <text>
        <r>
          <rPr>
            <b/>
            <sz val="9"/>
            <color indexed="81"/>
            <rFont val="Tahoma"/>
            <family val="2"/>
          </rPr>
          <t>cmcneil:</t>
        </r>
        <r>
          <rPr>
            <sz val="9"/>
            <color indexed="81"/>
            <rFont val="Tahoma"/>
            <family val="2"/>
          </rPr>
          <t xml:space="preserve">
Notebook field data can be found in</t>
        </r>
      </text>
    </comment>
    <comment ref="C4" authorId="0" shapeId="0" xr:uid="{00000000-0006-0000-0100-000003000000}">
      <text>
        <r>
          <rPr>
            <b/>
            <sz val="9"/>
            <color indexed="81"/>
            <rFont val="Tahoma"/>
            <family val="2"/>
          </rPr>
          <t>cmcneil:</t>
        </r>
        <r>
          <rPr>
            <sz val="9"/>
            <color indexed="81"/>
            <rFont val="Tahoma"/>
            <family val="2"/>
          </rPr>
          <t xml:space="preserve">
Name of the stake, eg. 17AU</t>
        </r>
      </text>
    </comment>
    <comment ref="D4" authorId="0" shapeId="0" xr:uid="{00000000-0006-0000-0100-000004000000}">
      <text>
        <r>
          <rPr>
            <b/>
            <sz val="9"/>
            <color indexed="81"/>
            <rFont val="Tahoma"/>
            <family val="2"/>
          </rPr>
          <t>cmcneil:</t>
        </r>
        <r>
          <rPr>
            <sz val="9"/>
            <color indexed="81"/>
            <rFont val="Tahoma"/>
            <family val="2"/>
          </rPr>
          <t xml:space="preserve">
What the surface was during the site visit. Example: Snow, Firn, or Ice</t>
        </r>
      </text>
    </comment>
    <comment ref="E4" authorId="0" shapeId="0" xr:uid="{00000000-0006-0000-0100-000005000000}">
      <text>
        <r>
          <rPr>
            <b/>
            <sz val="9"/>
            <color indexed="81"/>
            <rFont val="Tahoma"/>
            <family val="2"/>
          </rPr>
          <t>cmcneil:</t>
        </r>
        <r>
          <rPr>
            <sz val="9"/>
            <color indexed="81"/>
            <rFont val="Tahoma"/>
            <family val="2"/>
          </rPr>
          <t xml:space="preserve">
Total length of stake</t>
        </r>
      </text>
    </comment>
    <comment ref="F4" authorId="0" shapeId="0" xr:uid="{00000000-0006-0000-0100-000006000000}">
      <text>
        <r>
          <rPr>
            <b/>
            <sz val="9"/>
            <color indexed="81"/>
            <rFont val="Tahoma"/>
            <family val="2"/>
          </rPr>
          <t>cmcneil:</t>
        </r>
        <r>
          <rPr>
            <sz val="9"/>
            <color indexed="81"/>
            <rFont val="Tahoma"/>
            <family val="2"/>
          </rPr>
          <t xml:space="preserve">
Length of stake above the surface noted in column D</t>
        </r>
      </text>
    </comment>
    <comment ref="G4" authorId="0" shapeId="0" xr:uid="{00000000-0006-0000-0100-000007000000}">
      <text>
        <r>
          <rPr>
            <b/>
            <sz val="9"/>
            <color indexed="81"/>
            <rFont val="Tahoma"/>
            <family val="2"/>
          </rPr>
          <t>cmcneil:</t>
        </r>
        <r>
          <rPr>
            <sz val="9"/>
            <color indexed="81"/>
            <rFont val="Tahoma"/>
            <family val="2"/>
          </rPr>
          <t xml:space="preserve">
Length of stake still below the surface noted in column D</t>
        </r>
      </text>
    </comment>
    <comment ref="H4" authorId="0" shapeId="0" xr:uid="{00000000-0006-0000-0100-000008000000}">
      <text>
        <r>
          <rPr>
            <b/>
            <sz val="9"/>
            <color indexed="81"/>
            <rFont val="Tahoma"/>
            <family val="2"/>
          </rPr>
          <t>cmcneil:</t>
        </r>
        <r>
          <rPr>
            <sz val="9"/>
            <color indexed="81"/>
            <rFont val="Tahoma"/>
            <family val="2"/>
          </rPr>
          <t xml:space="preserve">
Change in stake since previous site visits</t>
        </r>
      </text>
    </comment>
    <comment ref="I4" authorId="0" shapeId="0" xr:uid="{00000000-0006-0000-0100-000009000000}">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4" authorId="0" shapeId="0" xr:uid="{00000000-0006-0000-0100-00000A000000}">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4" authorId="0" shapeId="0" xr:uid="{00000000-0006-0000-0100-00000B000000}">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4" authorId="0" shapeId="0" xr:uid="{00000000-0006-0000-0100-00000C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4" authorId="0" shapeId="0" xr:uid="{00000000-0006-0000-0100-00000D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4" authorId="0" shapeId="0" xr:uid="{00000000-0006-0000-0100-00000E000000}">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4" authorId="0" shapeId="0" xr:uid="{00000000-0006-0000-0100-00000F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4" authorId="0" shapeId="0" xr:uid="{00000000-0006-0000-0100-000010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4" authorId="0" shapeId="0" xr:uid="{00000000-0006-0000-0100-000011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4" authorId="0" shapeId="0" xr:uid="{00000000-0006-0000-0100-000012000000}">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4" authorId="0" shapeId="0" xr:uid="{00000000-0006-0000-0100-000013000000}">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4" authorId="0" shapeId="0" xr:uid="{00000000-0006-0000-0100-000014000000}">
      <text>
        <r>
          <rPr>
            <b/>
            <sz val="9"/>
            <color indexed="81"/>
            <rFont val="Tahoma"/>
            <family val="2"/>
          </rPr>
          <t>cmcneil:</t>
        </r>
        <r>
          <rPr>
            <sz val="9"/>
            <color indexed="81"/>
            <rFont val="Tahoma"/>
            <family val="2"/>
          </rPr>
          <t xml:space="preserve">
UTM easting of stake measured with GPS</t>
        </r>
      </text>
    </comment>
    <comment ref="U4" authorId="0" shapeId="0" xr:uid="{00000000-0006-0000-0100-000015000000}">
      <text>
        <r>
          <rPr>
            <b/>
            <sz val="9"/>
            <color indexed="81"/>
            <rFont val="Tahoma"/>
            <family val="2"/>
          </rPr>
          <t>cmcneil:</t>
        </r>
        <r>
          <rPr>
            <sz val="9"/>
            <color indexed="81"/>
            <rFont val="Tahoma"/>
            <family val="2"/>
          </rPr>
          <t xml:space="preserve">
UTM Northing of stake measured with GPS</t>
        </r>
      </text>
    </comment>
    <comment ref="V4" authorId="0" shapeId="0" xr:uid="{00000000-0006-0000-0100-000016000000}">
      <text>
        <r>
          <rPr>
            <b/>
            <sz val="9"/>
            <color indexed="81"/>
            <rFont val="Tahoma"/>
            <family val="2"/>
          </rPr>
          <t>cmcneil:</t>
        </r>
        <r>
          <rPr>
            <sz val="9"/>
            <color indexed="81"/>
            <rFont val="Tahoma"/>
            <family val="2"/>
          </rPr>
          <t xml:space="preserve">
Elevation of stake measured with GPS as height above ellipsoid</t>
        </r>
      </text>
    </comment>
    <comment ref="W4" authorId="0" shapeId="0" xr:uid="{00000000-0006-0000-0100-000017000000}">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 ref="K8" authorId="1" shapeId="0" xr:uid="{DB2ECB5E-D8DF-4C93-82D8-8536E2DD742D}">
      <text>
        <t>[Threaded comment]
Your version of Excel allows you to read this threaded comment; however, any edits to it will get removed if the file is opened in a newer version of Excel. Learn more: https://go.microsoft.com/fwlink/?linkid=870924
Comment:
    Mean density 2020-2011
Reply:
    Change from mean 0.36 to median 0.37 based on group concensus</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BB48797B-050F-405C-95E4-B49B68A12563}">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F17A0086-B4FB-45C6-B10A-9BF702B4BBE5}">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00EC28D9-D60D-4C4D-BC01-746B5B437CB8}">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93DA2057-1493-4353-B329-156DD26BA6FE}">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6E10DEC0-4758-4F55-BC80-BFBC3C1E4D28}">
      <text>
        <r>
          <rPr>
            <sz val="8"/>
            <color indexed="81"/>
            <rFont val="Tahoma"/>
            <family val="2"/>
          </rPr>
          <t xml:space="preserve">Sipre coring auger=45.6cm2 
large tube 41.05 cm2       
small tube 25.6   cm2          
Snow Metrics 1000 cm^3
</t>
        </r>
      </text>
    </comment>
    <comment ref="A10" authorId="0" shapeId="0" xr:uid="{F39D09B3-6CB0-48FA-BBF8-47B8B360A385}">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5AF26B16-2462-4879-9521-630C4D1C1B88}">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93C6CD64-A6F3-4396-9D29-2C877F14FB43}">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D10" authorId="0" shapeId="0" xr:uid="{952DEB03-0A33-4CC8-990E-3BCF7F1243A3}">
      <text>
        <r>
          <rPr>
            <b/>
            <sz val="9"/>
            <color indexed="81"/>
            <rFont val="Tahoma"/>
            <family val="2"/>
          </rPr>
          <t>cmcneil:</t>
        </r>
        <r>
          <rPr>
            <sz val="9"/>
            <color indexed="81"/>
            <rFont val="Tahoma"/>
            <family val="2"/>
          </rPr>
          <t xml:space="preserve">
Volume of sample taken</t>
        </r>
      </text>
    </comment>
    <comment ref="E10" authorId="0" shapeId="0" xr:uid="{30D6C1EE-7630-4112-B939-365D6E425C35}">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F10" authorId="0" shapeId="0" xr:uid="{D1D7C004-C205-4E75-9C09-FDFAAE546849}">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G10" authorId="0" shapeId="0" xr:uid="{E8190A0C-D37E-4B95-A6C1-DCBCFBD29EB5}">
      <text>
        <r>
          <rPr>
            <b/>
            <sz val="9"/>
            <color indexed="81"/>
            <rFont val="Tahoma"/>
            <family val="2"/>
          </rPr>
          <t>cmcneil:</t>
        </r>
        <r>
          <rPr>
            <sz val="9"/>
            <color indexed="81"/>
            <rFont val="Tahoma"/>
            <family val="2"/>
          </rPr>
          <t xml:space="preserve">
Density of sample. Calculated from the mass/volume</t>
        </r>
      </text>
    </comment>
    <comment ref="H10" authorId="0" shapeId="0" xr:uid="{3DC84E8A-2C45-4F22-984A-773F944DF939}">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I10" authorId="0" shapeId="0" xr:uid="{D5256B9D-02F9-4BE3-9401-7F8D2160F89E}">
      <text>
        <r>
          <rPr>
            <b/>
            <sz val="9"/>
            <color indexed="81"/>
            <rFont val="Tahoma"/>
            <family val="2"/>
          </rPr>
          <t>cmcneil:</t>
        </r>
        <r>
          <rPr>
            <sz val="9"/>
            <color indexed="81"/>
            <rFont val="Tahoma"/>
            <family val="2"/>
          </rPr>
          <t xml:space="preserve">
Cummulative s.w.e. of from surface to the depth of each sample</t>
        </r>
      </text>
    </comment>
    <comment ref="J10" authorId="0" shapeId="0" xr:uid="{1DF8D76D-8FC9-45C9-94D1-A8B7AE19D087}">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K10" authorId="0" shapeId="0" xr:uid="{01DDEE3D-5B5C-462A-954F-11FAE96C5C92}">
      <text>
        <r>
          <rPr>
            <b/>
            <sz val="9"/>
            <color indexed="81"/>
            <rFont val="Tahoma"/>
            <family val="2"/>
          </rPr>
          <t>cmcneil:</t>
        </r>
        <r>
          <rPr>
            <sz val="9"/>
            <color indexed="81"/>
            <rFont val="Tahoma"/>
            <family val="2"/>
          </rPr>
          <t xml:space="preserve">
Any observation about a given sample. Cutting dog bites, dirty layers, ice lenses, etc...</t>
        </r>
      </text>
    </comment>
    <comment ref="L10" authorId="0" shapeId="0" xr:uid="{A41EEE53-4A68-4D2E-9FC0-02433E13584D}">
      <text>
        <r>
          <rPr>
            <b/>
            <sz val="9"/>
            <color indexed="81"/>
            <rFont val="Tahoma"/>
            <family val="2"/>
          </rPr>
          <t>cmcneil:</t>
        </r>
        <r>
          <rPr>
            <sz val="9"/>
            <color indexed="81"/>
            <rFont val="Tahoma"/>
            <family val="2"/>
          </rPr>
          <t xml:space="preserve">
What was used to measure snow depth</t>
        </r>
      </text>
    </comment>
    <comment ref="M10" authorId="0" shapeId="0" xr:uid="{6BCAC877-6661-4D21-81CE-344EE4767F26}">
      <text>
        <r>
          <rPr>
            <b/>
            <sz val="9"/>
            <color indexed="81"/>
            <rFont val="Tahoma"/>
            <family val="2"/>
          </rPr>
          <t>cmcneil:</t>
        </r>
        <r>
          <rPr>
            <sz val="9"/>
            <color indexed="81"/>
            <rFont val="Tahoma"/>
            <family val="2"/>
          </rPr>
          <t xml:space="preserve">
snow depth observed</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E5050464-69CC-49CC-8936-D39A3E0CFA12}">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8D67B378-FB82-4FF8-B4CB-8ED60B5513C8}">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E881BC3A-CB99-46E2-BCF4-51F7D6177F5C}">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F4DFE5B5-73A5-449F-BF61-AC73E4D0A535}">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8DC5EE40-26B8-4D51-8A07-B6F89304AB5E}">
      <text>
        <r>
          <rPr>
            <sz val="8"/>
            <color indexed="81"/>
            <rFont val="Tahoma"/>
            <family val="2"/>
          </rPr>
          <t xml:space="preserve">Sipre coring auger=45.6cm2 
large tube 41.05 cm2       
small tube 25.6   cm2          
Snow Metrics 1000 cm^3
</t>
        </r>
      </text>
    </comment>
    <comment ref="A10" authorId="0" shapeId="0" xr:uid="{0CB46D24-A94A-4D34-B63A-B3B5B0472693}">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AB3239B1-B223-48EA-8ABC-BEE6A586A90F}">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9695690E-AB10-4E05-A473-5B5E48C78C7E}">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D10" authorId="0" shapeId="0" xr:uid="{3E32C122-0974-4B84-8B02-24DA49CD7DCE}">
      <text>
        <r>
          <rPr>
            <b/>
            <sz val="9"/>
            <color indexed="81"/>
            <rFont val="Tahoma"/>
            <family val="2"/>
          </rPr>
          <t>cmcneil:</t>
        </r>
        <r>
          <rPr>
            <sz val="9"/>
            <color indexed="81"/>
            <rFont val="Tahoma"/>
            <family val="2"/>
          </rPr>
          <t xml:space="preserve">
Volume of sample taken</t>
        </r>
      </text>
    </comment>
    <comment ref="E10" authorId="0" shapeId="0" xr:uid="{1B8A06B2-7B24-49E2-A62B-BE89860AD3F9}">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F10" authorId="0" shapeId="0" xr:uid="{0CDB26D6-2256-4BB9-B0A7-0C7C2BDF3F6B}">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G10" authorId="0" shapeId="0" xr:uid="{D6668FD5-44A0-4D44-8D8E-7825A540AD5C}">
      <text>
        <r>
          <rPr>
            <b/>
            <sz val="9"/>
            <color indexed="81"/>
            <rFont val="Tahoma"/>
            <family val="2"/>
          </rPr>
          <t>cmcneil:</t>
        </r>
        <r>
          <rPr>
            <sz val="9"/>
            <color indexed="81"/>
            <rFont val="Tahoma"/>
            <family val="2"/>
          </rPr>
          <t xml:space="preserve">
Density of sample. Calculated from the mass/volume</t>
        </r>
      </text>
    </comment>
    <comment ref="H10" authorId="0" shapeId="0" xr:uid="{91F1288E-9F2E-4DB1-A036-93B815887263}">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I10" authorId="0" shapeId="0" xr:uid="{EBF16000-F021-4CB5-B1CC-AA9D23D475B5}">
      <text>
        <r>
          <rPr>
            <b/>
            <sz val="9"/>
            <color indexed="81"/>
            <rFont val="Tahoma"/>
            <family val="2"/>
          </rPr>
          <t>cmcneil:</t>
        </r>
        <r>
          <rPr>
            <sz val="9"/>
            <color indexed="81"/>
            <rFont val="Tahoma"/>
            <family val="2"/>
          </rPr>
          <t xml:space="preserve">
Cummulative s.w.e. of from surface to the depth of each sample</t>
        </r>
      </text>
    </comment>
    <comment ref="J10" authorId="0" shapeId="0" xr:uid="{A517F6E2-9FAD-42BE-90E6-796A5BB16FB3}">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K10" authorId="0" shapeId="0" xr:uid="{324A312C-3CFD-4C90-B72D-0BAC4935C36C}">
      <text>
        <r>
          <rPr>
            <b/>
            <sz val="9"/>
            <color indexed="81"/>
            <rFont val="Tahoma"/>
            <family val="2"/>
          </rPr>
          <t>cmcneil:</t>
        </r>
        <r>
          <rPr>
            <sz val="9"/>
            <color indexed="81"/>
            <rFont val="Tahoma"/>
            <family val="2"/>
          </rPr>
          <t xml:space="preserve">
Any observation about a given sample. Cutting dog bites, dirty layers, ice lenses, etc...</t>
        </r>
      </text>
    </comment>
    <comment ref="L10" authorId="0" shapeId="0" xr:uid="{E22EC64D-EBFC-4F2A-96F6-8010C8124DF8}">
      <text>
        <r>
          <rPr>
            <b/>
            <sz val="9"/>
            <color indexed="81"/>
            <rFont val="Tahoma"/>
            <family val="2"/>
          </rPr>
          <t>cmcneil:</t>
        </r>
        <r>
          <rPr>
            <sz val="9"/>
            <color indexed="81"/>
            <rFont val="Tahoma"/>
            <family val="2"/>
          </rPr>
          <t xml:space="preserve">
What was used to measure snow depth</t>
        </r>
      </text>
    </comment>
    <comment ref="M10" authorId="0" shapeId="0" xr:uid="{FEC2AC14-F8B0-4CC6-9329-29F3B9487BE4}">
      <text>
        <r>
          <rPr>
            <b/>
            <sz val="9"/>
            <color indexed="81"/>
            <rFont val="Tahoma"/>
            <family val="2"/>
          </rPr>
          <t>cmcneil:</t>
        </r>
        <r>
          <rPr>
            <sz val="9"/>
            <color indexed="81"/>
            <rFont val="Tahoma"/>
            <family val="2"/>
          </rPr>
          <t xml:space="preserve">
snow depth observed</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6F338FA7-0470-43DA-A802-CC6B05CE4ADF}">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6691B8BD-96A4-49EB-93C2-91A45ADFE3C5}">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D8FA0F94-8D1E-4F4C-B6BA-9FAD1867E6E6}">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B27526F0-B80C-4078-AB4A-C20896B3B4A4}">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4C82ACD7-D54A-41E4-88C0-788280CFD6B3}">
      <text>
        <r>
          <rPr>
            <sz val="8"/>
            <color indexed="81"/>
            <rFont val="Tahoma"/>
            <family val="2"/>
          </rPr>
          <t xml:space="preserve">Sipre coring auger=45.6cm2 
large tube 41.05 cm2       
small tube 25.6   cm2          
Snow Metrics 1000 cm^3
</t>
        </r>
      </text>
    </comment>
    <comment ref="A10" authorId="0" shapeId="0" xr:uid="{8EE02382-0CE0-4554-ABC0-060D8FAEF022}">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532D9068-FF37-474C-A8F4-B837C0028287}">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6F9CC842-8888-40C5-AD95-48E371D8D98B}">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D10" authorId="0" shapeId="0" xr:uid="{D4916AAE-DC0F-49AD-8A12-D2B8D3E52AE9}">
      <text>
        <r>
          <rPr>
            <b/>
            <sz val="9"/>
            <color indexed="81"/>
            <rFont val="Tahoma"/>
            <family val="2"/>
          </rPr>
          <t>cmcneil:</t>
        </r>
        <r>
          <rPr>
            <sz val="9"/>
            <color indexed="81"/>
            <rFont val="Tahoma"/>
            <family val="2"/>
          </rPr>
          <t xml:space="preserve">
Volume of sample taken</t>
        </r>
      </text>
    </comment>
    <comment ref="E10" authorId="0" shapeId="0" xr:uid="{3A9929A6-5157-41E5-9C4E-F3932817F309}">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F10" authorId="0" shapeId="0" xr:uid="{BD082757-9A7A-481F-A3C3-B7C9E16B9800}">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G10" authorId="0" shapeId="0" xr:uid="{9DA57301-3558-4A80-B0D6-F361BFF37E43}">
      <text>
        <r>
          <rPr>
            <b/>
            <sz val="9"/>
            <color indexed="81"/>
            <rFont val="Tahoma"/>
            <family val="2"/>
          </rPr>
          <t>cmcneil:</t>
        </r>
        <r>
          <rPr>
            <sz val="9"/>
            <color indexed="81"/>
            <rFont val="Tahoma"/>
            <family val="2"/>
          </rPr>
          <t xml:space="preserve">
Density of sample. Calculated from the mass/volume</t>
        </r>
      </text>
    </comment>
    <comment ref="H10" authorId="0" shapeId="0" xr:uid="{FD7192F1-E379-41E0-85EA-F49CF52A22D1}">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I10" authorId="0" shapeId="0" xr:uid="{56951223-7C22-43DD-BC44-1426C54E13C5}">
      <text>
        <r>
          <rPr>
            <b/>
            <sz val="9"/>
            <color indexed="81"/>
            <rFont val="Tahoma"/>
            <family val="2"/>
          </rPr>
          <t>cmcneil:</t>
        </r>
        <r>
          <rPr>
            <sz val="9"/>
            <color indexed="81"/>
            <rFont val="Tahoma"/>
            <family val="2"/>
          </rPr>
          <t xml:space="preserve">
Cummulative s.w.e. of from surface to the depth of each sample</t>
        </r>
      </text>
    </comment>
    <comment ref="J10" authorId="0" shapeId="0" xr:uid="{5589A4A0-BCB9-4DE7-9867-A08A11FA281C}">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K10" authorId="0" shapeId="0" xr:uid="{C813A85E-7C24-4600-B4E1-7E4C0990D741}">
      <text>
        <r>
          <rPr>
            <b/>
            <sz val="9"/>
            <color indexed="81"/>
            <rFont val="Tahoma"/>
            <family val="2"/>
          </rPr>
          <t>cmcneil:</t>
        </r>
        <r>
          <rPr>
            <sz val="9"/>
            <color indexed="81"/>
            <rFont val="Tahoma"/>
            <family val="2"/>
          </rPr>
          <t xml:space="preserve">
Any observation about a given sample. Cutting dog bites, dirty layers, ice lenses, etc...</t>
        </r>
      </text>
    </comment>
    <comment ref="L10" authorId="0" shapeId="0" xr:uid="{0EF5F3B0-87D4-4BEA-BAFE-5CD340630B74}">
      <text>
        <r>
          <rPr>
            <b/>
            <sz val="9"/>
            <color indexed="81"/>
            <rFont val="Tahoma"/>
            <family val="2"/>
          </rPr>
          <t>cmcneil:</t>
        </r>
        <r>
          <rPr>
            <sz val="9"/>
            <color indexed="81"/>
            <rFont val="Tahoma"/>
            <family val="2"/>
          </rPr>
          <t xml:space="preserve">
What was used to measure snow depth</t>
        </r>
      </text>
    </comment>
    <comment ref="M10" authorId="0" shapeId="0" xr:uid="{70A45B38-A8BA-4E40-A936-F5FB9A6E2F72}">
      <text>
        <r>
          <rPr>
            <b/>
            <sz val="9"/>
            <color indexed="81"/>
            <rFont val="Tahoma"/>
            <family val="2"/>
          </rPr>
          <t>cmcneil:</t>
        </r>
        <r>
          <rPr>
            <sz val="9"/>
            <color indexed="81"/>
            <rFont val="Tahoma"/>
            <family val="2"/>
          </rPr>
          <t xml:space="preserve">
snow depth observed</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3971EECA-A3FD-441D-926C-7E1778A54BBC}">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D9DCBE0E-2D7A-48ED-A3A7-99A186DF59C7}">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8DDA2740-F16B-4461-8752-3FD7BD636195}">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8CFFAB8B-1DCF-4FE9-9982-805D720AA655}">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2E885F7B-83A9-4EA2-99C0-15ED32E6CBE5}">
      <text>
        <r>
          <rPr>
            <sz val="8"/>
            <color indexed="81"/>
            <rFont val="Tahoma"/>
            <family val="2"/>
          </rPr>
          <t xml:space="preserve">Sipre coring auger=45.6cm2 
large tube 41.05 cm2       
small tube 25.6   cm2          
Snow Metrics 1000 cm^3
</t>
        </r>
      </text>
    </comment>
    <comment ref="A10" authorId="0" shapeId="0" xr:uid="{2EFAE1A0-3613-4197-A68E-785C384B6A6B}">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3CBBBAF5-ED5C-4139-BB56-AA30E0515677}">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36B4B80C-F002-407E-B033-D60E7D51C640}">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D10" authorId="0" shapeId="0" xr:uid="{11F9C707-032F-465D-BFD2-B6719B9DCDDB}">
      <text>
        <r>
          <rPr>
            <b/>
            <sz val="9"/>
            <color indexed="81"/>
            <rFont val="Tahoma"/>
            <family val="2"/>
          </rPr>
          <t>cmcneil:</t>
        </r>
        <r>
          <rPr>
            <sz val="9"/>
            <color indexed="81"/>
            <rFont val="Tahoma"/>
            <family val="2"/>
          </rPr>
          <t xml:space="preserve">
Volume of sample taken</t>
        </r>
      </text>
    </comment>
    <comment ref="E10" authorId="0" shapeId="0" xr:uid="{F2228D29-EF66-4D87-A573-56E28CBD314E}">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F10" authorId="0" shapeId="0" xr:uid="{32A48729-1B25-4E74-9437-44A69FBAC203}">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G10" authorId="0" shapeId="0" xr:uid="{17BB4251-9FB1-4541-9400-7CE9833D1F8A}">
      <text>
        <r>
          <rPr>
            <b/>
            <sz val="9"/>
            <color indexed="81"/>
            <rFont val="Tahoma"/>
            <family val="2"/>
          </rPr>
          <t>cmcneil:</t>
        </r>
        <r>
          <rPr>
            <sz val="9"/>
            <color indexed="81"/>
            <rFont val="Tahoma"/>
            <family val="2"/>
          </rPr>
          <t xml:space="preserve">
Density of sample. Calculated from the mass/volume</t>
        </r>
      </text>
    </comment>
    <comment ref="H10" authorId="0" shapeId="0" xr:uid="{2FFCEA8B-4C86-4E4C-BE5E-C6CB72C0B64E}">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I10" authorId="0" shapeId="0" xr:uid="{F0694CC7-7135-4A03-B6B8-455D9AF5C4ED}">
      <text>
        <r>
          <rPr>
            <b/>
            <sz val="9"/>
            <color indexed="81"/>
            <rFont val="Tahoma"/>
            <family val="2"/>
          </rPr>
          <t>cmcneil:</t>
        </r>
        <r>
          <rPr>
            <sz val="9"/>
            <color indexed="81"/>
            <rFont val="Tahoma"/>
            <family val="2"/>
          </rPr>
          <t xml:space="preserve">
Cummulative s.w.e. of from surface to the depth of each sample</t>
        </r>
      </text>
    </comment>
    <comment ref="J10" authorId="0" shapeId="0" xr:uid="{3F062071-9E4A-473C-A83A-83D9666BD038}">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K10" authorId="0" shapeId="0" xr:uid="{694BFC22-CB24-4699-A2EF-5D58F8B9BD98}">
      <text>
        <r>
          <rPr>
            <b/>
            <sz val="9"/>
            <color indexed="81"/>
            <rFont val="Tahoma"/>
            <family val="2"/>
          </rPr>
          <t>cmcneil:</t>
        </r>
        <r>
          <rPr>
            <sz val="9"/>
            <color indexed="81"/>
            <rFont val="Tahoma"/>
            <family val="2"/>
          </rPr>
          <t xml:space="preserve">
Any observation about a given sample. Cutting dog bites, dirty layers, ice lenses, etc...</t>
        </r>
      </text>
    </comment>
    <comment ref="L10" authorId="0" shapeId="0" xr:uid="{5B22F5AD-3D41-4C76-857E-9E0806FE38C0}">
      <text>
        <r>
          <rPr>
            <b/>
            <sz val="9"/>
            <color indexed="81"/>
            <rFont val="Tahoma"/>
            <family val="2"/>
          </rPr>
          <t>cmcneil:</t>
        </r>
        <r>
          <rPr>
            <sz val="9"/>
            <color indexed="81"/>
            <rFont val="Tahoma"/>
            <family val="2"/>
          </rPr>
          <t xml:space="preserve">
What was used to measure snow depth</t>
        </r>
      </text>
    </comment>
    <comment ref="M10" authorId="0" shapeId="0" xr:uid="{20B540DC-EE01-4EF1-9000-3E2BB53992C0}">
      <text>
        <r>
          <rPr>
            <b/>
            <sz val="9"/>
            <color indexed="81"/>
            <rFont val="Tahoma"/>
            <family val="2"/>
          </rPr>
          <t>cmcneil:</t>
        </r>
        <r>
          <rPr>
            <sz val="9"/>
            <color indexed="81"/>
            <rFont val="Tahoma"/>
            <family val="2"/>
          </rPr>
          <t xml:space="preserve">
snow depth observed</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5B3C91FD-86FB-4C93-B7B8-1188B62A57FE}">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BEF2A251-59D0-454F-A19D-D081E928C02A}">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D75DF7A8-7120-4012-A405-98A3B02753B3}">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B35391A6-D87D-4ADF-9192-C3CDBE70F733}">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DCA26C45-7D40-49D0-A18E-10487D780C04}">
      <text>
        <r>
          <rPr>
            <sz val="8"/>
            <color indexed="81"/>
            <rFont val="Tahoma"/>
            <family val="2"/>
          </rPr>
          <t xml:space="preserve">Sipre coring auger=45.6cm2 
large tube 41.05 cm2       
small tube 25.6   cm2          
Snow Metrics 1000 cm^3
</t>
        </r>
      </text>
    </comment>
    <comment ref="A10" authorId="0" shapeId="0" xr:uid="{6E0907F7-5708-4F12-91BD-5372F0584468}">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4AA4CA74-3AE1-4E4A-9ACC-5FF0ACBF7ADC}">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89676C50-E57C-40AA-918A-5A93DA4E4D51}">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D10" authorId="0" shapeId="0" xr:uid="{EC519AF1-880B-417A-95AA-F4AD19D402D9}">
      <text>
        <r>
          <rPr>
            <b/>
            <sz val="9"/>
            <color indexed="81"/>
            <rFont val="Tahoma"/>
            <family val="2"/>
          </rPr>
          <t>cmcneil:</t>
        </r>
        <r>
          <rPr>
            <sz val="9"/>
            <color indexed="81"/>
            <rFont val="Tahoma"/>
            <family val="2"/>
          </rPr>
          <t xml:space="preserve">
Volume of sample taken</t>
        </r>
      </text>
    </comment>
    <comment ref="E10" authorId="0" shapeId="0" xr:uid="{C197BAAE-6DAF-4A2B-9E44-9DF1148F2931}">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F10" authorId="0" shapeId="0" xr:uid="{7654FA29-1F94-42D7-B921-5ABAE2924C01}">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G10" authorId="0" shapeId="0" xr:uid="{1B51EEBD-6AC8-4D01-8ECB-E75F30E337E0}">
      <text>
        <r>
          <rPr>
            <b/>
            <sz val="9"/>
            <color indexed="81"/>
            <rFont val="Tahoma"/>
            <family val="2"/>
          </rPr>
          <t>cmcneil:</t>
        </r>
        <r>
          <rPr>
            <sz val="9"/>
            <color indexed="81"/>
            <rFont val="Tahoma"/>
            <family val="2"/>
          </rPr>
          <t xml:space="preserve">
Density of sample. Calculated from the mass/volume</t>
        </r>
      </text>
    </comment>
    <comment ref="H10" authorId="0" shapeId="0" xr:uid="{0E5D167C-CB5F-4657-9527-47D8D884ABA3}">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I10" authorId="0" shapeId="0" xr:uid="{7E15413E-DC62-4066-B833-3B513F2C5412}">
      <text>
        <r>
          <rPr>
            <b/>
            <sz val="9"/>
            <color indexed="81"/>
            <rFont val="Tahoma"/>
            <family val="2"/>
          </rPr>
          <t>cmcneil:</t>
        </r>
        <r>
          <rPr>
            <sz val="9"/>
            <color indexed="81"/>
            <rFont val="Tahoma"/>
            <family val="2"/>
          </rPr>
          <t xml:space="preserve">
Cummulative s.w.e. of from surface to the depth of each sample</t>
        </r>
      </text>
    </comment>
    <comment ref="J10" authorId="0" shapeId="0" xr:uid="{5C6D3C2F-50CE-4127-B14C-739F8B30F7D7}">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K10" authorId="0" shapeId="0" xr:uid="{F80AD5EF-AA8D-415D-BA3A-5E47A567FF87}">
      <text>
        <r>
          <rPr>
            <b/>
            <sz val="9"/>
            <color indexed="81"/>
            <rFont val="Tahoma"/>
            <family val="2"/>
          </rPr>
          <t>cmcneil:</t>
        </r>
        <r>
          <rPr>
            <sz val="9"/>
            <color indexed="81"/>
            <rFont val="Tahoma"/>
            <family val="2"/>
          </rPr>
          <t xml:space="preserve">
Any observation about a given sample. Cutting dog bites, dirty layers, ice lenses, etc...</t>
        </r>
      </text>
    </comment>
    <comment ref="L10" authorId="0" shapeId="0" xr:uid="{BF635A96-8C4D-45AB-A80F-AC209E9180FC}">
      <text>
        <r>
          <rPr>
            <b/>
            <sz val="9"/>
            <color indexed="81"/>
            <rFont val="Tahoma"/>
            <family val="2"/>
          </rPr>
          <t>cmcneil:</t>
        </r>
        <r>
          <rPr>
            <sz val="9"/>
            <color indexed="81"/>
            <rFont val="Tahoma"/>
            <family val="2"/>
          </rPr>
          <t xml:space="preserve">
What was used to measure snow depth</t>
        </r>
      </text>
    </comment>
    <comment ref="M10" authorId="0" shapeId="0" xr:uid="{79237B3A-E7A3-4981-8A9A-186C7DDCE7E3}">
      <text>
        <r>
          <rPr>
            <b/>
            <sz val="9"/>
            <color indexed="81"/>
            <rFont val="Tahoma"/>
            <family val="2"/>
          </rPr>
          <t>cmcneil:</t>
        </r>
        <r>
          <rPr>
            <sz val="9"/>
            <color indexed="81"/>
            <rFont val="Tahoma"/>
            <family val="2"/>
          </rPr>
          <t xml:space="preserve">
snow depth observed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cmcneil</author>
    <author>tc={BEF422A3-0E09-48BA-82FA-68E476B20383}</author>
    <author>Baker, Emily Hewitt</author>
  </authors>
  <commentList>
    <comment ref="A4" authorId="0" shapeId="0" xr:uid="{00000000-0006-0000-0200-000001000000}">
      <text>
        <r>
          <rPr>
            <b/>
            <sz val="9"/>
            <color indexed="81"/>
            <rFont val="Tahoma"/>
            <family val="2"/>
          </rPr>
          <t>cmcneil:</t>
        </r>
        <r>
          <rPr>
            <sz val="9"/>
            <color indexed="81"/>
            <rFont val="Tahoma"/>
            <family val="2"/>
          </rPr>
          <t xml:space="preserve">
Date of site visit</t>
        </r>
      </text>
    </comment>
    <comment ref="B4" authorId="0" shapeId="0" xr:uid="{00000000-0006-0000-0200-000002000000}">
      <text>
        <r>
          <rPr>
            <b/>
            <sz val="9"/>
            <color indexed="81"/>
            <rFont val="Tahoma"/>
            <family val="2"/>
          </rPr>
          <t>cmcneil:</t>
        </r>
        <r>
          <rPr>
            <sz val="9"/>
            <color indexed="81"/>
            <rFont val="Tahoma"/>
            <family val="2"/>
          </rPr>
          <t xml:space="preserve">
Notebook field data can be found in</t>
        </r>
      </text>
    </comment>
    <comment ref="C4" authorId="0" shapeId="0" xr:uid="{00000000-0006-0000-0200-000003000000}">
      <text>
        <r>
          <rPr>
            <b/>
            <sz val="9"/>
            <color indexed="81"/>
            <rFont val="Tahoma"/>
            <family val="2"/>
          </rPr>
          <t>cmcneil:</t>
        </r>
        <r>
          <rPr>
            <sz val="9"/>
            <color indexed="81"/>
            <rFont val="Tahoma"/>
            <family val="2"/>
          </rPr>
          <t xml:space="preserve">
Name of the stake, eg. 17AU</t>
        </r>
      </text>
    </comment>
    <comment ref="D4" authorId="0" shapeId="0" xr:uid="{00000000-0006-0000-0200-000004000000}">
      <text>
        <r>
          <rPr>
            <b/>
            <sz val="9"/>
            <color indexed="81"/>
            <rFont val="Tahoma"/>
            <family val="2"/>
          </rPr>
          <t>cmcneil:</t>
        </r>
        <r>
          <rPr>
            <sz val="9"/>
            <color indexed="81"/>
            <rFont val="Tahoma"/>
            <family val="2"/>
          </rPr>
          <t xml:space="preserve">
What the surface was during the site visit. Example: Snow, Firn, or Ice</t>
        </r>
      </text>
    </comment>
    <comment ref="E4" authorId="0" shapeId="0" xr:uid="{00000000-0006-0000-0200-000005000000}">
      <text>
        <r>
          <rPr>
            <b/>
            <sz val="9"/>
            <color indexed="81"/>
            <rFont val="Tahoma"/>
            <family val="2"/>
          </rPr>
          <t>cmcneil:</t>
        </r>
        <r>
          <rPr>
            <sz val="9"/>
            <color indexed="81"/>
            <rFont val="Tahoma"/>
            <family val="2"/>
          </rPr>
          <t xml:space="preserve">
Total length of stake</t>
        </r>
      </text>
    </comment>
    <comment ref="F4" authorId="0" shapeId="0" xr:uid="{00000000-0006-0000-0200-000006000000}">
      <text>
        <r>
          <rPr>
            <b/>
            <sz val="9"/>
            <color indexed="81"/>
            <rFont val="Tahoma"/>
            <family val="2"/>
          </rPr>
          <t>cmcneil:</t>
        </r>
        <r>
          <rPr>
            <sz val="9"/>
            <color indexed="81"/>
            <rFont val="Tahoma"/>
            <family val="2"/>
          </rPr>
          <t xml:space="preserve">
Length of stake above the surface noted in column D</t>
        </r>
      </text>
    </comment>
    <comment ref="G4" authorId="0" shapeId="0" xr:uid="{00000000-0006-0000-0200-000007000000}">
      <text>
        <r>
          <rPr>
            <b/>
            <sz val="9"/>
            <color indexed="81"/>
            <rFont val="Tahoma"/>
            <family val="2"/>
          </rPr>
          <t>cmcneil:</t>
        </r>
        <r>
          <rPr>
            <sz val="9"/>
            <color indexed="81"/>
            <rFont val="Tahoma"/>
            <family val="2"/>
          </rPr>
          <t xml:space="preserve">
Length of stake still below the surface noted in column D</t>
        </r>
      </text>
    </comment>
    <comment ref="H4" authorId="0" shapeId="0" xr:uid="{00000000-0006-0000-0200-000008000000}">
      <text>
        <r>
          <rPr>
            <b/>
            <sz val="9"/>
            <color indexed="81"/>
            <rFont val="Tahoma"/>
            <family val="2"/>
          </rPr>
          <t>cmcneil:</t>
        </r>
        <r>
          <rPr>
            <sz val="9"/>
            <color indexed="81"/>
            <rFont val="Tahoma"/>
            <family val="2"/>
          </rPr>
          <t xml:space="preserve">
Change in stake since previous site visits</t>
        </r>
      </text>
    </comment>
    <comment ref="I4" authorId="0" shapeId="0" xr:uid="{00000000-0006-0000-0200-000009000000}">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4" authorId="0" shapeId="0" xr:uid="{00000000-0006-0000-0200-00000A000000}">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4" authorId="0" shapeId="0" xr:uid="{00000000-0006-0000-0200-00000B000000}">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4" authorId="0" shapeId="0" xr:uid="{00000000-0006-0000-0200-00000C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4" authorId="0" shapeId="0" xr:uid="{00000000-0006-0000-0200-00000D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4" authorId="0" shapeId="0" xr:uid="{00000000-0006-0000-0200-00000E000000}">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4" authorId="0" shapeId="0" xr:uid="{00000000-0006-0000-0200-00000F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4" authorId="0" shapeId="0" xr:uid="{00000000-0006-0000-0200-000010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4" authorId="0" shapeId="0" xr:uid="{00000000-0006-0000-0200-000011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4" authorId="0" shapeId="0" xr:uid="{00000000-0006-0000-0200-000012000000}">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4" authorId="0" shapeId="0" xr:uid="{00000000-0006-0000-0200-000013000000}">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4" authorId="0" shapeId="0" xr:uid="{00000000-0006-0000-0200-000014000000}">
      <text>
        <r>
          <rPr>
            <b/>
            <sz val="9"/>
            <color indexed="81"/>
            <rFont val="Tahoma"/>
            <family val="2"/>
          </rPr>
          <t>cmcneil:</t>
        </r>
        <r>
          <rPr>
            <sz val="9"/>
            <color indexed="81"/>
            <rFont val="Tahoma"/>
            <family val="2"/>
          </rPr>
          <t xml:space="preserve">
UTM easting of stake measured with GPS</t>
        </r>
      </text>
    </comment>
    <comment ref="U4" authorId="0" shapeId="0" xr:uid="{00000000-0006-0000-0200-000015000000}">
      <text>
        <r>
          <rPr>
            <b/>
            <sz val="9"/>
            <color indexed="81"/>
            <rFont val="Tahoma"/>
            <family val="2"/>
          </rPr>
          <t>cmcneil:</t>
        </r>
        <r>
          <rPr>
            <sz val="9"/>
            <color indexed="81"/>
            <rFont val="Tahoma"/>
            <family val="2"/>
          </rPr>
          <t xml:space="preserve">
UTM Northing of stake measured with GPS</t>
        </r>
      </text>
    </comment>
    <comment ref="V4" authorId="0" shapeId="0" xr:uid="{00000000-0006-0000-0200-000016000000}">
      <text>
        <r>
          <rPr>
            <b/>
            <sz val="9"/>
            <color indexed="81"/>
            <rFont val="Tahoma"/>
            <family val="2"/>
          </rPr>
          <t>cmcneil:</t>
        </r>
        <r>
          <rPr>
            <sz val="9"/>
            <color indexed="81"/>
            <rFont val="Tahoma"/>
            <family val="2"/>
          </rPr>
          <t xml:space="preserve">
Elevation of stake measured with GPS as height above ellipsoid</t>
        </r>
      </text>
    </comment>
    <comment ref="W4" authorId="0" shapeId="0" xr:uid="{00000000-0006-0000-0200-000017000000}">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 ref="K8" authorId="1" shapeId="0" xr:uid="{BEF422A3-0E09-48BA-82FA-68E476B20383}">
      <text>
        <t>[Threaded comment]
Your version of Excel allows you to read this threaded comment; however, any edits to it will get removed if the file is opened in a newer version of Excel. Learn more: https://go.microsoft.com/fwlink/?linkid=870924
Comment:
    Mean density 2015-2020</t>
      </text>
    </comment>
    <comment ref="I18" authorId="2" shapeId="0" xr:uid="{B557E508-3FCF-4965-B223-75AB340A2680}">
      <text>
        <r>
          <rPr>
            <b/>
            <sz val="9"/>
            <color indexed="81"/>
            <rFont val="Tahoma"/>
            <family val="2"/>
          </rPr>
          <t>Baker, Emily Hewitt:</t>
        </r>
        <r>
          <rPr>
            <sz val="9"/>
            <color indexed="81"/>
            <rFont val="Tahoma"/>
            <family val="2"/>
          </rPr>
          <t xml:space="preserve">
No probing at 23AB stake in spring 2023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cmcneil</author>
    <author>tc={66F4ECC1-2E6F-412F-9CFA-7C15BF7136ED}</author>
  </authors>
  <commentList>
    <comment ref="A4" authorId="0" shapeId="0" xr:uid="{00000000-0006-0000-0300-000001000000}">
      <text>
        <r>
          <rPr>
            <b/>
            <sz val="9"/>
            <color indexed="81"/>
            <rFont val="Tahoma"/>
            <family val="2"/>
          </rPr>
          <t>cmcneil:</t>
        </r>
        <r>
          <rPr>
            <sz val="9"/>
            <color indexed="81"/>
            <rFont val="Tahoma"/>
            <family val="2"/>
          </rPr>
          <t xml:space="preserve">
Date of site visit</t>
        </r>
      </text>
    </comment>
    <comment ref="B4" authorId="0" shapeId="0" xr:uid="{00000000-0006-0000-0300-000002000000}">
      <text>
        <r>
          <rPr>
            <b/>
            <sz val="9"/>
            <color indexed="81"/>
            <rFont val="Tahoma"/>
            <family val="2"/>
          </rPr>
          <t>cmcneil:</t>
        </r>
        <r>
          <rPr>
            <sz val="9"/>
            <color indexed="81"/>
            <rFont val="Tahoma"/>
            <family val="2"/>
          </rPr>
          <t xml:space="preserve">
Notebook field data can be found in</t>
        </r>
      </text>
    </comment>
    <comment ref="C4" authorId="0" shapeId="0" xr:uid="{00000000-0006-0000-0300-000003000000}">
      <text>
        <r>
          <rPr>
            <b/>
            <sz val="9"/>
            <color indexed="81"/>
            <rFont val="Tahoma"/>
            <family val="2"/>
          </rPr>
          <t>cmcneil:</t>
        </r>
        <r>
          <rPr>
            <sz val="9"/>
            <color indexed="81"/>
            <rFont val="Tahoma"/>
            <family val="2"/>
          </rPr>
          <t xml:space="preserve">
Name of the stake, eg. 17AU</t>
        </r>
      </text>
    </comment>
    <comment ref="D4" authorId="0" shapeId="0" xr:uid="{00000000-0006-0000-0300-000004000000}">
      <text>
        <r>
          <rPr>
            <b/>
            <sz val="9"/>
            <color indexed="81"/>
            <rFont val="Tahoma"/>
            <family val="2"/>
          </rPr>
          <t>cmcneil:</t>
        </r>
        <r>
          <rPr>
            <sz val="9"/>
            <color indexed="81"/>
            <rFont val="Tahoma"/>
            <family val="2"/>
          </rPr>
          <t xml:space="preserve">
What the surface was during the site visit. Example: Snow, Firn, or Ice</t>
        </r>
      </text>
    </comment>
    <comment ref="E4" authorId="0" shapeId="0" xr:uid="{00000000-0006-0000-0300-000005000000}">
      <text>
        <r>
          <rPr>
            <b/>
            <sz val="9"/>
            <color indexed="81"/>
            <rFont val="Tahoma"/>
            <family val="2"/>
          </rPr>
          <t>cmcneil:</t>
        </r>
        <r>
          <rPr>
            <sz val="9"/>
            <color indexed="81"/>
            <rFont val="Tahoma"/>
            <family val="2"/>
          </rPr>
          <t xml:space="preserve">
Total length of stake</t>
        </r>
      </text>
    </comment>
    <comment ref="F4" authorId="0" shapeId="0" xr:uid="{00000000-0006-0000-0300-000006000000}">
      <text>
        <r>
          <rPr>
            <b/>
            <sz val="9"/>
            <color indexed="81"/>
            <rFont val="Tahoma"/>
            <family val="2"/>
          </rPr>
          <t>cmcneil:</t>
        </r>
        <r>
          <rPr>
            <sz val="9"/>
            <color indexed="81"/>
            <rFont val="Tahoma"/>
            <family val="2"/>
          </rPr>
          <t xml:space="preserve">
Length of stake above the surface noted in column D</t>
        </r>
      </text>
    </comment>
    <comment ref="G4" authorId="0" shapeId="0" xr:uid="{00000000-0006-0000-0300-000007000000}">
      <text>
        <r>
          <rPr>
            <b/>
            <sz val="9"/>
            <color indexed="81"/>
            <rFont val="Tahoma"/>
            <family val="2"/>
          </rPr>
          <t>cmcneil:</t>
        </r>
        <r>
          <rPr>
            <sz val="9"/>
            <color indexed="81"/>
            <rFont val="Tahoma"/>
            <family val="2"/>
          </rPr>
          <t xml:space="preserve">
Length of stake still below the surface noted in column D</t>
        </r>
      </text>
    </comment>
    <comment ref="H4" authorId="0" shapeId="0" xr:uid="{00000000-0006-0000-0300-000008000000}">
      <text>
        <r>
          <rPr>
            <b/>
            <sz val="9"/>
            <color indexed="81"/>
            <rFont val="Tahoma"/>
            <family val="2"/>
          </rPr>
          <t>cmcneil:</t>
        </r>
        <r>
          <rPr>
            <sz val="9"/>
            <color indexed="81"/>
            <rFont val="Tahoma"/>
            <family val="2"/>
          </rPr>
          <t xml:space="preserve">
Change in stake since previous site visits</t>
        </r>
      </text>
    </comment>
    <comment ref="I4" authorId="0" shapeId="0" xr:uid="{00000000-0006-0000-0300-000009000000}">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4" authorId="0" shapeId="0" xr:uid="{00000000-0006-0000-0300-00000A000000}">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4" authorId="0" shapeId="0" xr:uid="{00000000-0006-0000-0300-00000B000000}">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4" authorId="0" shapeId="0" xr:uid="{00000000-0006-0000-0300-00000C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4" authorId="0" shapeId="0" xr:uid="{00000000-0006-0000-0300-00000D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4" authorId="0" shapeId="0" xr:uid="{00000000-0006-0000-0300-00000E000000}">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4" authorId="0" shapeId="0" xr:uid="{00000000-0006-0000-0300-00000F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4" authorId="0" shapeId="0" xr:uid="{00000000-0006-0000-0300-000010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4" authorId="0" shapeId="0" xr:uid="{00000000-0006-0000-0300-000011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4" authorId="0" shapeId="0" xr:uid="{00000000-0006-0000-0300-000012000000}">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4" authorId="0" shapeId="0" xr:uid="{00000000-0006-0000-0300-000013000000}">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4" authorId="0" shapeId="0" xr:uid="{00000000-0006-0000-0300-000014000000}">
      <text>
        <r>
          <rPr>
            <b/>
            <sz val="9"/>
            <color indexed="81"/>
            <rFont val="Tahoma"/>
            <family val="2"/>
          </rPr>
          <t>cmcneil:</t>
        </r>
        <r>
          <rPr>
            <sz val="9"/>
            <color indexed="81"/>
            <rFont val="Tahoma"/>
            <family val="2"/>
          </rPr>
          <t xml:space="preserve">
UTM easting of stake measured with GPS</t>
        </r>
      </text>
    </comment>
    <comment ref="U4" authorId="0" shapeId="0" xr:uid="{00000000-0006-0000-0300-000015000000}">
      <text>
        <r>
          <rPr>
            <b/>
            <sz val="9"/>
            <color indexed="81"/>
            <rFont val="Tahoma"/>
            <family val="2"/>
          </rPr>
          <t>cmcneil:</t>
        </r>
        <r>
          <rPr>
            <sz val="9"/>
            <color indexed="81"/>
            <rFont val="Tahoma"/>
            <family val="2"/>
          </rPr>
          <t xml:space="preserve">
UTM Northing of stake measured with GPS</t>
        </r>
      </text>
    </comment>
    <comment ref="V4" authorId="0" shapeId="0" xr:uid="{00000000-0006-0000-0300-000016000000}">
      <text>
        <r>
          <rPr>
            <b/>
            <sz val="9"/>
            <color indexed="81"/>
            <rFont val="Tahoma"/>
            <family val="2"/>
          </rPr>
          <t>cmcneil:</t>
        </r>
        <r>
          <rPr>
            <sz val="9"/>
            <color indexed="81"/>
            <rFont val="Tahoma"/>
            <family val="2"/>
          </rPr>
          <t xml:space="preserve">
Elevation of stake measured with GPS as height above ellipsoid</t>
        </r>
      </text>
    </comment>
    <comment ref="W4" authorId="0" shapeId="0" xr:uid="{00000000-0006-0000-0300-000017000000}">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 ref="K8" authorId="1" shapeId="0" xr:uid="{66F4ECC1-2E6F-412F-9CFA-7C15BF7136ED}">
      <text>
        <t>[Threaded comment]
Your version of Excel allows you to read this threaded comment; however, any edits to it will get removed if the file is opened in a newer version of Excel. Learn more: https://go.microsoft.com/fwlink/?linkid=870924
Comment:
    Mean density 2015-2020</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cmcneil</author>
    <author>tc={EE181FB6-59DE-46BF-9E14-8C5CE822952F}</author>
    <author>tc={63463FB1-E219-4869-A1D1-AADF965B55DE}</author>
  </authors>
  <commentList>
    <comment ref="A4" authorId="0" shapeId="0" xr:uid="{00000000-0006-0000-0400-000001000000}">
      <text>
        <r>
          <rPr>
            <b/>
            <sz val="9"/>
            <color indexed="81"/>
            <rFont val="Tahoma"/>
            <family val="2"/>
          </rPr>
          <t>cmcneil:</t>
        </r>
        <r>
          <rPr>
            <sz val="9"/>
            <color indexed="81"/>
            <rFont val="Tahoma"/>
            <family val="2"/>
          </rPr>
          <t xml:space="preserve">
Date of site visit</t>
        </r>
      </text>
    </comment>
    <comment ref="B4" authorId="0" shapeId="0" xr:uid="{00000000-0006-0000-0400-000002000000}">
      <text>
        <r>
          <rPr>
            <b/>
            <sz val="9"/>
            <color indexed="81"/>
            <rFont val="Tahoma"/>
            <family val="2"/>
          </rPr>
          <t>cmcneil:</t>
        </r>
        <r>
          <rPr>
            <sz val="9"/>
            <color indexed="81"/>
            <rFont val="Tahoma"/>
            <family val="2"/>
          </rPr>
          <t xml:space="preserve">
Notebook field data can be found in</t>
        </r>
      </text>
    </comment>
    <comment ref="C4" authorId="0" shapeId="0" xr:uid="{00000000-0006-0000-0400-000003000000}">
      <text>
        <r>
          <rPr>
            <b/>
            <sz val="9"/>
            <color indexed="81"/>
            <rFont val="Tahoma"/>
            <family val="2"/>
          </rPr>
          <t>cmcneil:</t>
        </r>
        <r>
          <rPr>
            <sz val="9"/>
            <color indexed="81"/>
            <rFont val="Tahoma"/>
            <family val="2"/>
          </rPr>
          <t xml:space="preserve">
Name of the stake, eg. 17AU</t>
        </r>
      </text>
    </comment>
    <comment ref="D4" authorId="0" shapeId="0" xr:uid="{00000000-0006-0000-0400-000004000000}">
      <text>
        <r>
          <rPr>
            <b/>
            <sz val="9"/>
            <color indexed="81"/>
            <rFont val="Tahoma"/>
            <family val="2"/>
          </rPr>
          <t>cmcneil:</t>
        </r>
        <r>
          <rPr>
            <sz val="9"/>
            <color indexed="81"/>
            <rFont val="Tahoma"/>
            <family val="2"/>
          </rPr>
          <t xml:space="preserve">
What the surface was during the site visit. Example: Snow, Firn, or Ice</t>
        </r>
      </text>
    </comment>
    <comment ref="E4" authorId="0" shapeId="0" xr:uid="{00000000-0006-0000-0400-000005000000}">
      <text>
        <r>
          <rPr>
            <b/>
            <sz val="9"/>
            <color indexed="81"/>
            <rFont val="Tahoma"/>
            <family val="2"/>
          </rPr>
          <t>cmcneil:</t>
        </r>
        <r>
          <rPr>
            <sz val="9"/>
            <color indexed="81"/>
            <rFont val="Tahoma"/>
            <family val="2"/>
          </rPr>
          <t xml:space="preserve">
Total length of stake</t>
        </r>
      </text>
    </comment>
    <comment ref="F4" authorId="0" shapeId="0" xr:uid="{00000000-0006-0000-0400-000006000000}">
      <text>
        <r>
          <rPr>
            <b/>
            <sz val="9"/>
            <color indexed="81"/>
            <rFont val="Tahoma"/>
            <family val="2"/>
          </rPr>
          <t>cmcneil:</t>
        </r>
        <r>
          <rPr>
            <sz val="9"/>
            <color indexed="81"/>
            <rFont val="Tahoma"/>
            <family val="2"/>
          </rPr>
          <t xml:space="preserve">
Length of stake above the surface noted in column D</t>
        </r>
      </text>
    </comment>
    <comment ref="G4" authorId="0" shapeId="0" xr:uid="{00000000-0006-0000-0400-000007000000}">
      <text>
        <r>
          <rPr>
            <b/>
            <sz val="9"/>
            <color indexed="81"/>
            <rFont val="Tahoma"/>
            <family val="2"/>
          </rPr>
          <t>cmcneil:</t>
        </r>
        <r>
          <rPr>
            <sz val="9"/>
            <color indexed="81"/>
            <rFont val="Tahoma"/>
            <family val="2"/>
          </rPr>
          <t xml:space="preserve">
Length of stake still below the surface noted in column D</t>
        </r>
      </text>
    </comment>
    <comment ref="H4" authorId="0" shapeId="0" xr:uid="{00000000-0006-0000-0400-000008000000}">
      <text>
        <r>
          <rPr>
            <b/>
            <sz val="9"/>
            <color indexed="81"/>
            <rFont val="Tahoma"/>
            <family val="2"/>
          </rPr>
          <t>cmcneil:</t>
        </r>
        <r>
          <rPr>
            <sz val="9"/>
            <color indexed="81"/>
            <rFont val="Tahoma"/>
            <family val="2"/>
          </rPr>
          <t xml:space="preserve">
Change in stake since previous site visits</t>
        </r>
      </text>
    </comment>
    <comment ref="I4" authorId="0" shapeId="0" xr:uid="{00000000-0006-0000-0400-000009000000}">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4" authorId="0" shapeId="0" xr:uid="{00000000-0006-0000-0400-00000A000000}">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4" authorId="0" shapeId="0" xr:uid="{00000000-0006-0000-0400-00000B000000}">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4" authorId="0" shapeId="0" xr:uid="{00000000-0006-0000-0400-00000C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4" authorId="0" shapeId="0" xr:uid="{00000000-0006-0000-0400-00000D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4" authorId="0" shapeId="0" xr:uid="{00000000-0006-0000-0400-00000E000000}">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4" authorId="0" shapeId="0" xr:uid="{00000000-0006-0000-0400-00000F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4" authorId="0" shapeId="0" xr:uid="{00000000-0006-0000-0400-000010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4" authorId="0" shapeId="0" xr:uid="{00000000-0006-0000-0400-000011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4" authorId="0" shapeId="0" xr:uid="{00000000-0006-0000-0400-000012000000}">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4" authorId="0" shapeId="0" xr:uid="{00000000-0006-0000-0400-000013000000}">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4" authorId="0" shapeId="0" xr:uid="{00000000-0006-0000-0400-000014000000}">
      <text>
        <r>
          <rPr>
            <b/>
            <sz val="9"/>
            <color indexed="81"/>
            <rFont val="Tahoma"/>
            <family val="2"/>
          </rPr>
          <t>cmcneil:</t>
        </r>
        <r>
          <rPr>
            <sz val="9"/>
            <color indexed="81"/>
            <rFont val="Tahoma"/>
            <family val="2"/>
          </rPr>
          <t xml:space="preserve">
UTM easting of stake measured with GPS</t>
        </r>
      </text>
    </comment>
    <comment ref="U4" authorId="0" shapeId="0" xr:uid="{00000000-0006-0000-0400-000015000000}">
      <text>
        <r>
          <rPr>
            <b/>
            <sz val="9"/>
            <color indexed="81"/>
            <rFont val="Tahoma"/>
            <family val="2"/>
          </rPr>
          <t>cmcneil:</t>
        </r>
        <r>
          <rPr>
            <sz val="9"/>
            <color indexed="81"/>
            <rFont val="Tahoma"/>
            <family val="2"/>
          </rPr>
          <t xml:space="preserve">
UTM Northing of stake measured with GPS</t>
        </r>
      </text>
    </comment>
    <comment ref="V4" authorId="0" shapeId="0" xr:uid="{00000000-0006-0000-0400-000016000000}">
      <text>
        <r>
          <rPr>
            <b/>
            <sz val="9"/>
            <color indexed="81"/>
            <rFont val="Tahoma"/>
            <family val="2"/>
          </rPr>
          <t>cmcneil:</t>
        </r>
        <r>
          <rPr>
            <sz val="9"/>
            <color indexed="81"/>
            <rFont val="Tahoma"/>
            <family val="2"/>
          </rPr>
          <t xml:space="preserve">
Elevation of stake measured with GPS as height above ellipsoid</t>
        </r>
      </text>
    </comment>
    <comment ref="W4" authorId="0" shapeId="0" xr:uid="{00000000-0006-0000-0400-000017000000}">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 ref="K9" authorId="1" shapeId="0" xr:uid="{EE181FB6-59DE-46BF-9E14-8C5CE822952F}">
      <text>
        <t>[Threaded comment]
Your version of Excel allows you to read this threaded comment; however, any edits to it will get removed if the file is opened in a newer version of Excel. Learn more: https://go.microsoft.com/fwlink/?linkid=870924
Comment:
    Mean density 2011-2020</t>
      </text>
    </comment>
    <comment ref="J23" authorId="2" shapeId="0" xr:uid="{63463FB1-E219-4869-A1D1-AADF965B55DE}">
      <text>
        <t>[Threaded comment]
Your version of Excel allows you to read this threaded comment; however, any edits to it will get removed if the file is opened in a newer version of Excel. Learn more: https://go.microsoft.com/fwlink/?linkid=870924
Comment:
    This was revised based on our finding in spring of 2024 - where it appears that the pit in fall of 2023 did not go all the way to the 2022 ss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cmcneil</author>
  </authors>
  <commentList>
    <comment ref="A4" authorId="0" shapeId="0" xr:uid="{00000000-0006-0000-0500-000001000000}">
      <text>
        <r>
          <rPr>
            <b/>
            <sz val="9"/>
            <color indexed="81"/>
            <rFont val="Tahoma"/>
            <family val="2"/>
          </rPr>
          <t>cmcneil:</t>
        </r>
        <r>
          <rPr>
            <sz val="9"/>
            <color indexed="81"/>
            <rFont val="Tahoma"/>
            <family val="2"/>
          </rPr>
          <t xml:space="preserve">
Date of site visit</t>
        </r>
      </text>
    </comment>
    <comment ref="B4" authorId="0" shapeId="0" xr:uid="{00000000-0006-0000-0500-000002000000}">
      <text>
        <r>
          <rPr>
            <b/>
            <sz val="9"/>
            <color indexed="81"/>
            <rFont val="Tahoma"/>
            <family val="2"/>
          </rPr>
          <t>cmcneil:</t>
        </r>
        <r>
          <rPr>
            <sz val="9"/>
            <color indexed="81"/>
            <rFont val="Tahoma"/>
            <family val="2"/>
          </rPr>
          <t xml:space="preserve">
Notebook field data can be found in</t>
        </r>
      </text>
    </comment>
    <comment ref="C4" authorId="0" shapeId="0" xr:uid="{00000000-0006-0000-0500-000003000000}">
      <text>
        <r>
          <rPr>
            <b/>
            <sz val="9"/>
            <color indexed="81"/>
            <rFont val="Tahoma"/>
            <family val="2"/>
          </rPr>
          <t>cmcneil:</t>
        </r>
        <r>
          <rPr>
            <sz val="9"/>
            <color indexed="81"/>
            <rFont val="Tahoma"/>
            <family val="2"/>
          </rPr>
          <t xml:space="preserve">
Name of the stake, eg. 17AU</t>
        </r>
      </text>
    </comment>
    <comment ref="D4" authorId="0" shapeId="0" xr:uid="{00000000-0006-0000-0500-000004000000}">
      <text>
        <r>
          <rPr>
            <b/>
            <sz val="9"/>
            <color indexed="81"/>
            <rFont val="Tahoma"/>
            <family val="2"/>
          </rPr>
          <t>cmcneil:</t>
        </r>
        <r>
          <rPr>
            <sz val="9"/>
            <color indexed="81"/>
            <rFont val="Tahoma"/>
            <family val="2"/>
          </rPr>
          <t xml:space="preserve">
What the surface was during the site visit. Example: Snow, Firn, or Ice</t>
        </r>
      </text>
    </comment>
    <comment ref="E4" authorId="0" shapeId="0" xr:uid="{00000000-0006-0000-0500-000005000000}">
      <text>
        <r>
          <rPr>
            <b/>
            <sz val="9"/>
            <color indexed="81"/>
            <rFont val="Tahoma"/>
            <family val="2"/>
          </rPr>
          <t>cmcneil:</t>
        </r>
        <r>
          <rPr>
            <sz val="9"/>
            <color indexed="81"/>
            <rFont val="Tahoma"/>
            <family val="2"/>
          </rPr>
          <t xml:space="preserve">
Total length of stake</t>
        </r>
      </text>
    </comment>
    <comment ref="F4" authorId="0" shapeId="0" xr:uid="{00000000-0006-0000-0500-000006000000}">
      <text>
        <r>
          <rPr>
            <b/>
            <sz val="9"/>
            <color indexed="81"/>
            <rFont val="Tahoma"/>
            <family val="2"/>
          </rPr>
          <t>cmcneil:</t>
        </r>
        <r>
          <rPr>
            <sz val="9"/>
            <color indexed="81"/>
            <rFont val="Tahoma"/>
            <family val="2"/>
          </rPr>
          <t xml:space="preserve">
Length of stake above the surface noted in column D</t>
        </r>
      </text>
    </comment>
    <comment ref="G4" authorId="0" shapeId="0" xr:uid="{00000000-0006-0000-0500-000007000000}">
      <text>
        <r>
          <rPr>
            <b/>
            <sz val="9"/>
            <color indexed="81"/>
            <rFont val="Tahoma"/>
            <family val="2"/>
          </rPr>
          <t>cmcneil:</t>
        </r>
        <r>
          <rPr>
            <sz val="9"/>
            <color indexed="81"/>
            <rFont val="Tahoma"/>
            <family val="2"/>
          </rPr>
          <t xml:space="preserve">
Length of stake still below the surface noted in column D</t>
        </r>
      </text>
    </comment>
    <comment ref="H4" authorId="0" shapeId="0" xr:uid="{00000000-0006-0000-0500-000008000000}">
      <text>
        <r>
          <rPr>
            <b/>
            <sz val="9"/>
            <color indexed="81"/>
            <rFont val="Tahoma"/>
            <family val="2"/>
          </rPr>
          <t>cmcneil:</t>
        </r>
        <r>
          <rPr>
            <sz val="9"/>
            <color indexed="81"/>
            <rFont val="Tahoma"/>
            <family val="2"/>
          </rPr>
          <t xml:space="preserve">
Change in stake since previous site visits</t>
        </r>
      </text>
    </comment>
    <comment ref="I4" authorId="0" shapeId="0" xr:uid="{00000000-0006-0000-0500-000009000000}">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4" authorId="0" shapeId="0" xr:uid="{00000000-0006-0000-0500-00000A000000}">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4" authorId="0" shapeId="0" xr:uid="{00000000-0006-0000-0500-00000B000000}">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4" authorId="0" shapeId="0" xr:uid="{00000000-0006-0000-0500-00000C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4" authorId="0" shapeId="0" xr:uid="{00000000-0006-0000-0500-00000D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4" authorId="0" shapeId="0" xr:uid="{00000000-0006-0000-0500-00000E000000}">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4" authorId="0" shapeId="0" xr:uid="{00000000-0006-0000-0500-00000F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4" authorId="0" shapeId="0" xr:uid="{00000000-0006-0000-0500-000010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4" authorId="0" shapeId="0" xr:uid="{00000000-0006-0000-0500-000011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4" authorId="0" shapeId="0" xr:uid="{00000000-0006-0000-0500-000012000000}">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4" authorId="0" shapeId="0" xr:uid="{00000000-0006-0000-0500-000013000000}">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4" authorId="0" shapeId="0" xr:uid="{00000000-0006-0000-0500-000014000000}">
      <text>
        <r>
          <rPr>
            <b/>
            <sz val="9"/>
            <color indexed="81"/>
            <rFont val="Tahoma"/>
            <family val="2"/>
          </rPr>
          <t>cmcneil:</t>
        </r>
        <r>
          <rPr>
            <sz val="9"/>
            <color indexed="81"/>
            <rFont val="Tahoma"/>
            <family val="2"/>
          </rPr>
          <t xml:space="preserve">
UTM easting of stake measured with GPS</t>
        </r>
      </text>
    </comment>
    <comment ref="U4" authorId="0" shapeId="0" xr:uid="{00000000-0006-0000-0500-000015000000}">
      <text>
        <r>
          <rPr>
            <b/>
            <sz val="9"/>
            <color indexed="81"/>
            <rFont val="Tahoma"/>
            <family val="2"/>
          </rPr>
          <t>cmcneil:</t>
        </r>
        <r>
          <rPr>
            <sz val="9"/>
            <color indexed="81"/>
            <rFont val="Tahoma"/>
            <family val="2"/>
          </rPr>
          <t xml:space="preserve">
UTM Northing of stake measured with GPS</t>
        </r>
      </text>
    </comment>
    <comment ref="V4" authorId="0" shapeId="0" xr:uid="{00000000-0006-0000-0500-000016000000}">
      <text>
        <r>
          <rPr>
            <b/>
            <sz val="9"/>
            <color indexed="81"/>
            <rFont val="Tahoma"/>
            <family val="2"/>
          </rPr>
          <t>cmcneil:</t>
        </r>
        <r>
          <rPr>
            <sz val="9"/>
            <color indexed="81"/>
            <rFont val="Tahoma"/>
            <family val="2"/>
          </rPr>
          <t xml:space="preserve">
Elevation of stake measured with GPS as height above ellipsoid</t>
        </r>
      </text>
    </comment>
    <comment ref="W4" authorId="0" shapeId="0" xr:uid="{00000000-0006-0000-0500-000017000000}">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cmcneil</author>
    <author>tc={FBC39322-062A-46BA-B9A9-AF797EF58F46}</author>
    <author>tc={FEAA4210-066D-408B-8675-489929D4AF23}</author>
  </authors>
  <commentList>
    <comment ref="A4" authorId="0" shapeId="0" xr:uid="{00000000-0006-0000-0600-000001000000}">
      <text>
        <r>
          <rPr>
            <b/>
            <sz val="9"/>
            <color indexed="81"/>
            <rFont val="Tahoma"/>
            <family val="2"/>
          </rPr>
          <t>cmcneil:</t>
        </r>
        <r>
          <rPr>
            <sz val="9"/>
            <color indexed="81"/>
            <rFont val="Tahoma"/>
            <family val="2"/>
          </rPr>
          <t xml:space="preserve">
Date of site visit</t>
        </r>
      </text>
    </comment>
    <comment ref="B4" authorId="0" shapeId="0" xr:uid="{00000000-0006-0000-0600-000002000000}">
      <text>
        <r>
          <rPr>
            <b/>
            <sz val="9"/>
            <color indexed="81"/>
            <rFont val="Tahoma"/>
            <family val="2"/>
          </rPr>
          <t>cmcneil:</t>
        </r>
        <r>
          <rPr>
            <sz val="9"/>
            <color indexed="81"/>
            <rFont val="Tahoma"/>
            <family val="2"/>
          </rPr>
          <t xml:space="preserve">
Notebook field data can be found in</t>
        </r>
      </text>
    </comment>
    <comment ref="C4" authorId="0" shapeId="0" xr:uid="{00000000-0006-0000-0600-000003000000}">
      <text>
        <r>
          <rPr>
            <b/>
            <sz val="9"/>
            <color indexed="81"/>
            <rFont val="Tahoma"/>
            <family val="2"/>
          </rPr>
          <t>cmcneil:</t>
        </r>
        <r>
          <rPr>
            <sz val="9"/>
            <color indexed="81"/>
            <rFont val="Tahoma"/>
            <family val="2"/>
          </rPr>
          <t xml:space="preserve">
Name of the stake, eg. 17AU</t>
        </r>
      </text>
    </comment>
    <comment ref="D4" authorId="0" shapeId="0" xr:uid="{00000000-0006-0000-0600-000004000000}">
      <text>
        <r>
          <rPr>
            <b/>
            <sz val="9"/>
            <color indexed="81"/>
            <rFont val="Tahoma"/>
            <family val="2"/>
          </rPr>
          <t>cmcneil:</t>
        </r>
        <r>
          <rPr>
            <sz val="9"/>
            <color indexed="81"/>
            <rFont val="Tahoma"/>
            <family val="2"/>
          </rPr>
          <t xml:space="preserve">
What the surface was during the site visit. Example: Snow, Firn, or Ice</t>
        </r>
      </text>
    </comment>
    <comment ref="E4" authorId="0" shapeId="0" xr:uid="{00000000-0006-0000-0600-000005000000}">
      <text>
        <r>
          <rPr>
            <b/>
            <sz val="9"/>
            <color indexed="81"/>
            <rFont val="Tahoma"/>
            <family val="2"/>
          </rPr>
          <t>cmcneil:</t>
        </r>
        <r>
          <rPr>
            <sz val="9"/>
            <color indexed="81"/>
            <rFont val="Tahoma"/>
            <family val="2"/>
          </rPr>
          <t xml:space="preserve">
Total length of stake</t>
        </r>
      </text>
    </comment>
    <comment ref="F4" authorId="0" shapeId="0" xr:uid="{00000000-0006-0000-0600-000006000000}">
      <text>
        <r>
          <rPr>
            <b/>
            <sz val="9"/>
            <color indexed="81"/>
            <rFont val="Tahoma"/>
            <family val="2"/>
          </rPr>
          <t>cmcneil:</t>
        </r>
        <r>
          <rPr>
            <sz val="9"/>
            <color indexed="81"/>
            <rFont val="Tahoma"/>
            <family val="2"/>
          </rPr>
          <t xml:space="preserve">
Length of stake above the surface noted in column D</t>
        </r>
      </text>
    </comment>
    <comment ref="G4" authorId="0" shapeId="0" xr:uid="{00000000-0006-0000-0600-000007000000}">
      <text>
        <r>
          <rPr>
            <b/>
            <sz val="9"/>
            <color indexed="81"/>
            <rFont val="Tahoma"/>
            <family val="2"/>
          </rPr>
          <t>cmcneil:</t>
        </r>
        <r>
          <rPr>
            <sz val="9"/>
            <color indexed="81"/>
            <rFont val="Tahoma"/>
            <family val="2"/>
          </rPr>
          <t xml:space="preserve">
Length of stake still below the surface noted in column D</t>
        </r>
      </text>
    </comment>
    <comment ref="H4" authorId="0" shapeId="0" xr:uid="{00000000-0006-0000-0600-000008000000}">
      <text>
        <r>
          <rPr>
            <b/>
            <sz val="9"/>
            <color indexed="81"/>
            <rFont val="Tahoma"/>
            <family val="2"/>
          </rPr>
          <t>cmcneil:</t>
        </r>
        <r>
          <rPr>
            <sz val="9"/>
            <color indexed="81"/>
            <rFont val="Tahoma"/>
            <family val="2"/>
          </rPr>
          <t xml:space="preserve">
Change in stake since previous site visits</t>
        </r>
      </text>
    </comment>
    <comment ref="I4" authorId="0" shapeId="0" xr:uid="{00000000-0006-0000-0600-000009000000}">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4" authorId="0" shapeId="0" xr:uid="{00000000-0006-0000-0600-00000A000000}">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4" authorId="0" shapeId="0" xr:uid="{00000000-0006-0000-0600-00000B000000}">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4" authorId="0" shapeId="0" xr:uid="{00000000-0006-0000-0600-00000C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4" authorId="0" shapeId="0" xr:uid="{00000000-0006-0000-0600-00000D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4" authorId="0" shapeId="0" xr:uid="{00000000-0006-0000-0600-00000E000000}">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4" authorId="0" shapeId="0" xr:uid="{00000000-0006-0000-0600-00000F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4" authorId="0" shapeId="0" xr:uid="{00000000-0006-0000-0600-000010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4" authorId="0" shapeId="0" xr:uid="{00000000-0006-0000-0600-000011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4" authorId="0" shapeId="0" xr:uid="{00000000-0006-0000-0600-000012000000}">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4" authorId="0" shapeId="0" xr:uid="{00000000-0006-0000-0600-000013000000}">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4" authorId="0" shapeId="0" xr:uid="{00000000-0006-0000-0600-000014000000}">
      <text>
        <r>
          <rPr>
            <b/>
            <sz val="9"/>
            <color indexed="81"/>
            <rFont val="Tahoma"/>
            <family val="2"/>
          </rPr>
          <t>cmcneil:</t>
        </r>
        <r>
          <rPr>
            <sz val="9"/>
            <color indexed="81"/>
            <rFont val="Tahoma"/>
            <family val="2"/>
          </rPr>
          <t xml:space="preserve">
UTM easting of stake measured with GPS</t>
        </r>
      </text>
    </comment>
    <comment ref="U4" authorId="0" shapeId="0" xr:uid="{00000000-0006-0000-0600-000015000000}">
      <text>
        <r>
          <rPr>
            <b/>
            <sz val="9"/>
            <color indexed="81"/>
            <rFont val="Tahoma"/>
            <family val="2"/>
          </rPr>
          <t>cmcneil:</t>
        </r>
        <r>
          <rPr>
            <sz val="9"/>
            <color indexed="81"/>
            <rFont val="Tahoma"/>
            <family val="2"/>
          </rPr>
          <t xml:space="preserve">
UTM Northing of stake measured with GPS</t>
        </r>
      </text>
    </comment>
    <comment ref="V4" authorId="0" shapeId="0" xr:uid="{00000000-0006-0000-0600-000016000000}">
      <text>
        <r>
          <rPr>
            <b/>
            <sz val="9"/>
            <color indexed="81"/>
            <rFont val="Tahoma"/>
            <family val="2"/>
          </rPr>
          <t>cmcneil:</t>
        </r>
        <r>
          <rPr>
            <sz val="9"/>
            <color indexed="81"/>
            <rFont val="Tahoma"/>
            <family val="2"/>
          </rPr>
          <t xml:space="preserve">
Elevation of stake measured with GPS as height above ellipsoid</t>
        </r>
      </text>
    </comment>
    <comment ref="W4" authorId="0" shapeId="0" xr:uid="{00000000-0006-0000-0600-000017000000}">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 ref="I18" authorId="1" shapeId="0" xr:uid="{FBC39322-062A-46BA-B9A9-AF797EF58F46}">
      <text>
        <t>[Threaded comment]
Your version of Excel allows you to read this threaded comment; however, any edits to it will get removed if the file is opened in a newer version of Excel. Learn more: https://go.microsoft.com/fwlink/?linkid=870924
Comment:
    While new snow was present at this site, it was highly variable and mostly only existent in local depressions in the ice. The regional surface aroudn the stake was ice, while the depression imediately surround the stake had 6cm on new snow in it.</t>
      </text>
    </comment>
    <comment ref="I28" authorId="2" shapeId="0" xr:uid="{FEAA4210-066D-408B-8675-489929D4AF23}">
      <text>
        <t>[Threaded comment]
Your version of Excel allows you to read this threaded comment; however, any edits to it will get removed if the file is opened in a newer version of Excel. Learn more: https://go.microsoft.com/fwlink/?linkid=870924
Comment:
    While new snow was present at this site, it was highly variable and mostly only existent in local depressions in the ice. The regional surface aroudn the stake was ice, while the depression imediately surround the stake had 9cm on new snow in it.</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cmcneil</author>
  </authors>
  <commentList>
    <comment ref="A4" authorId="0" shapeId="0" xr:uid="{4DEF853B-9467-49E6-B873-664526ED2C67}">
      <text>
        <r>
          <rPr>
            <b/>
            <sz val="9"/>
            <color indexed="81"/>
            <rFont val="Tahoma"/>
            <family val="2"/>
          </rPr>
          <t>cmcneil:</t>
        </r>
        <r>
          <rPr>
            <sz val="9"/>
            <color indexed="81"/>
            <rFont val="Tahoma"/>
            <family val="2"/>
          </rPr>
          <t xml:space="preserve">
Date of site visit</t>
        </r>
      </text>
    </comment>
    <comment ref="B4" authorId="0" shapeId="0" xr:uid="{2143FEB7-EC8B-4D2C-94C5-ECFCFCEC301D}">
      <text>
        <r>
          <rPr>
            <b/>
            <sz val="9"/>
            <color indexed="81"/>
            <rFont val="Tahoma"/>
            <family val="2"/>
          </rPr>
          <t>cmcneil:</t>
        </r>
        <r>
          <rPr>
            <sz val="9"/>
            <color indexed="81"/>
            <rFont val="Tahoma"/>
            <family val="2"/>
          </rPr>
          <t xml:space="preserve">
Notebook field data can be found in</t>
        </r>
      </text>
    </comment>
    <comment ref="C4" authorId="0" shapeId="0" xr:uid="{C611B6F3-490A-40D9-AEC0-CF03AE2D9A7C}">
      <text>
        <r>
          <rPr>
            <b/>
            <sz val="9"/>
            <color indexed="81"/>
            <rFont val="Tahoma"/>
            <family val="2"/>
          </rPr>
          <t>cmcneil:</t>
        </r>
        <r>
          <rPr>
            <sz val="9"/>
            <color indexed="81"/>
            <rFont val="Tahoma"/>
            <family val="2"/>
          </rPr>
          <t xml:space="preserve">
Name of the stake, eg. 17AU</t>
        </r>
      </text>
    </comment>
    <comment ref="D4" authorId="0" shapeId="0" xr:uid="{92026FDD-1CB6-4F10-B837-EE96E286977A}">
      <text>
        <r>
          <rPr>
            <b/>
            <sz val="9"/>
            <color indexed="81"/>
            <rFont val="Tahoma"/>
            <family val="2"/>
          </rPr>
          <t>cmcneil:</t>
        </r>
        <r>
          <rPr>
            <sz val="9"/>
            <color indexed="81"/>
            <rFont val="Tahoma"/>
            <family val="2"/>
          </rPr>
          <t xml:space="preserve">
What the surface was during the site visit. Example: Snow, Firn, or Ice</t>
        </r>
      </text>
    </comment>
    <comment ref="E4" authorId="0" shapeId="0" xr:uid="{564A3A88-F776-4409-88BB-AAEDF13F049E}">
      <text>
        <r>
          <rPr>
            <b/>
            <sz val="9"/>
            <color indexed="81"/>
            <rFont val="Tahoma"/>
            <family val="2"/>
          </rPr>
          <t>cmcneil:</t>
        </r>
        <r>
          <rPr>
            <sz val="9"/>
            <color indexed="81"/>
            <rFont val="Tahoma"/>
            <family val="2"/>
          </rPr>
          <t xml:space="preserve">
Total length of stake</t>
        </r>
      </text>
    </comment>
    <comment ref="F4" authorId="0" shapeId="0" xr:uid="{A39A7294-B5A2-4F30-A7A4-C98701E1F1F2}">
      <text>
        <r>
          <rPr>
            <b/>
            <sz val="9"/>
            <color indexed="81"/>
            <rFont val="Tahoma"/>
            <family val="2"/>
          </rPr>
          <t>cmcneil:</t>
        </r>
        <r>
          <rPr>
            <sz val="9"/>
            <color indexed="81"/>
            <rFont val="Tahoma"/>
            <family val="2"/>
          </rPr>
          <t xml:space="preserve">
Length of stake above the surface noted in column D</t>
        </r>
      </text>
    </comment>
    <comment ref="G4" authorId="0" shapeId="0" xr:uid="{DB0786AB-A8F6-4C93-889D-F12F21E0EC3E}">
      <text>
        <r>
          <rPr>
            <b/>
            <sz val="9"/>
            <color indexed="81"/>
            <rFont val="Tahoma"/>
            <family val="2"/>
          </rPr>
          <t>cmcneil:</t>
        </r>
        <r>
          <rPr>
            <sz val="9"/>
            <color indexed="81"/>
            <rFont val="Tahoma"/>
            <family val="2"/>
          </rPr>
          <t xml:space="preserve">
Length of stake still below the surface noted in column D</t>
        </r>
      </text>
    </comment>
    <comment ref="H4" authorId="0" shapeId="0" xr:uid="{496B4E9A-4B9C-46B5-9E90-5C24E7C55F76}">
      <text>
        <r>
          <rPr>
            <b/>
            <sz val="9"/>
            <color indexed="81"/>
            <rFont val="Tahoma"/>
            <family val="2"/>
          </rPr>
          <t>cmcneil:</t>
        </r>
        <r>
          <rPr>
            <sz val="9"/>
            <color indexed="81"/>
            <rFont val="Tahoma"/>
            <family val="2"/>
          </rPr>
          <t xml:space="preserve">
Change in stake since previous site visits</t>
        </r>
      </text>
    </comment>
    <comment ref="I4" authorId="0" shapeId="0" xr:uid="{398D6057-B714-4BC8-8A09-D8528F671955}">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4" authorId="0" shapeId="0" xr:uid="{96A4C45F-A684-45CD-95E6-310FA8DA60CD}">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4" authorId="0" shapeId="0" xr:uid="{889A40ED-013B-4AF6-B9F9-68B00E9C527E}">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4" authorId="0" shapeId="0" xr:uid="{29D4F19E-F55C-4627-AB9F-BB6DF6199734}">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4" authorId="0" shapeId="0" xr:uid="{A723BFD3-C3DB-4E17-9FEB-E26E6C12DE61}">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4" authorId="0" shapeId="0" xr:uid="{2A67F560-CEB2-49F2-ADE6-197898978550}">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4" authorId="0" shapeId="0" xr:uid="{970754A6-647D-43E0-B60D-3EC1443E9ECA}">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4" authorId="0" shapeId="0" xr:uid="{8E82E3EF-2ACD-4EC7-940A-B964D63520BC}">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4" authorId="0" shapeId="0" xr:uid="{86A50298-B591-428A-B41F-ED6225686A84}">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4" authorId="0" shapeId="0" xr:uid="{3BA789B6-9C33-4EAC-9553-06493244F9D0}">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4" authorId="0" shapeId="0" xr:uid="{484CB3A9-BAD2-4DC4-A620-ECEC67D0810C}">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4" authorId="0" shapeId="0" xr:uid="{C8376119-B3A2-409C-9B17-E526E827CB12}">
      <text>
        <r>
          <rPr>
            <b/>
            <sz val="9"/>
            <color indexed="81"/>
            <rFont val="Tahoma"/>
            <family val="2"/>
          </rPr>
          <t>cmcneil:</t>
        </r>
        <r>
          <rPr>
            <sz val="9"/>
            <color indexed="81"/>
            <rFont val="Tahoma"/>
            <family val="2"/>
          </rPr>
          <t xml:space="preserve">
UTM easting of stake measured with GPS</t>
        </r>
      </text>
    </comment>
    <comment ref="U4" authorId="0" shapeId="0" xr:uid="{3718DA98-B926-436C-BE17-6C347A7201C8}">
      <text>
        <r>
          <rPr>
            <b/>
            <sz val="9"/>
            <color indexed="81"/>
            <rFont val="Tahoma"/>
            <family val="2"/>
          </rPr>
          <t>cmcneil:</t>
        </r>
        <r>
          <rPr>
            <sz val="9"/>
            <color indexed="81"/>
            <rFont val="Tahoma"/>
            <family val="2"/>
          </rPr>
          <t xml:space="preserve">
UTM Northing of stake measured with GPS</t>
        </r>
      </text>
    </comment>
    <comment ref="V4" authorId="0" shapeId="0" xr:uid="{845544DF-341C-48D2-A653-1270C52C6CD9}">
      <text>
        <r>
          <rPr>
            <b/>
            <sz val="9"/>
            <color indexed="81"/>
            <rFont val="Tahoma"/>
            <family val="2"/>
          </rPr>
          <t>cmcneil:</t>
        </r>
        <r>
          <rPr>
            <sz val="9"/>
            <color indexed="81"/>
            <rFont val="Tahoma"/>
            <family val="2"/>
          </rPr>
          <t xml:space="preserve">
Elevation of stake measured with GPS as height above ellipsoid</t>
        </r>
      </text>
    </comment>
    <comment ref="W4" authorId="0" shapeId="0" xr:uid="{95E0FE56-6D23-4847-9246-AF93D5039F73}">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Baker, Emily Hewitt</author>
  </authors>
  <commentList>
    <comment ref="H1" authorId="0" shapeId="0" xr:uid="{00000000-0006-0000-0300-000001000000}">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00000000-0006-0000-0300-000002000000}">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00000000-0006-0000-0300-000003000000}">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00000000-0006-0000-0300-000004000000}">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00000000-0006-0000-0300-000005000000}">
      <text>
        <r>
          <rPr>
            <sz val="8"/>
            <color indexed="81"/>
            <rFont val="Tahoma"/>
            <family val="2"/>
          </rPr>
          <t xml:space="preserve">Sipre coring auger=45.6cm2 
large tube 41.05 cm2       
small tube 25.6   cm2          
Snow Metrics 1000 cm^3
</t>
        </r>
      </text>
    </comment>
    <comment ref="D9" authorId="0" shapeId="0" xr:uid="{00000000-0006-0000-0300-000006000000}">
      <text>
        <r>
          <rPr>
            <b/>
            <sz val="9"/>
            <color indexed="81"/>
            <rFont val="Tahoma"/>
            <family val="2"/>
          </rPr>
          <t>cmcneil:</t>
        </r>
        <r>
          <rPr>
            <sz val="9"/>
            <color indexed="81"/>
            <rFont val="Tahoma"/>
            <family val="2"/>
          </rPr>
          <t xml:space="preserve">
Measurements of core lengths.</t>
        </r>
      </text>
    </comment>
    <comment ref="H9" authorId="0" shapeId="0" xr:uid="{00000000-0006-0000-0300-000007000000}">
      <text>
        <r>
          <rPr>
            <b/>
            <sz val="9"/>
            <color indexed="81"/>
            <rFont val="Tahoma"/>
            <family val="2"/>
          </rPr>
          <t>cmcneil:</t>
        </r>
        <r>
          <rPr>
            <sz val="9"/>
            <color indexed="81"/>
            <rFont val="Tahoma"/>
            <family val="2"/>
          </rPr>
          <t xml:space="preserve">
Measurements of core diameter</t>
        </r>
      </text>
    </comment>
    <comment ref="A10" authorId="0" shapeId="0" xr:uid="{00000000-0006-0000-0300-000008000000}">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00000000-0006-0000-0300-000009000000}">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00000000-0006-0000-0300-00000A000000}">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G10" authorId="0" shapeId="0" xr:uid="{00000000-0006-0000-0300-00000B000000}">
      <text>
        <r>
          <rPr>
            <b/>
            <sz val="9"/>
            <color indexed="81"/>
            <rFont val="Tahoma"/>
            <family val="2"/>
          </rPr>
          <t>cmcneil:</t>
        </r>
        <r>
          <rPr>
            <sz val="9"/>
            <color indexed="81"/>
            <rFont val="Tahoma"/>
            <family val="2"/>
          </rPr>
          <t xml:space="preserve">
Average of all measured lengths of core section</t>
        </r>
      </text>
    </comment>
    <comment ref="L10" authorId="0" shapeId="0" xr:uid="{00000000-0006-0000-0300-00000C000000}">
      <text>
        <r>
          <rPr>
            <b/>
            <sz val="9"/>
            <color indexed="81"/>
            <rFont val="Tahoma"/>
            <family val="2"/>
          </rPr>
          <t>cmcneil:</t>
        </r>
        <r>
          <rPr>
            <sz val="9"/>
            <color indexed="81"/>
            <rFont val="Tahoma"/>
            <family val="2"/>
          </rPr>
          <t xml:space="preserve">
Average of all diameters measured for each core section</t>
        </r>
      </text>
    </comment>
    <comment ref="M10" authorId="0" shapeId="0" xr:uid="{00000000-0006-0000-0300-00000D000000}">
      <text>
        <r>
          <rPr>
            <b/>
            <sz val="9"/>
            <color indexed="81"/>
            <rFont val="Tahoma"/>
            <family val="2"/>
          </rPr>
          <t>cmcneil:</t>
        </r>
        <r>
          <rPr>
            <sz val="9"/>
            <color indexed="81"/>
            <rFont val="Tahoma"/>
            <family val="2"/>
          </rPr>
          <t xml:space="preserve">
Volume of sample taken</t>
        </r>
      </text>
    </comment>
    <comment ref="N10" authorId="0" shapeId="0" xr:uid="{00000000-0006-0000-0300-00000E000000}">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O10" authorId="0" shapeId="0" xr:uid="{00000000-0006-0000-0300-00000F000000}">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P10" authorId="0" shapeId="0" xr:uid="{00000000-0006-0000-0300-000010000000}">
      <text>
        <r>
          <rPr>
            <b/>
            <sz val="9"/>
            <color indexed="81"/>
            <rFont val="Tahoma"/>
            <family val="2"/>
          </rPr>
          <t>cmcneil:</t>
        </r>
        <r>
          <rPr>
            <sz val="9"/>
            <color indexed="81"/>
            <rFont val="Tahoma"/>
            <family val="2"/>
          </rPr>
          <t xml:space="preserve">
Density of sample. Calculated from the mass/volume</t>
        </r>
      </text>
    </comment>
    <comment ref="Q10" authorId="0" shapeId="0" xr:uid="{00000000-0006-0000-0300-000011000000}">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R10" authorId="0" shapeId="0" xr:uid="{00000000-0006-0000-0300-000012000000}">
      <text>
        <r>
          <rPr>
            <b/>
            <sz val="9"/>
            <color indexed="81"/>
            <rFont val="Tahoma"/>
            <family val="2"/>
          </rPr>
          <t>cmcneil:</t>
        </r>
        <r>
          <rPr>
            <sz val="9"/>
            <color indexed="81"/>
            <rFont val="Tahoma"/>
            <family val="2"/>
          </rPr>
          <t xml:space="preserve">
Cummulative s.w.e. of from surface to the depth of each sample</t>
        </r>
      </text>
    </comment>
    <comment ref="S10" authorId="0" shapeId="0" xr:uid="{00000000-0006-0000-0300-000013000000}">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T10" authorId="0" shapeId="0" xr:uid="{00000000-0006-0000-0300-000014000000}">
      <text>
        <r>
          <rPr>
            <b/>
            <sz val="9"/>
            <color indexed="81"/>
            <rFont val="Tahoma"/>
            <family val="2"/>
          </rPr>
          <t>cmcneil:</t>
        </r>
        <r>
          <rPr>
            <sz val="9"/>
            <color indexed="81"/>
            <rFont val="Tahoma"/>
            <family val="2"/>
          </rPr>
          <t xml:space="preserve">
Any observation about a given sample. Cutting dog bites, dirty layers, ice lenses, etc...</t>
        </r>
      </text>
    </comment>
    <comment ref="U10" authorId="0" shapeId="0" xr:uid="{00000000-0006-0000-0300-000015000000}">
      <text>
        <r>
          <rPr>
            <b/>
            <sz val="9"/>
            <color indexed="81"/>
            <rFont val="Tahoma"/>
            <family val="2"/>
          </rPr>
          <t>cmcneil:</t>
        </r>
        <r>
          <rPr>
            <sz val="9"/>
            <color indexed="81"/>
            <rFont val="Tahoma"/>
            <family val="2"/>
          </rPr>
          <t xml:space="preserve">
What was used to measure snow depth</t>
        </r>
      </text>
    </comment>
    <comment ref="V10" authorId="0" shapeId="0" xr:uid="{00000000-0006-0000-0300-000016000000}">
      <text>
        <r>
          <rPr>
            <b/>
            <sz val="9"/>
            <color indexed="81"/>
            <rFont val="Tahoma"/>
            <family val="2"/>
          </rPr>
          <t>cmcneil:</t>
        </r>
        <r>
          <rPr>
            <sz val="9"/>
            <color indexed="81"/>
            <rFont val="Tahoma"/>
            <family val="2"/>
          </rPr>
          <t xml:space="preserve">
snow depth observed</t>
        </r>
      </text>
    </comment>
    <comment ref="C27" authorId="2" shapeId="0" xr:uid="{CD433E43-2890-4062-9884-460B8517D0A2}">
      <text>
        <r>
          <rPr>
            <b/>
            <sz val="9"/>
            <color indexed="81"/>
            <rFont val="Tahoma"/>
            <family val="2"/>
          </rPr>
          <t>Baker, Emily Hewitt:</t>
        </r>
        <r>
          <rPr>
            <sz val="9"/>
            <color indexed="81"/>
            <rFont val="Tahoma"/>
            <family val="2"/>
          </rPr>
          <t xml:space="preserve">
Depths in field were recorded relative to depth of CORE surface, not snow surface. SO, this means 80cm (depth of snow above coring surface) must be added to field-measured SBD. Usually, this is done in field notes.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00000000-0006-0000-0200-000001000000}">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00000000-0006-0000-0200-000002000000}">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00000000-0006-0000-0200-000003000000}">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00000000-0006-0000-0200-000004000000}">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00000000-0006-0000-0200-000005000000}">
      <text>
        <r>
          <rPr>
            <sz val="8"/>
            <color indexed="81"/>
            <rFont val="Tahoma"/>
            <family val="2"/>
          </rPr>
          <t xml:space="preserve">Sipre coring auger=45.6cm2 
large tube 41.05 cm2       
small tube 25.6   cm2          
Snow Metrics 1000 cm^3
</t>
        </r>
      </text>
    </comment>
    <comment ref="A10" authorId="0" shapeId="0" xr:uid="{00000000-0006-0000-0200-000006000000}">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00000000-0006-0000-0200-000007000000}">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00000000-0006-0000-0200-000008000000}">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D10" authorId="0" shapeId="0" xr:uid="{00000000-0006-0000-0200-000009000000}">
      <text>
        <r>
          <rPr>
            <b/>
            <sz val="9"/>
            <color indexed="81"/>
            <rFont val="Tahoma"/>
            <family val="2"/>
          </rPr>
          <t>cmcneil:</t>
        </r>
        <r>
          <rPr>
            <sz val="9"/>
            <color indexed="81"/>
            <rFont val="Tahoma"/>
            <family val="2"/>
          </rPr>
          <t xml:space="preserve">
Volume of sample taken</t>
        </r>
      </text>
    </comment>
    <comment ref="E10" authorId="0" shapeId="0" xr:uid="{00000000-0006-0000-0200-00000A000000}">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F10" authorId="0" shapeId="0" xr:uid="{00000000-0006-0000-0200-00000B000000}">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G10" authorId="0" shapeId="0" xr:uid="{00000000-0006-0000-0200-00000C000000}">
      <text>
        <r>
          <rPr>
            <b/>
            <sz val="9"/>
            <color indexed="81"/>
            <rFont val="Tahoma"/>
            <family val="2"/>
          </rPr>
          <t>cmcneil:</t>
        </r>
        <r>
          <rPr>
            <sz val="9"/>
            <color indexed="81"/>
            <rFont val="Tahoma"/>
            <family val="2"/>
          </rPr>
          <t xml:space="preserve">
Density of sample. Calculated from the mass/volume</t>
        </r>
      </text>
    </comment>
    <comment ref="H10" authorId="0" shapeId="0" xr:uid="{00000000-0006-0000-0200-00000D000000}">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I10" authorId="0" shapeId="0" xr:uid="{00000000-0006-0000-0200-00000E000000}">
      <text>
        <r>
          <rPr>
            <b/>
            <sz val="9"/>
            <color indexed="81"/>
            <rFont val="Tahoma"/>
            <family val="2"/>
          </rPr>
          <t>cmcneil:</t>
        </r>
        <r>
          <rPr>
            <sz val="9"/>
            <color indexed="81"/>
            <rFont val="Tahoma"/>
            <family val="2"/>
          </rPr>
          <t xml:space="preserve">
Cummulative s.w.e. of from surface to the depth of each sample</t>
        </r>
      </text>
    </comment>
    <comment ref="J10" authorId="0" shapeId="0" xr:uid="{00000000-0006-0000-0200-00000F000000}">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K10" authorId="0" shapeId="0" xr:uid="{00000000-0006-0000-0200-000010000000}">
      <text>
        <r>
          <rPr>
            <b/>
            <sz val="9"/>
            <color indexed="81"/>
            <rFont val="Tahoma"/>
            <family val="2"/>
          </rPr>
          <t>cmcneil:</t>
        </r>
        <r>
          <rPr>
            <sz val="9"/>
            <color indexed="81"/>
            <rFont val="Tahoma"/>
            <family val="2"/>
          </rPr>
          <t xml:space="preserve">
Any observation about a given sample. Cutting dog bites, dirty layers, ice lenses, etc...</t>
        </r>
      </text>
    </comment>
    <comment ref="L10" authorId="0" shapeId="0" xr:uid="{00000000-0006-0000-0200-000011000000}">
      <text>
        <r>
          <rPr>
            <b/>
            <sz val="9"/>
            <color indexed="81"/>
            <rFont val="Tahoma"/>
            <family val="2"/>
          </rPr>
          <t>cmcneil:</t>
        </r>
        <r>
          <rPr>
            <sz val="9"/>
            <color indexed="81"/>
            <rFont val="Tahoma"/>
            <family val="2"/>
          </rPr>
          <t xml:space="preserve">
What was used to measure snow depth</t>
        </r>
      </text>
    </comment>
    <comment ref="M10" authorId="0" shapeId="0" xr:uid="{00000000-0006-0000-0200-000012000000}">
      <text>
        <r>
          <rPr>
            <b/>
            <sz val="9"/>
            <color indexed="81"/>
            <rFont val="Tahoma"/>
            <family val="2"/>
          </rPr>
          <t>cmcneil:</t>
        </r>
        <r>
          <rPr>
            <sz val="9"/>
            <color indexed="81"/>
            <rFont val="Tahoma"/>
            <family val="2"/>
          </rPr>
          <t xml:space="preserve">
snow depth observed</t>
        </r>
      </text>
    </comment>
  </commentList>
</comments>
</file>

<file path=xl/sharedStrings.xml><?xml version="1.0" encoding="utf-8"?>
<sst xmlns="http://schemas.openxmlformats.org/spreadsheetml/2006/main" count="1291" uniqueCount="241">
  <si>
    <t>Elevation</t>
  </si>
  <si>
    <t>bw</t>
  </si>
  <si>
    <t>ba</t>
  </si>
  <si>
    <t>Winter Ablation</t>
  </si>
  <si>
    <t>Summer Accumulation</t>
  </si>
  <si>
    <t>AU</t>
  </si>
  <si>
    <t>AB</t>
  </si>
  <si>
    <t>B</t>
  </si>
  <si>
    <t>D</t>
  </si>
  <si>
    <t>T</t>
  </si>
  <si>
    <t>V</t>
  </si>
  <si>
    <t>Stake  Location</t>
  </si>
  <si>
    <t>UTM(WGS84)</t>
  </si>
  <si>
    <t>Stake Lengths</t>
  </si>
  <si>
    <t>Zone 6 North</t>
  </si>
  <si>
    <t>Date</t>
  </si>
  <si>
    <t>Notebook</t>
  </si>
  <si>
    <t>Stake Name</t>
  </si>
  <si>
    <t>Surface Type</t>
  </si>
  <si>
    <t>Total</t>
  </si>
  <si>
    <t>Above Surface</t>
  </si>
  <si>
    <t>Below Surface</t>
  </si>
  <si>
    <t>Length Change</t>
  </si>
  <si>
    <t>Stake Snow Depth</t>
  </si>
  <si>
    <t>Average Snow Depth</t>
  </si>
  <si>
    <t>Snow Density</t>
  </si>
  <si>
    <t>Height of Previous Summer Surface</t>
  </si>
  <si>
    <t>Average Height of Previous Summer Surface</t>
  </si>
  <si>
    <t>Firn Density</t>
  </si>
  <si>
    <r>
      <t>b</t>
    </r>
    <r>
      <rPr>
        <b/>
        <vertAlign val="subscript"/>
        <sz val="10"/>
        <color rgb="FF000000"/>
        <rFont val="Arial"/>
        <family val="2"/>
      </rPr>
      <t>s</t>
    </r>
  </si>
  <si>
    <r>
      <t>b</t>
    </r>
    <r>
      <rPr>
        <b/>
        <vertAlign val="subscript"/>
        <sz val="10"/>
        <color rgb="FF000000"/>
        <rFont val="Arial"/>
        <family val="2"/>
      </rPr>
      <t>w</t>
    </r>
  </si>
  <si>
    <r>
      <t>b</t>
    </r>
    <r>
      <rPr>
        <b/>
        <vertAlign val="subscript"/>
        <sz val="10"/>
        <color rgb="FF000000"/>
        <rFont val="Arial"/>
        <family val="2"/>
      </rPr>
      <t>a</t>
    </r>
  </si>
  <si>
    <t>Easting</t>
  </si>
  <si>
    <t>Northing</t>
  </si>
  <si>
    <t>Comments</t>
  </si>
  <si>
    <t>(mm/dd/yyyy)</t>
  </si>
  <si>
    <t>(meters)</t>
  </si>
  <si>
    <t>(g/cm^3)</t>
  </si>
  <si>
    <t>(m w.e.)</t>
  </si>
  <si>
    <t>18LS</t>
  </si>
  <si>
    <t>snow</t>
  </si>
  <si>
    <t>ice</t>
  </si>
  <si>
    <t>19CM</t>
  </si>
  <si>
    <t>20CM</t>
  </si>
  <si>
    <t>21EB</t>
  </si>
  <si>
    <t>20AU</t>
  </si>
  <si>
    <t>SUMMARY:</t>
  </si>
  <si>
    <t>Time-systems</t>
  </si>
  <si>
    <t>Time 1</t>
  </si>
  <si>
    <t>Time 2</t>
  </si>
  <si>
    <t>Time 3</t>
  </si>
  <si>
    <t>stratigraphic</t>
  </si>
  <si>
    <t xml:space="preserve">Measurement Interval: </t>
  </si>
  <si>
    <t>:</t>
  </si>
  <si>
    <t>Winter Balance =</t>
  </si>
  <si>
    <t>Summer Balance =</t>
  </si>
  <si>
    <t>Annual Balance =</t>
  </si>
  <si>
    <t>previous summer accumulation=</t>
  </si>
  <si>
    <t>Winter Ablation=</t>
  </si>
  <si>
    <t>Summer Accumulation=</t>
  </si>
  <si>
    <t>20EB</t>
  </si>
  <si>
    <t>20AB</t>
  </si>
  <si>
    <t>17CM</t>
  </si>
  <si>
    <t>new snow</t>
  </si>
  <si>
    <t>20B</t>
  </si>
  <si>
    <t>stake in small stream</t>
  </si>
  <si>
    <r>
      <t>b</t>
    </r>
    <r>
      <rPr>
        <b/>
        <vertAlign val="subscript"/>
        <sz val="10"/>
        <color rgb="FF000000"/>
        <rFont val="Segoe UI"/>
        <family val="2"/>
      </rPr>
      <t>s</t>
    </r>
  </si>
  <si>
    <r>
      <t>b</t>
    </r>
    <r>
      <rPr>
        <b/>
        <vertAlign val="subscript"/>
        <sz val="10"/>
        <color rgb="FF000000"/>
        <rFont val="Segoe UI"/>
        <family val="2"/>
      </rPr>
      <t>w</t>
    </r>
  </si>
  <si>
    <r>
      <t>b</t>
    </r>
    <r>
      <rPr>
        <b/>
        <vertAlign val="subscript"/>
        <sz val="10"/>
        <color rgb="FF000000"/>
        <rFont val="Segoe UI"/>
        <family val="2"/>
      </rPr>
      <t>a</t>
    </r>
  </si>
  <si>
    <t>16CM</t>
  </si>
  <si>
    <t>firn</t>
  </si>
  <si>
    <t>Firn (2018)</t>
  </si>
  <si>
    <t>20LS</t>
  </si>
  <si>
    <t>20D</t>
  </si>
  <si>
    <t>New Snow</t>
  </si>
  <si>
    <t>14LS</t>
  </si>
  <si>
    <t>not found</t>
  </si>
  <si>
    <t>old snow</t>
  </si>
  <si>
    <t>19EHB</t>
  </si>
  <si>
    <t>19T</t>
  </si>
  <si>
    <t>no measurements made</t>
  </si>
  <si>
    <t>20cm</t>
  </si>
  <si>
    <t>Not Found</t>
  </si>
  <si>
    <t>Bent, was dug out, straightened</t>
  </si>
  <si>
    <t>20T</t>
  </si>
  <si>
    <t>14DM</t>
  </si>
  <si>
    <t>14V</t>
  </si>
  <si>
    <t>14PVS</t>
  </si>
  <si>
    <t>16EW</t>
  </si>
  <si>
    <t>No measurement made</t>
  </si>
  <si>
    <t>Stake bent at 48 degree angle. Bend is at least 4 m from top of stake after sliding 4m probe inside of stake</t>
  </si>
  <si>
    <t>freh snow</t>
  </si>
  <si>
    <t>ice/new snow</t>
  </si>
  <si>
    <t>19V</t>
  </si>
  <si>
    <t>no measurements were made</t>
  </si>
  <si>
    <t>21CM</t>
  </si>
  <si>
    <t>Year</t>
  </si>
  <si>
    <t>site_name</t>
  </si>
  <si>
    <t>spring_date</t>
  </si>
  <si>
    <t>fall_date</t>
  </si>
  <si>
    <t>elevation</t>
  </si>
  <si>
    <t>winter_ablation</t>
  </si>
  <si>
    <t>summer_accumulation</t>
  </si>
  <si>
    <t>21AU</t>
  </si>
  <si>
    <t>firn (2021)</t>
  </si>
  <si>
    <t>21LS</t>
  </si>
  <si>
    <t>22LS</t>
  </si>
  <si>
    <t>22B</t>
  </si>
  <si>
    <t xml:space="preserve"> Glacier:</t>
  </si>
  <si>
    <t>Total Core Depth(cm):</t>
  </si>
  <si>
    <t>Location:</t>
  </si>
  <si>
    <t>Depth of Previous Year's Summer Surface (cm):</t>
  </si>
  <si>
    <t xml:space="preserve">    Date:</t>
  </si>
  <si>
    <t>Average Snow Depth (m):</t>
  </si>
  <si>
    <t xml:space="preserve">  Notebook:</t>
  </si>
  <si>
    <t>Column Average Density (g/cm^3):</t>
  </si>
  <si>
    <t>Sampler Type</t>
  </si>
  <si>
    <t>Snow Metrics</t>
  </si>
  <si>
    <t>Field Data</t>
  </si>
  <si>
    <t>Analysis</t>
  </si>
  <si>
    <t>Layer Values</t>
  </si>
  <si>
    <t>Cumulative  Values</t>
  </si>
  <si>
    <t>Additional snow depth measurements</t>
  </si>
  <si>
    <t>Core Lengths</t>
  </si>
  <si>
    <t>Core Diameters</t>
  </si>
  <si>
    <t>Layer Boundary</t>
  </si>
  <si>
    <t>C+S</t>
  </si>
  <si>
    <t>C</t>
  </si>
  <si>
    <t>SBD</t>
  </si>
  <si>
    <t>Length 1</t>
  </si>
  <si>
    <t>Length 2</t>
  </si>
  <si>
    <t>Length 3</t>
  </si>
  <si>
    <t>Average Length</t>
  </si>
  <si>
    <t>Diameter 1</t>
  </si>
  <si>
    <t>Diameter 2</t>
  </si>
  <si>
    <t>Diameter 3</t>
  </si>
  <si>
    <t>Diameter 4</t>
  </si>
  <si>
    <t>Average Diameter</t>
  </si>
  <si>
    <t>Volume</t>
  </si>
  <si>
    <t>Top</t>
  </si>
  <si>
    <t>Bottom</t>
  </si>
  <si>
    <t>Density</t>
  </si>
  <si>
    <t>SWE</t>
  </si>
  <si>
    <t xml:space="preserve"> Comments</t>
  </si>
  <si>
    <t>Type of meaasurement</t>
  </si>
  <si>
    <t>Snow Depth</t>
  </si>
  <si>
    <t>gm</t>
  </si>
  <si>
    <t>cm</t>
  </si>
  <si>
    <t>(cm)</t>
  </si>
  <si>
    <r>
      <t>cm</t>
    </r>
    <r>
      <rPr>
        <vertAlign val="superscript"/>
        <sz val="8"/>
        <rFont val="Arial"/>
        <family val="2"/>
      </rPr>
      <t>3</t>
    </r>
  </si>
  <si>
    <r>
      <t>gm/cm</t>
    </r>
    <r>
      <rPr>
        <vertAlign val="superscript"/>
        <sz val="8"/>
        <rFont val="Arial"/>
        <family val="2"/>
      </rPr>
      <t>3</t>
    </r>
  </si>
  <si>
    <t>m w.e.</t>
  </si>
  <si>
    <r>
      <t>(g/cm</t>
    </r>
    <r>
      <rPr>
        <vertAlign val="superscript"/>
        <sz val="8"/>
        <rFont val="Arial"/>
        <family val="2"/>
      </rPr>
      <t>3)</t>
    </r>
  </si>
  <si>
    <t>Pit Data</t>
  </si>
  <si>
    <t>—</t>
  </si>
  <si>
    <t>Pit</t>
  </si>
  <si>
    <t xml:space="preserve"> </t>
  </si>
  <si>
    <t>Core Data</t>
  </si>
  <si>
    <t>Average =</t>
  </si>
  <si>
    <t>Stdev. =</t>
  </si>
  <si>
    <t>Only insert/delete rows from within the table above. This maintains the functionality of the spreadsheet</t>
  </si>
  <si>
    <t>Std.Err.Mean =</t>
  </si>
  <si>
    <t>Maximum =</t>
  </si>
  <si>
    <t>Minimum =</t>
  </si>
  <si>
    <t>Gulkana</t>
  </si>
  <si>
    <t>22AC</t>
  </si>
  <si>
    <t>22D</t>
  </si>
  <si>
    <t>Snow</t>
  </si>
  <si>
    <t>22V</t>
  </si>
  <si>
    <t>ANNUAL BALANCE FOR 2021!</t>
  </si>
  <si>
    <t>22AU</t>
  </si>
  <si>
    <t>22AB</t>
  </si>
  <si>
    <t>22KB</t>
  </si>
  <si>
    <t>22T</t>
  </si>
  <si>
    <t>Z</t>
  </si>
  <si>
    <t>22Z</t>
  </si>
  <si>
    <r>
      <rPr>
        <sz val="10"/>
        <rFont val="Calibri"/>
        <family val="2"/>
      </rPr>
      <t>≥</t>
    </r>
    <r>
      <rPr>
        <sz val="10"/>
        <rFont val="Arial"/>
        <family val="2"/>
      </rPr>
      <t>3.27</t>
    </r>
  </si>
  <si>
    <t>NaN</t>
  </si>
  <si>
    <t>Site D</t>
  </si>
  <si>
    <t>22EB</t>
  </si>
  <si>
    <t>22CF</t>
  </si>
  <si>
    <t>firn (2022)</t>
  </si>
  <si>
    <t>23EB</t>
  </si>
  <si>
    <t>dog grooves</t>
  </si>
  <si>
    <t>dog marks</t>
  </si>
  <si>
    <t>Column average density (g/cm^3):</t>
  </si>
  <si>
    <t>Average snow Depth (m):</t>
  </si>
  <si>
    <t>Depth of previous years' summer surface (cm):</t>
  </si>
  <si>
    <t>Total snowpit depth(cm):</t>
  </si>
  <si>
    <t>Site B</t>
  </si>
  <si>
    <t>0.5cm ice lense</t>
  </si>
  <si>
    <t>second layer of pit</t>
  </si>
  <si>
    <t>3mm ice lense</t>
  </si>
  <si>
    <t>faceted snow below here</t>
  </si>
  <si>
    <t>1cm ice lense</t>
  </si>
  <si>
    <t>very crumbly sample</t>
  </si>
  <si>
    <t>2022 ss sfc @ 458 cm</t>
  </si>
  <si>
    <t>No probes possible, as snowmetrics probe was not found and snow deeper than recreational probe length of 320cm</t>
  </si>
  <si>
    <t>One additional core piece was measured, on field sheet, but then rejected as error, due to large mismatch in lengths. Either snow was in barrel of corer prior to first core section being taken, OR, one section was measured twice in error.</t>
  </si>
  <si>
    <t>Claire_CMU</t>
  </si>
  <si>
    <t>Probe E</t>
  </si>
  <si>
    <t>Probe W</t>
  </si>
  <si>
    <t>Probe S</t>
  </si>
  <si>
    <t>Site AU</t>
  </si>
  <si>
    <t>2 cm ice lens</t>
  </si>
  <si>
    <t>Facet layer, bag o' sugar</t>
  </si>
  <si>
    <t>1 cm ice crust</t>
  </si>
  <si>
    <t>2 cm ice crust</t>
  </si>
  <si>
    <t>Probe @ 22 Stake N</t>
  </si>
  <si>
    <t>Probe @ 22 Stake E</t>
  </si>
  <si>
    <t>Probe @ 22 Stake S</t>
  </si>
  <si>
    <t>Probe @ 22 Stake W</t>
  </si>
  <si>
    <t>Probe 1m N of 22 stake</t>
  </si>
  <si>
    <t>Email from Brianna rick</t>
  </si>
  <si>
    <t>23LS</t>
  </si>
  <si>
    <t>Probe</t>
  </si>
  <si>
    <t>ANNUAL BALANCE FOR 2022</t>
  </si>
  <si>
    <t>ANNUAL BALANCE FOR 2023</t>
  </si>
  <si>
    <t>23KB</t>
  </si>
  <si>
    <t>1 cm ice lense</t>
  </si>
  <si>
    <t>wet snow</t>
  </si>
  <si>
    <t>23EHB</t>
  </si>
  <si>
    <t>204-210 cm</t>
  </si>
  <si>
    <t>Site Z</t>
  </si>
  <si>
    <t>No probes at T :(</t>
  </si>
  <si>
    <t>Very dirty surface at 207</t>
  </si>
  <si>
    <t xml:space="preserve">Probe @ 22 Stake, 1m East </t>
  </si>
  <si>
    <t>Probe @ 22 Stake, 1m North</t>
  </si>
  <si>
    <t>Probe @ 22 Stake, 1m West</t>
  </si>
  <si>
    <t>Probe @ 22 Stake, 1m South</t>
  </si>
  <si>
    <t>Probe, further away</t>
  </si>
  <si>
    <t>22EHB</t>
  </si>
  <si>
    <t>23AB</t>
  </si>
  <si>
    <t xml:space="preserve">It appears the </t>
  </si>
  <si>
    <t>2022 ss should</t>
  </si>
  <si>
    <t>be at least 0.99 m</t>
  </si>
  <si>
    <t>depth</t>
  </si>
  <si>
    <t xml:space="preserve">Use density from </t>
  </si>
  <si>
    <t>pit, but don't use</t>
  </si>
  <si>
    <t>pit depth or probes</t>
  </si>
  <si>
    <t>Update 2024 based on spring 2024 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</si>
</sst>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mm/dd/yyyy"/>
    <numFmt numFmtId="165" formatCode="?,??0.00"/>
    <numFmt numFmtId="166" formatCode="?0.00"/>
    <numFmt numFmtId="167" formatCode="0.000"/>
    <numFmt numFmtId="168" formatCode="??0"/>
    <numFmt numFmtId="169" formatCode="??0.0"/>
    <numFmt numFmtId="170" formatCode="?0.0"/>
    <numFmt numFmtId="171" formatCode="mm/dd/yy"/>
    <numFmt numFmtId="172" formatCode="0.0"/>
  </numFmts>
  <fonts count="69">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00FFFF"/>
      <name val="Arial"/>
      <family val="2"/>
    </font>
    <font>
      <b/>
      <sz val="10"/>
      <color rgb="FF000000"/>
      <name val="Arial"/>
      <family val="2"/>
    </font>
    <font>
      <sz val="10"/>
      <color rgb="FF000000"/>
      <name val="Arial"/>
      <family val="2"/>
    </font>
    <font>
      <b/>
      <u/>
      <sz val="10"/>
      <color rgb="FF000000"/>
      <name val="Arial"/>
      <family val="2"/>
    </font>
    <font>
      <b/>
      <u/>
      <sz val="10"/>
      <name val="Arial"/>
      <family val="2"/>
    </font>
    <font>
      <b/>
      <sz val="10"/>
      <name val="Arial"/>
      <family val="2"/>
    </font>
    <font>
      <sz val="10"/>
      <color rgb="FF000000"/>
      <name val="Calibri"/>
      <family val="2"/>
    </font>
    <font>
      <sz val="8"/>
      <name val="Arial"/>
      <family val="2"/>
    </font>
    <font>
      <sz val="9"/>
      <color indexed="81"/>
      <name val="Tahoma"/>
      <family val="2"/>
    </font>
    <font>
      <b/>
      <sz val="9"/>
      <color indexed="81"/>
      <name val="Tahoma"/>
      <family val="2"/>
    </font>
    <font>
      <sz val="8"/>
      <name val="Arial"/>
      <family val="2"/>
    </font>
    <font>
      <sz val="8"/>
      <name val="Helv"/>
    </font>
    <font>
      <sz val="8"/>
      <color indexed="12"/>
      <name val="Arial"/>
      <family val="2"/>
    </font>
    <font>
      <b/>
      <sz val="8"/>
      <color indexed="8"/>
      <name val="Helv"/>
    </font>
    <font>
      <sz val="8"/>
      <color indexed="8"/>
      <name val="Arial"/>
      <family val="2"/>
    </font>
    <font>
      <u/>
      <sz val="8"/>
      <color indexed="12"/>
      <name val="Arial"/>
      <family val="2"/>
    </font>
    <font>
      <sz val="8"/>
      <color indexed="9"/>
      <name val="Arial"/>
      <family val="2"/>
    </font>
    <font>
      <sz val="8"/>
      <color indexed="10"/>
      <name val="Arial"/>
      <family val="2"/>
    </font>
    <font>
      <i/>
      <sz val="8"/>
      <color indexed="10"/>
      <name val="Arial"/>
      <family val="2"/>
    </font>
    <font>
      <i/>
      <sz val="8"/>
      <color indexed="14"/>
      <name val="Arial"/>
      <family val="2"/>
    </font>
    <font>
      <b/>
      <sz val="8"/>
      <color indexed="8"/>
      <name val="Arial"/>
      <family val="2"/>
    </font>
    <font>
      <i/>
      <sz val="8"/>
      <color indexed="8"/>
      <name val="Arial"/>
      <family val="2"/>
    </font>
    <font>
      <sz val="8"/>
      <color indexed="14"/>
      <name val="Arial"/>
      <family val="2"/>
    </font>
    <font>
      <sz val="10"/>
      <name val="Arial"/>
      <family val="2"/>
    </font>
    <font>
      <sz val="10"/>
      <color rgb="FF000000"/>
      <name val="AvantGarde"/>
      <family val="2"/>
    </font>
    <font>
      <sz val="10"/>
      <color theme="1"/>
      <name val="Arial"/>
      <family val="2"/>
    </font>
    <font>
      <b/>
      <sz val="10"/>
      <color theme="1"/>
      <name val="Arial"/>
      <family val="2"/>
    </font>
    <font>
      <sz val="10"/>
      <color theme="1"/>
      <name val="Calibri"/>
      <family val="2"/>
      <scheme val="minor"/>
    </font>
    <font>
      <b/>
      <sz val="10"/>
      <color rgb="FF000000"/>
      <name val="Calibri"/>
      <family val="2"/>
    </font>
    <font>
      <b/>
      <vertAlign val="subscript"/>
      <sz val="10"/>
      <color rgb="FF000000"/>
      <name val="Arial"/>
      <family val="2"/>
    </font>
    <font>
      <b/>
      <u/>
      <sz val="18"/>
      <color rgb="FF000000"/>
      <name val="Calibri"/>
      <family val="2"/>
    </font>
    <font>
      <sz val="10"/>
      <color theme="1"/>
      <name val="Segoe UI"/>
      <family val="2"/>
    </font>
    <font>
      <b/>
      <sz val="10"/>
      <color rgb="FF00FFFF"/>
      <name val="Segoe UI"/>
      <family val="2"/>
    </font>
    <font>
      <b/>
      <sz val="10"/>
      <color rgb="FF000000"/>
      <name val="Segoe UI"/>
      <family val="2"/>
    </font>
    <font>
      <b/>
      <u/>
      <sz val="10"/>
      <color rgb="FF000000"/>
      <name val="Segoe UI"/>
      <family val="2"/>
    </font>
    <font>
      <b/>
      <sz val="10"/>
      <color theme="1"/>
      <name val="Segoe UI"/>
      <family val="2"/>
    </font>
    <font>
      <b/>
      <u/>
      <sz val="10"/>
      <name val="Segoe UI"/>
      <family val="2"/>
    </font>
    <font>
      <sz val="10"/>
      <name val="Segoe UI"/>
      <family val="2"/>
    </font>
    <font>
      <b/>
      <vertAlign val="subscript"/>
      <sz val="10"/>
      <color rgb="FF000000"/>
      <name val="Segoe UI"/>
      <family val="2"/>
    </font>
    <font>
      <b/>
      <sz val="10"/>
      <name val="Segoe UI"/>
      <family val="2"/>
    </font>
    <font>
      <sz val="10"/>
      <color rgb="FF000000"/>
      <name val="Segoe UI"/>
      <family val="2"/>
    </font>
    <font>
      <b/>
      <u/>
      <sz val="18"/>
      <color rgb="FF000000"/>
      <name val="Segoe UI"/>
      <family val="2"/>
    </font>
    <font>
      <sz val="10"/>
      <name val="Arial"/>
      <family val="2"/>
    </font>
    <font>
      <b/>
      <sz val="8"/>
      <name val="Arial"/>
      <family val="2"/>
    </font>
    <font>
      <sz val="10"/>
      <color indexed="12"/>
      <name val="Arial"/>
      <family val="2"/>
    </font>
    <font>
      <sz val="10"/>
      <color rgb="FF0066FF"/>
      <name val="Arial"/>
      <family val="2"/>
    </font>
    <font>
      <b/>
      <u/>
      <sz val="8"/>
      <name val="Arial"/>
      <family val="2"/>
    </font>
    <font>
      <i/>
      <sz val="8"/>
      <name val="Arial"/>
      <family val="2"/>
    </font>
    <font>
      <b/>
      <u/>
      <sz val="8"/>
      <color theme="1"/>
      <name val="Arial"/>
      <family val="2"/>
    </font>
    <font>
      <b/>
      <sz val="8"/>
      <color theme="1"/>
      <name val="Arial"/>
      <family val="2"/>
    </font>
    <font>
      <sz val="8"/>
      <color theme="1"/>
      <name val="Arial"/>
      <family val="2"/>
    </font>
    <font>
      <vertAlign val="superscript"/>
      <sz val="8"/>
      <name val="Arial"/>
      <family val="2"/>
    </font>
    <font>
      <sz val="8"/>
      <name val="Calibri"/>
      <family val="2"/>
    </font>
    <font>
      <sz val="8"/>
      <color indexed="16"/>
      <name val="Arial"/>
      <family val="2"/>
    </font>
    <font>
      <b/>
      <sz val="8"/>
      <color theme="5"/>
      <name val="Arial"/>
      <family val="2"/>
    </font>
    <font>
      <sz val="8"/>
      <color theme="5"/>
      <name val="Arial"/>
      <family val="2"/>
    </font>
    <font>
      <sz val="8"/>
      <color indexed="81"/>
      <name val="Tahoma"/>
      <family val="2"/>
    </font>
    <font>
      <sz val="10"/>
      <name val="Calibri"/>
      <family val="2"/>
    </font>
    <font>
      <b/>
      <sz val="8"/>
      <color indexed="12"/>
      <name val="Arial"/>
      <family val="2"/>
    </font>
    <font>
      <sz val="8"/>
      <color rgb="FFFF0000"/>
      <name val="Arial"/>
      <family val="2"/>
    </font>
  </fonts>
  <fills count="20">
    <fill>
      <patternFill patternType="none"/>
    </fill>
    <fill>
      <patternFill patternType="gray125"/>
    </fill>
    <fill>
      <patternFill patternType="solid">
        <fgColor rgb="FFFFFF00"/>
        <bgColor rgb="FFFFFF00"/>
      </patternFill>
    </fill>
    <fill>
      <patternFill patternType="solid">
        <fgColor rgb="FFC2D69B"/>
        <bgColor rgb="FFC2D69B"/>
      </patternFill>
    </fill>
    <fill>
      <patternFill patternType="solid">
        <fgColor rgb="FFFFFF00"/>
        <bgColor indexed="64"/>
      </patternFill>
    </fill>
    <fill>
      <patternFill patternType="solid">
        <fgColor theme="6" tint="0.39997558519241921"/>
        <bgColor indexed="64"/>
      </patternFill>
    </fill>
    <fill>
      <patternFill patternType="solid">
        <fgColor theme="6" tint="0.39997558519241921"/>
        <bgColor rgb="FFC2D69B"/>
      </patternFill>
    </fill>
    <fill>
      <patternFill patternType="solid">
        <fgColor theme="2" tint="-0.24997711111789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rgb="FF92D050"/>
        <bgColor indexed="64"/>
      </patternFill>
    </fill>
    <fill>
      <patternFill patternType="solid">
        <fgColor rgb="FF92D050"/>
        <bgColor rgb="FFC2D69B"/>
      </patternFill>
    </fill>
    <fill>
      <patternFill patternType="solid">
        <fgColor theme="8" tint="0.39997558519241921"/>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7" tint="0.79998168889431442"/>
        <bgColor rgb="FFC2D69B"/>
      </patternFill>
    </fill>
    <fill>
      <patternFill patternType="solid">
        <fgColor theme="6" tint="0.79998168889431442"/>
        <bgColor indexed="64"/>
      </patternFill>
    </fill>
  </fills>
  <borders count="32">
    <border>
      <left/>
      <right/>
      <top/>
      <bottom/>
      <diagonal/>
    </border>
    <border>
      <left/>
      <right/>
      <top/>
      <bottom/>
      <diagonal/>
    </border>
    <border>
      <left/>
      <right style="thin">
        <color indexed="64"/>
      </right>
      <top/>
      <bottom/>
      <diagonal/>
    </border>
    <border>
      <left style="thin">
        <color indexed="64"/>
      </left>
      <right/>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top/>
      <bottom style="thin">
        <color indexed="64"/>
      </bottom>
      <diagonal/>
    </border>
    <border>
      <left/>
      <right style="medium">
        <color indexed="64"/>
      </right>
      <top/>
      <bottom/>
      <diagonal/>
    </border>
    <border>
      <left style="medium">
        <color indexed="64"/>
      </left>
      <right/>
      <top/>
      <bottom/>
      <diagonal/>
    </border>
    <border>
      <left/>
      <right style="thin">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thin">
        <color indexed="12"/>
      </top>
      <bottom/>
      <diagonal/>
    </border>
    <border>
      <left style="medium">
        <color indexed="64"/>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s>
  <cellStyleXfs count="35">
    <xf numFmtId="0" fontId="0" fillId="0" borderId="0"/>
    <xf numFmtId="0" fontId="19" fillId="0" borderId="1" applyNumberFormat="0" applyFill="0" applyBorder="0" applyAlignment="0" applyProtection="0">
      <protection locked="0"/>
    </xf>
    <xf numFmtId="168" fontId="20" fillId="0" borderId="1" applyFont="0" applyFill="0" applyBorder="0" applyAlignment="0" applyProtection="0">
      <alignment horizontal="left"/>
      <protection locked="0"/>
    </xf>
    <xf numFmtId="167" fontId="20" fillId="0" borderId="1" applyFont="0" applyFill="0" applyBorder="0" applyAlignment="0" applyProtection="0"/>
    <xf numFmtId="0" fontId="8" fillId="0" borderId="1"/>
    <xf numFmtId="0" fontId="19" fillId="0" borderId="1" applyNumberFormat="0" applyFill="0" applyBorder="0" applyAlignment="0" applyProtection="0">
      <alignment horizontal="left" vertical="top" wrapText="1"/>
      <protection locked="0"/>
    </xf>
    <xf numFmtId="0" fontId="21" fillId="0" borderId="1" applyNumberFormat="0" applyFill="0" applyBorder="0" applyAlignment="0" applyProtection="0">
      <alignment horizontal="left"/>
      <protection locked="0"/>
    </xf>
    <xf numFmtId="170" fontId="22" fillId="0" borderId="10" applyFont="0" applyFill="0" applyBorder="0" applyAlignment="0" applyProtection="0">
      <alignment horizontal="center" vertical="top" wrapText="1"/>
      <protection locked="0"/>
    </xf>
    <xf numFmtId="0" fontId="21" fillId="0" borderId="1" applyNumberFormat="0" applyFill="0" applyBorder="0" applyAlignment="0" applyProtection="0">
      <alignment horizontal="center" vertical="top" wrapText="1"/>
    </xf>
    <xf numFmtId="0" fontId="23" fillId="0" borderId="1" applyNumberFormat="0" applyFill="0" applyBorder="0" applyAlignment="0" applyProtection="0">
      <alignment horizontal="center" vertical="top" wrapText="1"/>
      <protection locked="0"/>
    </xf>
    <xf numFmtId="0" fontId="24" fillId="0" borderId="1" applyNumberFormat="0" applyFill="0" applyBorder="0" applyAlignment="0" applyProtection="0">
      <alignment vertical="top"/>
      <protection locked="0"/>
    </xf>
    <xf numFmtId="169" fontId="20" fillId="0" borderId="1" applyFont="0" applyFill="0" applyBorder="0" applyAlignment="0" applyProtection="0">
      <alignment horizontal="left"/>
      <protection locked="0"/>
    </xf>
    <xf numFmtId="166" fontId="22" fillId="0" borderId="10" applyFont="0" applyFill="0" applyBorder="0" applyAlignment="0" applyProtection="0">
      <alignment horizontal="center" vertical="top" wrapText="1"/>
      <protection locked="0"/>
    </xf>
    <xf numFmtId="2" fontId="22" fillId="0" borderId="10" applyFont="0" applyFill="0" applyBorder="0" applyAlignment="0" applyProtection="0">
      <alignment horizontal="center" vertical="top" wrapText="1"/>
      <protection locked="0"/>
    </xf>
    <xf numFmtId="0" fontId="25" fillId="0" borderId="1" applyNumberFormat="0" applyFill="0" applyAlignment="0" applyProtection="0">
      <alignment horizontal="centerContinuous"/>
    </xf>
    <xf numFmtId="14" fontId="26" fillId="0" borderId="1" applyNumberFormat="0" applyBorder="0" applyAlignment="0" applyProtection="0">
      <alignment horizontal="center" vertical="top" wrapText="1"/>
      <protection locked="0"/>
    </xf>
    <xf numFmtId="14" fontId="27" fillId="0" borderId="1" applyNumberFormat="0" applyFill="0" applyBorder="0" applyAlignment="0" applyProtection="0">
      <alignment horizontal="center" vertical="top" wrapText="1"/>
      <protection locked="0"/>
    </xf>
    <xf numFmtId="14" fontId="28" fillId="0" borderId="12" applyNumberFormat="0" applyFill="0" applyBorder="0" applyAlignment="0" applyProtection="0">
      <alignment horizontal="center" vertical="center" wrapText="1"/>
    </xf>
    <xf numFmtId="169" fontId="20" fillId="0" borderId="1" applyNumberFormat="0" applyFill="0" applyBorder="0" applyAlignment="0" applyProtection="0">
      <alignment horizontal="left"/>
      <protection locked="0"/>
    </xf>
    <xf numFmtId="167" fontId="29" fillId="0" borderId="1" applyNumberFormat="0" applyFill="0" applyBorder="0" applyAlignment="0" applyProtection="0">
      <alignment horizontal="center" vertical="top" wrapText="1"/>
      <protection locked="0"/>
    </xf>
    <xf numFmtId="167" fontId="30" fillId="0" borderId="1" applyNumberFormat="0" applyFill="0" applyBorder="0" applyAlignment="0" applyProtection="0">
      <alignment horizontal="center" vertical="top" wrapText="1"/>
      <protection locked="0"/>
    </xf>
    <xf numFmtId="0" fontId="19" fillId="0" borderId="1" applyNumberFormat="0" applyFill="0" applyBorder="0" applyAlignment="0" applyProtection="0">
      <protection locked="0"/>
    </xf>
    <xf numFmtId="171" fontId="31" fillId="0" borderId="18" applyNumberFormat="0" applyFill="0" applyBorder="0" applyAlignment="0" applyProtection="0">
      <alignment horizontal="center" vertical="top" wrapText="1"/>
    </xf>
    <xf numFmtId="0" fontId="7" fillId="0" borderId="1"/>
    <xf numFmtId="0" fontId="16" fillId="0" borderId="1" applyNumberFormat="0" applyFill="0" applyBorder="0" applyAlignment="0" applyProtection="0">
      <protection locked="0"/>
    </xf>
    <xf numFmtId="0" fontId="6" fillId="0" borderId="1"/>
    <xf numFmtId="0" fontId="16" fillId="0" borderId="1" applyNumberFormat="0" applyFill="0" applyBorder="0" applyAlignment="0" applyProtection="0">
      <alignment horizontal="left" vertical="top" wrapText="1"/>
      <protection locked="0"/>
    </xf>
    <xf numFmtId="0" fontId="5" fillId="0" borderId="1"/>
    <xf numFmtId="0" fontId="52" fillId="0" borderId="1" applyNumberFormat="0" applyFill="0" applyBorder="0" applyAlignment="0" applyProtection="0">
      <alignment horizontal="left"/>
      <protection locked="0"/>
    </xf>
    <xf numFmtId="0" fontId="4" fillId="0" borderId="1"/>
    <xf numFmtId="0" fontId="16" fillId="0" borderId="1" applyNumberFormat="0" applyFill="0" applyBorder="0" applyAlignment="0" applyProtection="0">
      <protection locked="0"/>
    </xf>
    <xf numFmtId="0" fontId="51" fillId="0" borderId="1"/>
    <xf numFmtId="0" fontId="3" fillId="0" borderId="1"/>
    <xf numFmtId="0" fontId="2" fillId="0" borderId="1"/>
    <xf numFmtId="0" fontId="1" fillId="0" borderId="1"/>
  </cellStyleXfs>
  <cellXfs count="1140">
    <xf numFmtId="0" fontId="0" fillId="0" borderId="0" xfId="0"/>
    <xf numFmtId="0" fontId="11" fillId="0" borderId="1" xfId="0" applyFont="1" applyBorder="1" applyAlignment="1">
      <alignment horizontal="center"/>
    </xf>
    <xf numFmtId="4" fontId="12" fillId="0" borderId="1" xfId="0" applyNumberFormat="1" applyFont="1" applyBorder="1" applyAlignment="1">
      <alignment horizontal="center"/>
    </xf>
    <xf numFmtId="4" fontId="10" fillId="0" borderId="1" xfId="0" applyNumberFormat="1" applyFont="1" applyBorder="1" applyAlignment="1">
      <alignment horizontal="center" vertical="top"/>
    </xf>
    <xf numFmtId="0" fontId="10" fillId="0" borderId="1" xfId="0" applyFont="1" applyBorder="1" applyAlignment="1">
      <alignment horizontal="center" vertical="top"/>
    </xf>
    <xf numFmtId="4" fontId="10" fillId="0" borderId="1" xfId="0" applyNumberFormat="1" applyFont="1" applyBorder="1" applyAlignment="1">
      <alignment horizontal="center"/>
    </xf>
    <xf numFmtId="0" fontId="10" fillId="0" borderId="1" xfId="0" applyFont="1" applyBorder="1" applyAlignment="1">
      <alignment horizontal="center" vertical="center"/>
    </xf>
    <xf numFmtId="0" fontId="15" fillId="0" borderId="1" xfId="0" applyFont="1" applyBorder="1"/>
    <xf numFmtId="0" fontId="11" fillId="2" borderId="1" xfId="0" applyFont="1" applyFill="1" applyBorder="1"/>
    <xf numFmtId="2" fontId="11" fillId="2" borderId="1" xfId="0" applyNumberFormat="1" applyFont="1" applyFill="1" applyBorder="1"/>
    <xf numFmtId="4" fontId="10" fillId="0" borderId="1" xfId="0" applyNumberFormat="1" applyFont="1" applyBorder="1" applyAlignment="1">
      <alignment horizontal="center" vertical="center"/>
    </xf>
    <xf numFmtId="0" fontId="0" fillId="0" borderId="0" xfId="0"/>
    <xf numFmtId="0" fontId="11" fillId="0" borderId="2" xfId="0" applyFont="1" applyBorder="1" applyAlignment="1">
      <alignment horizontal="center"/>
    </xf>
    <xf numFmtId="0" fontId="15" fillId="0" borderId="1" xfId="0" applyFont="1" applyBorder="1" applyAlignment="1">
      <alignment horizontal="center"/>
    </xf>
    <xf numFmtId="2" fontId="15" fillId="0" borderId="1" xfId="0" applyNumberFormat="1" applyFont="1" applyBorder="1" applyAlignment="1">
      <alignment horizontal="center"/>
    </xf>
    <xf numFmtId="0" fontId="11" fillId="0" borderId="20" xfId="0" applyFont="1" applyBorder="1" applyAlignment="1">
      <alignment horizontal="center"/>
    </xf>
    <xf numFmtId="0" fontId="15" fillId="0" borderId="1" xfId="0" applyFont="1" applyFill="1" applyBorder="1"/>
    <xf numFmtId="4" fontId="35" fillId="0" borderId="1" xfId="0" applyNumberFormat="1" applyFont="1" applyBorder="1" applyAlignment="1">
      <alignment horizontal="center"/>
    </xf>
    <xf numFmtId="0" fontId="10" fillId="0" borderId="2" xfId="0" applyFont="1" applyBorder="1" applyAlignment="1">
      <alignment horizontal="center"/>
    </xf>
    <xf numFmtId="0" fontId="10" fillId="0" borderId="20" xfId="0" applyFont="1" applyBorder="1" applyAlignment="1">
      <alignment horizontal="center"/>
    </xf>
    <xf numFmtId="0" fontId="0" fillId="0" borderId="1" xfId="0" applyBorder="1"/>
    <xf numFmtId="0" fontId="11" fillId="0" borderId="1" xfId="0" applyFont="1" applyFill="1" applyBorder="1"/>
    <xf numFmtId="0" fontId="10" fillId="0" borderId="2" xfId="0" applyFont="1" applyBorder="1" applyAlignment="1">
      <alignment horizontal="center" vertical="top"/>
    </xf>
    <xf numFmtId="0" fontId="10" fillId="0" borderId="2" xfId="0" applyFont="1" applyBorder="1" applyAlignment="1">
      <alignment horizontal="center" vertical="center"/>
    </xf>
    <xf numFmtId="164" fontId="9" fillId="0" borderId="15" xfId="0" applyNumberFormat="1" applyFont="1" applyBorder="1" applyAlignment="1">
      <alignment horizontal="center" vertical="top"/>
    </xf>
    <xf numFmtId="0" fontId="10" fillId="0" borderId="14" xfId="0" applyFont="1" applyBorder="1" applyAlignment="1">
      <alignment horizontal="center" vertical="top"/>
    </xf>
    <xf numFmtId="0" fontId="11" fillId="0" borderId="22" xfId="0" applyFont="1" applyBorder="1" applyAlignment="1">
      <alignment horizontal="center"/>
    </xf>
    <xf numFmtId="0" fontId="11" fillId="0" borderId="24" xfId="0" applyFont="1" applyBorder="1" applyAlignment="1">
      <alignment horizontal="center"/>
    </xf>
    <xf numFmtId="0" fontId="11" fillId="0" borderId="14" xfId="0" applyFont="1" applyBorder="1" applyAlignment="1">
      <alignment horizontal="center"/>
    </xf>
    <xf numFmtId="4" fontId="10" fillId="0" borderId="14" xfId="0" applyNumberFormat="1" applyFont="1" applyBorder="1" applyAlignment="1">
      <alignment horizontal="center" vertical="top"/>
    </xf>
    <xf numFmtId="4" fontId="11" fillId="0" borderId="14" xfId="0" applyNumberFormat="1" applyFont="1" applyBorder="1" applyAlignment="1">
      <alignment horizontal="center"/>
    </xf>
    <xf numFmtId="164" fontId="9" fillId="0" borderId="12" xfId="0" applyNumberFormat="1" applyFont="1" applyBorder="1" applyAlignment="1">
      <alignment horizontal="center" vertical="top"/>
    </xf>
    <xf numFmtId="164" fontId="10" fillId="0" borderId="12" xfId="0" applyNumberFormat="1" applyFont="1" applyBorder="1" applyAlignment="1">
      <alignment horizontal="center" vertical="center"/>
    </xf>
    <xf numFmtId="164" fontId="11" fillId="0" borderId="7" xfId="0" applyNumberFormat="1" applyFont="1" applyBorder="1" applyAlignment="1">
      <alignment horizontal="center" vertical="top"/>
    </xf>
    <xf numFmtId="0" fontId="11" fillId="0" borderId="8" xfId="0" applyFont="1" applyBorder="1" applyAlignment="1">
      <alignment horizontal="center" vertical="top"/>
    </xf>
    <xf numFmtId="0" fontId="11" fillId="0" borderId="23" xfId="0" applyFont="1" applyBorder="1" applyAlignment="1">
      <alignment horizontal="center"/>
    </xf>
    <xf numFmtId="0" fontId="11" fillId="0" borderId="8" xfId="0" applyFont="1" applyBorder="1" applyAlignment="1">
      <alignment horizontal="center"/>
    </xf>
    <xf numFmtId="4" fontId="0" fillId="0" borderId="8" xfId="0" applyNumberFormat="1" applyFont="1" applyBorder="1" applyAlignment="1">
      <alignment horizontal="center"/>
    </xf>
    <xf numFmtId="4" fontId="11" fillId="0" borderId="8" xfId="0" applyNumberFormat="1" applyFont="1" applyBorder="1" applyAlignment="1">
      <alignment horizontal="center" vertical="top"/>
    </xf>
    <xf numFmtId="4" fontId="11" fillId="0" borderId="8" xfId="0" applyNumberFormat="1" applyFont="1" applyBorder="1" applyAlignment="1">
      <alignment horizontal="center"/>
    </xf>
    <xf numFmtId="2" fontId="0" fillId="0" borderId="8" xfId="0" applyNumberFormat="1" applyFont="1" applyBorder="1" applyAlignment="1">
      <alignment horizontal="center"/>
    </xf>
    <xf numFmtId="0" fontId="11" fillId="0" borderId="6" xfId="0" applyFont="1" applyBorder="1" applyAlignment="1">
      <alignment horizontal="center"/>
    </xf>
    <xf numFmtId="4" fontId="34" fillId="0" borderId="8" xfId="0" applyNumberFormat="1" applyFont="1" applyBorder="1" applyAlignment="1">
      <alignment horizontal="center"/>
    </xf>
    <xf numFmtId="0" fontId="11" fillId="0" borderId="9" xfId="0" applyFont="1" applyBorder="1" applyAlignment="1">
      <alignment horizontal="center"/>
    </xf>
    <xf numFmtId="2" fontId="0" fillId="0" borderId="1" xfId="0" applyNumberFormat="1" applyBorder="1"/>
    <xf numFmtId="0" fontId="10" fillId="0" borderId="13" xfId="0" applyFont="1" applyBorder="1" applyAlignment="1">
      <alignment horizontal="center" vertical="top"/>
    </xf>
    <xf numFmtId="0" fontId="11" fillId="0" borderId="9" xfId="0" applyFont="1" applyBorder="1" applyAlignment="1">
      <alignment horizontal="center" vertical="top"/>
    </xf>
    <xf numFmtId="4" fontId="11" fillId="0" borderId="25" xfId="0" applyNumberFormat="1" applyFont="1" applyBorder="1" applyAlignment="1">
      <alignment horizontal="center" vertical="top"/>
    </xf>
    <xf numFmtId="0" fontId="0" fillId="0" borderId="1" xfId="0" applyFill="1" applyBorder="1"/>
    <xf numFmtId="4" fontId="12" fillId="0" borderId="14" xfId="0" applyNumberFormat="1" applyFont="1" applyBorder="1" applyAlignment="1">
      <alignment horizontal="center"/>
    </xf>
    <xf numFmtId="4" fontId="10" fillId="0" borderId="16" xfId="0" applyNumberFormat="1" applyFont="1" applyBorder="1" applyAlignment="1">
      <alignment horizontal="center" vertical="top"/>
    </xf>
    <xf numFmtId="4" fontId="10" fillId="0" borderId="5" xfId="0" applyNumberFormat="1" applyFont="1" applyBorder="1" applyAlignment="1">
      <alignment horizontal="center" vertical="top"/>
    </xf>
    <xf numFmtId="0" fontId="10" fillId="0" borderId="5" xfId="0" applyFont="1" applyBorder="1" applyAlignment="1">
      <alignment horizontal="center"/>
    </xf>
    <xf numFmtId="4" fontId="10" fillId="0" borderId="5" xfId="0" applyNumberFormat="1" applyFont="1" applyBorder="1" applyAlignment="1">
      <alignment horizontal="center" vertical="center"/>
    </xf>
    <xf numFmtId="0" fontId="11" fillId="0" borderId="13" xfId="0" applyFont="1" applyBorder="1" applyAlignment="1">
      <alignment horizontal="center"/>
    </xf>
    <xf numFmtId="4" fontId="12" fillId="0" borderId="3" xfId="0" applyNumberFormat="1" applyFont="1" applyBorder="1" applyAlignment="1">
      <alignment horizontal="center"/>
    </xf>
    <xf numFmtId="0" fontId="0" fillId="0" borderId="3" xfId="0" applyBorder="1"/>
    <xf numFmtId="0" fontId="14" fillId="0" borderId="1" xfId="0" applyFont="1" applyBorder="1" applyAlignment="1">
      <alignment horizontal="center"/>
    </xf>
    <xf numFmtId="4" fontId="10" fillId="0" borderId="15" xfId="0" applyNumberFormat="1" applyFont="1" applyBorder="1" applyAlignment="1">
      <alignment horizontal="center" vertical="top"/>
    </xf>
    <xf numFmtId="4" fontId="10" fillId="0" borderId="17" xfId="0" applyNumberFormat="1" applyFont="1" applyBorder="1" applyAlignment="1">
      <alignment horizontal="center"/>
    </xf>
    <xf numFmtId="4" fontId="12" fillId="0" borderId="3" xfId="0" applyNumberFormat="1" applyFont="1" applyBorder="1" applyAlignment="1">
      <alignment horizontal="center" vertical="top"/>
    </xf>
    <xf numFmtId="4" fontId="12" fillId="0" borderId="1" xfId="0" applyNumberFormat="1" applyFont="1" applyBorder="1" applyAlignment="1">
      <alignment horizontal="center" vertical="top"/>
    </xf>
    <xf numFmtId="0" fontId="0" fillId="0" borderId="12" xfId="0" applyBorder="1"/>
    <xf numFmtId="0" fontId="0" fillId="0" borderId="11" xfId="0" applyBorder="1"/>
    <xf numFmtId="4" fontId="10" fillId="0" borderId="12" xfId="0" applyNumberFormat="1" applyFont="1" applyBorder="1" applyAlignment="1">
      <alignment horizontal="center"/>
    </xf>
    <xf numFmtId="4" fontId="35" fillId="0" borderId="11" xfId="0" applyNumberFormat="1" applyFont="1" applyBorder="1" applyAlignment="1">
      <alignment horizontal="center"/>
    </xf>
    <xf numFmtId="0" fontId="10" fillId="0" borderId="20" xfId="0" applyFont="1" applyBorder="1" applyAlignment="1">
      <alignment horizontal="center" vertical="center"/>
    </xf>
    <xf numFmtId="0" fontId="10" fillId="0" borderId="3" xfId="0" applyFont="1" applyBorder="1" applyAlignment="1">
      <alignment horizontal="center" vertical="center"/>
    </xf>
    <xf numFmtId="4" fontId="12" fillId="0" borderId="3" xfId="0" applyNumberFormat="1" applyFont="1" applyBorder="1" applyAlignment="1">
      <alignment horizontal="center" vertical="center" wrapText="1"/>
    </xf>
    <xf numFmtId="4" fontId="10" fillId="0" borderId="12" xfId="0" applyNumberFormat="1" applyFont="1" applyBorder="1" applyAlignment="1">
      <alignment horizontal="center" vertical="center"/>
    </xf>
    <xf numFmtId="4" fontId="35" fillId="0" borderId="1" xfId="0" applyNumberFormat="1" applyFont="1" applyBorder="1" applyAlignment="1">
      <alignment horizontal="center" vertical="center"/>
    </xf>
    <xf numFmtId="4" fontId="35" fillId="0" borderId="11" xfId="0" applyNumberFormat="1" applyFont="1" applyBorder="1" applyAlignment="1">
      <alignment horizontal="center" vertical="center"/>
    </xf>
    <xf numFmtId="2" fontId="14" fillId="0" borderId="1" xfId="0" applyNumberFormat="1" applyFont="1" applyBorder="1" applyAlignment="1">
      <alignment horizontal="center" vertical="center"/>
    </xf>
    <xf numFmtId="165" fontId="14" fillId="0" borderId="11" xfId="0" applyNumberFormat="1" applyFont="1" applyBorder="1" applyAlignment="1">
      <alignment horizontal="center" vertical="center"/>
    </xf>
    <xf numFmtId="0" fontId="0" fillId="0" borderId="1" xfId="0" applyBorder="1" applyAlignment="1">
      <alignment vertical="center"/>
    </xf>
    <xf numFmtId="4" fontId="11" fillId="0" borderId="7" xfId="0" applyNumberFormat="1" applyFont="1" applyBorder="1" applyAlignment="1">
      <alignment horizontal="center"/>
    </xf>
    <xf numFmtId="4" fontId="34" fillId="0" borderId="6" xfId="0" applyNumberFormat="1" applyFont="1" applyBorder="1" applyAlignment="1">
      <alignment horizontal="center"/>
    </xf>
    <xf numFmtId="0" fontId="32" fillId="7" borderId="1" xfId="0" applyFont="1" applyFill="1" applyBorder="1" applyAlignment="1">
      <alignment horizontal="center"/>
    </xf>
    <xf numFmtId="0" fontId="32" fillId="7" borderId="20" xfId="0" applyFont="1" applyFill="1" applyBorder="1" applyAlignment="1">
      <alignment horizontal="center"/>
    </xf>
    <xf numFmtId="4" fontId="14" fillId="4" borderId="14" xfId="0" applyNumberFormat="1" applyFont="1" applyFill="1" applyBorder="1" applyAlignment="1">
      <alignment horizontal="center"/>
    </xf>
    <xf numFmtId="0" fontId="14" fillId="4" borderId="14" xfId="0" applyFont="1" applyFill="1" applyBorder="1"/>
    <xf numFmtId="4" fontId="14" fillId="4" borderId="17" xfId="0" applyNumberFormat="1" applyFont="1" applyFill="1" applyBorder="1" applyAlignment="1">
      <alignment horizontal="center"/>
    </xf>
    <xf numFmtId="0" fontId="37" fillId="2" borderId="10" xfId="0" applyFont="1" applyFill="1" applyBorder="1"/>
    <xf numFmtId="164" fontId="37" fillId="2" borderId="10" xfId="0" applyNumberFormat="1" applyFont="1" applyFill="1" applyBorder="1"/>
    <xf numFmtId="0" fontId="37" fillId="2" borderId="10" xfId="0" applyFont="1" applyFill="1" applyBorder="1" applyAlignment="1">
      <alignment horizontal="center"/>
    </xf>
    <xf numFmtId="164" fontId="14" fillId="4" borderId="10" xfId="0" applyNumberFormat="1" applyFont="1" applyFill="1" applyBorder="1"/>
    <xf numFmtId="14" fontId="37" fillId="2" borderId="27" xfId="0" applyNumberFormat="1" applyFont="1" applyFill="1" applyBorder="1"/>
    <xf numFmtId="0" fontId="11" fillId="2" borderId="12" xfId="0" applyFont="1" applyFill="1" applyBorder="1"/>
    <xf numFmtId="0" fontId="11" fillId="2" borderId="2" xfId="0" applyFont="1" applyFill="1" applyBorder="1" applyAlignment="1">
      <alignment horizontal="right"/>
    </xf>
    <xf numFmtId="0" fontId="0" fillId="4" borderId="1" xfId="0" applyFill="1" applyBorder="1"/>
    <xf numFmtId="0" fontId="11" fillId="2" borderId="11" xfId="0" applyFont="1" applyFill="1" applyBorder="1"/>
    <xf numFmtId="0" fontId="34" fillId="4" borderId="2" xfId="0" applyFont="1" applyFill="1" applyBorder="1" applyAlignment="1">
      <alignment horizontal="right"/>
    </xf>
    <xf numFmtId="0" fontId="36" fillId="4" borderId="2" xfId="0" applyFont="1" applyFill="1" applyBorder="1" applyAlignment="1">
      <alignment horizontal="right"/>
    </xf>
    <xf numFmtId="0" fontId="11" fillId="2" borderId="7" xfId="0" applyFont="1" applyFill="1" applyBorder="1"/>
    <xf numFmtId="0" fontId="36" fillId="4" borderId="9" xfId="0" applyFont="1" applyFill="1" applyBorder="1" applyAlignment="1">
      <alignment horizontal="right"/>
    </xf>
    <xf numFmtId="2" fontId="11" fillId="2" borderId="8" xfId="0" applyNumberFormat="1" applyFont="1" applyFill="1" applyBorder="1"/>
    <xf numFmtId="0" fontId="11" fillId="2" borderId="8" xfId="0" applyFont="1" applyFill="1" applyBorder="1"/>
    <xf numFmtId="4" fontId="11" fillId="2" borderId="8" xfId="0" applyNumberFormat="1" applyFont="1" applyFill="1" applyBorder="1"/>
    <xf numFmtId="0" fontId="11" fillId="2" borderId="6" xfId="0" applyFont="1" applyFill="1" applyBorder="1"/>
    <xf numFmtId="14" fontId="0" fillId="0" borderId="1" xfId="0" applyNumberFormat="1" applyBorder="1"/>
    <xf numFmtId="4" fontId="0" fillId="0" borderId="1" xfId="0" applyNumberFormat="1" applyBorder="1"/>
    <xf numFmtId="0" fontId="0" fillId="0" borderId="8" xfId="0" applyBorder="1"/>
    <xf numFmtId="0" fontId="0" fillId="0" borderId="6" xfId="0" applyBorder="1"/>
    <xf numFmtId="14" fontId="32" fillId="0" borderId="1" xfId="0" applyNumberFormat="1" applyFont="1" applyBorder="1"/>
    <xf numFmtId="2" fontId="0" fillId="0" borderId="11" xfId="0" applyNumberFormat="1" applyBorder="1"/>
    <xf numFmtId="14" fontId="34" fillId="5" borderId="12" xfId="0" applyNumberFormat="1" applyFont="1" applyFill="1" applyBorder="1" applyAlignment="1">
      <alignment horizontal="center"/>
    </xf>
    <xf numFmtId="0" fontId="34" fillId="5" borderId="1" xfId="0" applyFont="1" applyFill="1" applyBorder="1" applyAlignment="1">
      <alignment horizontal="center"/>
    </xf>
    <xf numFmtId="0" fontId="34" fillId="5" borderId="2" xfId="0" applyFont="1" applyFill="1" applyBorder="1" applyAlignment="1">
      <alignment horizontal="center"/>
    </xf>
    <xf numFmtId="0" fontId="34" fillId="5" borderId="20" xfId="0" applyFont="1" applyFill="1" applyBorder="1" applyAlignment="1">
      <alignment horizontal="center"/>
    </xf>
    <xf numFmtId="0" fontId="34" fillId="5" borderId="3" xfId="0" applyFont="1" applyFill="1" applyBorder="1" applyAlignment="1">
      <alignment horizontal="center"/>
    </xf>
    <xf numFmtId="4" fontId="34" fillId="5" borderId="1" xfId="0" applyNumberFormat="1" applyFont="1" applyFill="1" applyBorder="1" applyAlignment="1">
      <alignment horizontal="center"/>
    </xf>
    <xf numFmtId="4" fontId="34" fillId="5" borderId="5" xfId="0" applyNumberFormat="1" applyFont="1" applyFill="1" applyBorder="1" applyAlignment="1">
      <alignment horizontal="center"/>
    </xf>
    <xf numFmtId="4" fontId="34" fillId="5" borderId="3" xfId="0" applyNumberFormat="1" applyFont="1" applyFill="1" applyBorder="1" applyAlignment="1">
      <alignment horizontal="center"/>
    </xf>
    <xf numFmtId="4" fontId="34" fillId="5" borderId="12" xfId="0" applyNumberFormat="1" applyFont="1" applyFill="1" applyBorder="1" applyAlignment="1">
      <alignment horizontal="center"/>
    </xf>
    <xf numFmtId="0" fontId="15" fillId="5" borderId="11" xfId="0" applyFont="1" applyFill="1" applyBorder="1"/>
    <xf numFmtId="4" fontId="34" fillId="5" borderId="2" xfId="0" applyNumberFormat="1" applyFont="1" applyFill="1" applyBorder="1" applyAlignment="1">
      <alignment horizontal="center"/>
    </xf>
    <xf numFmtId="4" fontId="0" fillId="0" borderId="7" xfId="0" applyNumberFormat="1" applyFont="1" applyBorder="1" applyAlignment="1">
      <alignment horizontal="center"/>
    </xf>
    <xf numFmtId="4" fontId="0" fillId="0" borderId="6" xfId="0" applyNumberFormat="1" applyFont="1" applyBorder="1" applyAlignment="1">
      <alignment horizontal="center"/>
    </xf>
    <xf numFmtId="0" fontId="40" fillId="4" borderId="2" xfId="0" applyFont="1" applyFill="1" applyBorder="1" applyAlignment="1">
      <alignment horizontal="right"/>
    </xf>
    <xf numFmtId="0" fontId="40" fillId="4" borderId="9" xfId="0" applyFont="1" applyFill="1" applyBorder="1" applyAlignment="1">
      <alignment horizontal="right"/>
    </xf>
    <xf numFmtId="164" fontId="41" fillId="0" borderId="12" xfId="0" applyNumberFormat="1" applyFont="1" applyBorder="1" applyAlignment="1">
      <alignment horizontal="center" vertical="top"/>
    </xf>
    <xf numFmtId="0" fontId="42" fillId="0" borderId="1" xfId="0" applyFont="1" applyBorder="1" applyAlignment="1">
      <alignment horizontal="center" vertical="top"/>
    </xf>
    <xf numFmtId="0" fontId="42" fillId="0" borderId="2" xfId="0" applyFont="1" applyBorder="1" applyAlignment="1">
      <alignment horizontal="center" vertical="top"/>
    </xf>
    <xf numFmtId="0" fontId="42" fillId="0" borderId="20" xfId="0" applyFont="1" applyBorder="1" applyAlignment="1">
      <alignment horizontal="center"/>
    </xf>
    <xf numFmtId="0" fontId="42" fillId="0" borderId="5" xfId="0" applyFont="1" applyBorder="1" applyAlignment="1">
      <alignment horizontal="center"/>
    </xf>
    <xf numFmtId="4" fontId="42" fillId="0" borderId="1" xfId="0" applyNumberFormat="1" applyFont="1" applyBorder="1" applyAlignment="1">
      <alignment horizontal="center"/>
    </xf>
    <xf numFmtId="4" fontId="43" fillId="0" borderId="3" xfId="0" applyNumberFormat="1" applyFont="1" applyBorder="1" applyAlignment="1">
      <alignment horizontal="center"/>
    </xf>
    <xf numFmtId="4" fontId="43" fillId="0" borderId="1" xfId="0" applyNumberFormat="1" applyFont="1" applyBorder="1" applyAlignment="1">
      <alignment horizontal="center"/>
    </xf>
    <xf numFmtId="4" fontId="42" fillId="0" borderId="12" xfId="0" applyNumberFormat="1" applyFont="1" applyBorder="1" applyAlignment="1">
      <alignment horizontal="center"/>
    </xf>
    <xf numFmtId="4" fontId="44" fillId="0" borderId="1" xfId="0" applyNumberFormat="1" applyFont="1" applyBorder="1" applyAlignment="1">
      <alignment horizontal="center"/>
    </xf>
    <xf numFmtId="4" fontId="44" fillId="0" borderId="11" xfId="0" applyNumberFormat="1" applyFont="1" applyBorder="1" applyAlignment="1">
      <alignment horizontal="center"/>
    </xf>
    <xf numFmtId="0" fontId="42" fillId="0" borderId="2" xfId="0" applyFont="1" applyBorder="1" applyAlignment="1">
      <alignment horizontal="center"/>
    </xf>
    <xf numFmtId="0" fontId="46" fillId="0" borderId="1" xfId="0" applyFont="1" applyBorder="1"/>
    <xf numFmtId="164" fontId="42" fillId="0" borderId="12" xfId="0" applyNumberFormat="1" applyFont="1" applyBorder="1" applyAlignment="1">
      <alignment horizontal="center" vertical="center"/>
    </xf>
    <xf numFmtId="0" fontId="42" fillId="0" borderId="1" xfId="0" applyFont="1" applyBorder="1" applyAlignment="1">
      <alignment horizontal="center" vertical="center"/>
    </xf>
    <xf numFmtId="0" fontId="42" fillId="0" borderId="2" xfId="0" applyFont="1" applyBorder="1" applyAlignment="1">
      <alignment horizontal="center" vertical="center"/>
    </xf>
    <xf numFmtId="0" fontId="42" fillId="0" borderId="20" xfId="0" applyFont="1" applyBorder="1" applyAlignment="1">
      <alignment horizontal="center" vertical="center"/>
    </xf>
    <xf numFmtId="0" fontId="42" fillId="0" borderId="3" xfId="0" applyFont="1" applyBorder="1" applyAlignment="1">
      <alignment horizontal="center" vertical="center"/>
    </xf>
    <xf numFmtId="4" fontId="42" fillId="0" borderId="1" xfId="0" applyNumberFormat="1" applyFont="1" applyBorder="1" applyAlignment="1">
      <alignment horizontal="center" vertical="center"/>
    </xf>
    <xf numFmtId="4" fontId="42" fillId="0" borderId="5" xfId="0" applyNumberFormat="1" applyFont="1" applyBorder="1" applyAlignment="1">
      <alignment horizontal="center" vertical="center"/>
    </xf>
    <xf numFmtId="4" fontId="43" fillId="0" borderId="3" xfId="0" applyNumberFormat="1" applyFont="1" applyBorder="1" applyAlignment="1">
      <alignment horizontal="center" vertical="center" wrapText="1"/>
    </xf>
    <xf numFmtId="4" fontId="42" fillId="0" borderId="12" xfId="0" applyNumberFormat="1" applyFont="1" applyBorder="1" applyAlignment="1">
      <alignment horizontal="center" vertical="center"/>
    </xf>
    <xf numFmtId="4" fontId="44" fillId="0" borderId="1" xfId="0" applyNumberFormat="1" applyFont="1" applyBorder="1" applyAlignment="1">
      <alignment horizontal="center" vertical="center"/>
    </xf>
    <xf numFmtId="4" fontId="44" fillId="0" borderId="11" xfId="0" applyNumberFormat="1" applyFont="1" applyBorder="1" applyAlignment="1">
      <alignment horizontal="center" vertical="center"/>
    </xf>
    <xf numFmtId="2" fontId="48" fillId="0" borderId="1" xfId="0" applyNumberFormat="1" applyFont="1" applyBorder="1" applyAlignment="1">
      <alignment horizontal="center" vertical="center"/>
    </xf>
    <xf numFmtId="165" fontId="48" fillId="0" borderId="11" xfId="0" applyNumberFormat="1" applyFont="1" applyBorder="1" applyAlignment="1">
      <alignment horizontal="center" vertical="center"/>
    </xf>
    <xf numFmtId="0" fontId="46" fillId="0" borderId="1" xfId="0" applyFont="1" applyBorder="1" applyAlignment="1">
      <alignment vertical="center"/>
    </xf>
    <xf numFmtId="164" fontId="49" fillId="0" borderId="7" xfId="0" applyNumberFormat="1" applyFont="1" applyBorder="1" applyAlignment="1">
      <alignment horizontal="center" vertical="top"/>
    </xf>
    <xf numFmtId="0" fontId="49" fillId="0" borderId="8" xfId="0" applyFont="1" applyBorder="1" applyAlignment="1">
      <alignment horizontal="center" vertical="top"/>
    </xf>
    <xf numFmtId="0" fontId="49" fillId="0" borderId="9" xfId="0" applyFont="1" applyBorder="1" applyAlignment="1">
      <alignment horizontal="center" vertical="top"/>
    </xf>
    <xf numFmtId="0" fontId="49" fillId="0" borderId="23" xfId="0" applyFont="1" applyBorder="1" applyAlignment="1">
      <alignment horizontal="center"/>
    </xf>
    <xf numFmtId="4" fontId="46" fillId="0" borderId="8" xfId="0" applyNumberFormat="1" applyFont="1" applyBorder="1" applyAlignment="1">
      <alignment horizontal="center"/>
    </xf>
    <xf numFmtId="4" fontId="46" fillId="0" borderId="6" xfId="0" applyNumberFormat="1" applyFont="1" applyBorder="1" applyAlignment="1">
      <alignment horizontal="center"/>
    </xf>
    <xf numFmtId="4" fontId="46" fillId="0" borderId="4" xfId="0" applyNumberFormat="1" applyFont="1" applyBorder="1" applyAlignment="1">
      <alignment horizontal="center"/>
    </xf>
    <xf numFmtId="0" fontId="49" fillId="0" borderId="8" xfId="0" applyFont="1" applyBorder="1" applyAlignment="1">
      <alignment horizontal="center"/>
    </xf>
    <xf numFmtId="4" fontId="49" fillId="0" borderId="25" xfId="0" applyNumberFormat="1" applyFont="1" applyBorder="1" applyAlignment="1">
      <alignment horizontal="center" vertical="top"/>
    </xf>
    <xf numFmtId="4" fontId="49" fillId="0" borderId="8" xfId="0" applyNumberFormat="1" applyFont="1" applyBorder="1" applyAlignment="1">
      <alignment horizontal="center" vertical="top"/>
    </xf>
    <xf numFmtId="4" fontId="49" fillId="0" borderId="7" xfId="0" applyNumberFormat="1" applyFont="1" applyBorder="1" applyAlignment="1">
      <alignment horizontal="center"/>
    </xf>
    <xf numFmtId="4" fontId="49" fillId="0" borderId="8" xfId="0" applyNumberFormat="1" applyFont="1" applyBorder="1" applyAlignment="1">
      <alignment horizontal="center"/>
    </xf>
    <xf numFmtId="4" fontId="40" fillId="0" borderId="8" xfId="0" applyNumberFormat="1" applyFont="1" applyBorder="1" applyAlignment="1">
      <alignment horizontal="center"/>
    </xf>
    <xf numFmtId="4" fontId="40" fillId="0" borderId="6" xfId="0" applyNumberFormat="1" applyFont="1" applyBorder="1" applyAlignment="1">
      <alignment horizontal="center"/>
    </xf>
    <xf numFmtId="2" fontId="46" fillId="0" borderId="8" xfId="0" applyNumberFormat="1" applyFont="1" applyBorder="1" applyAlignment="1">
      <alignment horizontal="center"/>
    </xf>
    <xf numFmtId="0" fontId="49" fillId="0" borderId="6" xfId="0" applyFont="1" applyBorder="1" applyAlignment="1">
      <alignment horizontal="center"/>
    </xf>
    <xf numFmtId="0" fontId="49" fillId="0" borderId="9" xfId="0" applyFont="1" applyBorder="1" applyAlignment="1">
      <alignment horizontal="center"/>
    </xf>
    <xf numFmtId="0" fontId="46" fillId="7" borderId="1" xfId="0" applyFont="1" applyFill="1" applyBorder="1" applyAlignment="1">
      <alignment horizontal="center"/>
    </xf>
    <xf numFmtId="0" fontId="46" fillId="7" borderId="2" xfId="0" applyFont="1" applyFill="1" applyBorder="1" applyAlignment="1">
      <alignment horizontal="center"/>
    </xf>
    <xf numFmtId="0" fontId="46" fillId="7" borderId="20" xfId="0" applyFont="1" applyFill="1" applyBorder="1" applyAlignment="1">
      <alignment horizontal="center"/>
    </xf>
    <xf numFmtId="0" fontId="46" fillId="7" borderId="3" xfId="0" applyFont="1" applyFill="1" applyBorder="1" applyAlignment="1">
      <alignment horizontal="center"/>
    </xf>
    <xf numFmtId="4" fontId="46" fillId="7" borderId="1" xfId="0" applyNumberFormat="1" applyFont="1" applyFill="1" applyBorder="1" applyAlignment="1">
      <alignment horizontal="center"/>
    </xf>
    <xf numFmtId="4" fontId="46" fillId="7" borderId="5" xfId="0" applyNumberFormat="1" applyFont="1" applyFill="1" applyBorder="1" applyAlignment="1">
      <alignment horizontal="center"/>
    </xf>
    <xf numFmtId="4" fontId="46" fillId="7" borderId="3" xfId="0" applyNumberFormat="1" applyFont="1" applyFill="1" applyBorder="1" applyAlignment="1">
      <alignment horizontal="center"/>
    </xf>
    <xf numFmtId="4" fontId="46" fillId="7" borderId="12" xfId="0" applyNumberFormat="1" applyFont="1" applyFill="1" applyBorder="1" applyAlignment="1">
      <alignment horizontal="center"/>
    </xf>
    <xf numFmtId="0" fontId="49" fillId="7" borderId="11" xfId="0" applyFont="1" applyFill="1" applyBorder="1"/>
    <xf numFmtId="4" fontId="46" fillId="7" borderId="2" xfId="0" applyNumberFormat="1" applyFont="1" applyFill="1" applyBorder="1" applyAlignment="1">
      <alignment horizontal="center"/>
    </xf>
    <xf numFmtId="0" fontId="49" fillId="7" borderId="1" xfId="0" applyFont="1" applyFill="1" applyBorder="1" applyAlignment="1">
      <alignment horizontal="center"/>
    </xf>
    <xf numFmtId="0" fontId="49" fillId="7" borderId="2" xfId="0" applyFont="1" applyFill="1" applyBorder="1" applyAlignment="1">
      <alignment horizontal="center"/>
    </xf>
    <xf numFmtId="0" fontId="49" fillId="7" borderId="20" xfId="0" applyFont="1" applyFill="1" applyBorder="1" applyAlignment="1">
      <alignment horizontal="center"/>
    </xf>
    <xf numFmtId="2" fontId="49" fillId="7" borderId="3" xfId="0" applyNumberFormat="1" applyFont="1" applyFill="1" applyBorder="1" applyAlignment="1">
      <alignment horizontal="center"/>
    </xf>
    <xf numFmtId="2" fontId="49" fillId="7" borderId="1" xfId="0" applyNumberFormat="1" applyFont="1" applyFill="1" applyBorder="1" applyAlignment="1">
      <alignment horizontal="center"/>
    </xf>
    <xf numFmtId="2" fontId="49" fillId="7" borderId="12" xfId="0" applyNumberFormat="1" applyFont="1" applyFill="1" applyBorder="1" applyAlignment="1">
      <alignment horizontal="center"/>
    </xf>
    <xf numFmtId="0" fontId="49" fillId="7" borderId="12" xfId="0" applyFont="1" applyFill="1" applyBorder="1"/>
    <xf numFmtId="0" fontId="49" fillId="7" borderId="1" xfId="0" applyFont="1" applyFill="1" applyBorder="1"/>
    <xf numFmtId="0" fontId="49" fillId="7" borderId="2" xfId="0" applyFont="1" applyFill="1" applyBorder="1"/>
    <xf numFmtId="4" fontId="49" fillId="7" borderId="1" xfId="0" applyNumberFormat="1" applyFont="1" applyFill="1" applyBorder="1" applyAlignment="1">
      <alignment horizontal="center"/>
    </xf>
    <xf numFmtId="0" fontId="46" fillId="0" borderId="12" xfId="0" applyFont="1" applyFill="1" applyBorder="1"/>
    <xf numFmtId="0" fontId="46" fillId="0" borderId="1" xfId="0" applyFont="1" applyFill="1" applyBorder="1"/>
    <xf numFmtId="0" fontId="46" fillId="0" borderId="2" xfId="0" applyFont="1" applyFill="1" applyBorder="1"/>
    <xf numFmtId="0" fontId="46" fillId="0" borderId="20" xfId="0" applyFont="1" applyFill="1" applyBorder="1"/>
    <xf numFmtId="0" fontId="46" fillId="0" borderId="3" xfId="0" applyFont="1" applyFill="1" applyBorder="1"/>
    <xf numFmtId="2" fontId="49" fillId="0" borderId="5" xfId="0" applyNumberFormat="1" applyFont="1" applyFill="1" applyBorder="1" applyAlignment="1">
      <alignment horizontal="center"/>
    </xf>
    <xf numFmtId="2" fontId="49" fillId="0" borderId="1" xfId="0" applyNumberFormat="1" applyFont="1" applyFill="1" applyBorder="1" applyAlignment="1">
      <alignment horizontal="center"/>
    </xf>
    <xf numFmtId="0" fontId="49" fillId="0" borderId="1" xfId="0" applyFont="1" applyFill="1" applyBorder="1" applyAlignment="1">
      <alignment horizontal="center"/>
    </xf>
    <xf numFmtId="0" fontId="49" fillId="0" borderId="3" xfId="0" applyFont="1" applyFill="1" applyBorder="1" applyAlignment="1">
      <alignment horizontal="center"/>
    </xf>
    <xf numFmtId="2" fontId="49" fillId="0" borderId="12" xfId="0" applyNumberFormat="1" applyFont="1" applyFill="1" applyBorder="1" applyAlignment="1">
      <alignment horizontal="center"/>
    </xf>
    <xf numFmtId="0" fontId="49" fillId="0" borderId="12" xfId="0" applyFont="1" applyFill="1" applyBorder="1"/>
    <xf numFmtId="0" fontId="49" fillId="0" borderId="1" xfId="0" applyFont="1" applyFill="1" applyBorder="1"/>
    <xf numFmtId="0" fontId="49" fillId="0" borderId="11" xfId="0" applyFont="1" applyFill="1" applyBorder="1"/>
    <xf numFmtId="0" fontId="49" fillId="0" borderId="2" xfId="0" applyFont="1" applyFill="1" applyBorder="1"/>
    <xf numFmtId="14" fontId="40" fillId="8" borderId="12" xfId="0" applyNumberFormat="1" applyFont="1" applyFill="1" applyBorder="1" applyAlignment="1">
      <alignment horizontal="center"/>
    </xf>
    <xf numFmtId="0" fontId="40" fillId="8" borderId="1" xfId="0" applyFont="1" applyFill="1" applyBorder="1" applyAlignment="1">
      <alignment horizontal="center"/>
    </xf>
    <xf numFmtId="0" fontId="40" fillId="8" borderId="2" xfId="0" applyFont="1" applyFill="1" applyBorder="1" applyAlignment="1">
      <alignment horizontal="center"/>
    </xf>
    <xf numFmtId="0" fontId="40" fillId="8" borderId="20" xfId="0" applyFont="1" applyFill="1" applyBorder="1" applyAlignment="1">
      <alignment horizontal="center"/>
    </xf>
    <xf numFmtId="0" fontId="40" fillId="8" borderId="3" xfId="0" applyFont="1" applyFill="1" applyBorder="1" applyAlignment="1">
      <alignment horizontal="center"/>
    </xf>
    <xf numFmtId="4" fontId="40" fillId="8" borderId="1" xfId="0" applyNumberFormat="1" applyFont="1" applyFill="1" applyBorder="1" applyAlignment="1">
      <alignment horizontal="center"/>
    </xf>
    <xf numFmtId="4" fontId="40" fillId="8" borderId="5" xfId="0" applyNumberFormat="1" applyFont="1" applyFill="1" applyBorder="1" applyAlignment="1">
      <alignment horizontal="center"/>
    </xf>
    <xf numFmtId="4" fontId="40" fillId="8" borderId="3" xfId="0" applyNumberFormat="1" applyFont="1" applyFill="1" applyBorder="1" applyAlignment="1">
      <alignment horizontal="center"/>
    </xf>
    <xf numFmtId="2" fontId="40" fillId="8" borderId="1" xfId="0" applyNumberFormat="1" applyFont="1" applyFill="1" applyBorder="1" applyAlignment="1">
      <alignment horizontal="center"/>
    </xf>
    <xf numFmtId="2" fontId="40" fillId="8" borderId="1" xfId="0" applyNumberFormat="1" applyFont="1" applyFill="1" applyBorder="1"/>
    <xf numFmtId="4" fontId="40" fillId="8" borderId="12" xfId="0" applyNumberFormat="1" applyFont="1" applyFill="1" applyBorder="1" applyAlignment="1">
      <alignment horizontal="center"/>
    </xf>
    <xf numFmtId="0" fontId="49" fillId="8" borderId="11" xfId="0" applyFont="1" applyFill="1" applyBorder="1"/>
    <xf numFmtId="4" fontId="40" fillId="8" borderId="2" xfId="0" applyNumberFormat="1" applyFont="1" applyFill="1" applyBorder="1" applyAlignment="1">
      <alignment horizontal="center"/>
    </xf>
    <xf numFmtId="14" fontId="49" fillId="8" borderId="12" xfId="0" applyNumberFormat="1" applyFont="1" applyFill="1" applyBorder="1" applyAlignment="1">
      <alignment horizontal="center"/>
    </xf>
    <xf numFmtId="0" fontId="49" fillId="8" borderId="1" xfId="0" applyFont="1" applyFill="1" applyBorder="1" applyAlignment="1">
      <alignment horizontal="center"/>
    </xf>
    <xf numFmtId="0" fontId="49" fillId="8" borderId="2" xfId="0" applyFont="1" applyFill="1" applyBorder="1" applyAlignment="1">
      <alignment horizontal="center"/>
    </xf>
    <xf numFmtId="0" fontId="49" fillId="8" borderId="20" xfId="0" applyFont="1" applyFill="1" applyBorder="1" applyAlignment="1">
      <alignment horizontal="center"/>
    </xf>
    <xf numFmtId="2" fontId="49" fillId="8" borderId="1" xfId="0" applyNumberFormat="1" applyFont="1" applyFill="1" applyBorder="1" applyAlignment="1">
      <alignment horizontal="center"/>
    </xf>
    <xf numFmtId="14" fontId="40" fillId="0" borderId="12" xfId="0" applyNumberFormat="1" applyFont="1" applyFill="1" applyBorder="1" applyAlignment="1">
      <alignment horizontal="center"/>
    </xf>
    <xf numFmtId="0" fontId="40" fillId="0" borderId="1" xfId="0" applyFont="1" applyFill="1" applyBorder="1" applyAlignment="1">
      <alignment horizontal="center"/>
    </xf>
    <xf numFmtId="0" fontId="40" fillId="0" borderId="2" xfId="0" applyFont="1" applyFill="1" applyBorder="1" applyAlignment="1">
      <alignment horizontal="center"/>
    </xf>
    <xf numFmtId="0" fontId="40" fillId="0" borderId="20" xfId="0" applyFont="1" applyFill="1" applyBorder="1" applyAlignment="1">
      <alignment horizontal="center"/>
    </xf>
    <xf numFmtId="4" fontId="40" fillId="0" borderId="1" xfId="0" applyNumberFormat="1" applyFont="1" applyFill="1" applyBorder="1" applyAlignment="1">
      <alignment horizontal="center"/>
    </xf>
    <xf numFmtId="4" fontId="40" fillId="0" borderId="5" xfId="0" applyNumberFormat="1" applyFont="1" applyFill="1" applyBorder="1" applyAlignment="1">
      <alignment horizontal="center"/>
    </xf>
    <xf numFmtId="4" fontId="40" fillId="0" borderId="3" xfId="0" applyNumberFormat="1" applyFont="1" applyFill="1" applyBorder="1" applyAlignment="1">
      <alignment horizontal="center"/>
    </xf>
    <xf numFmtId="4" fontId="40" fillId="0" borderId="12" xfId="0" applyNumberFormat="1" applyFont="1" applyFill="1" applyBorder="1" applyAlignment="1">
      <alignment horizontal="center"/>
    </xf>
    <xf numFmtId="2" fontId="40" fillId="0" borderId="1" xfId="0" applyNumberFormat="1" applyFont="1" applyFill="1" applyBorder="1" applyAlignment="1">
      <alignment horizontal="center"/>
    </xf>
    <xf numFmtId="2" fontId="40" fillId="0" borderId="1" xfId="0" applyNumberFormat="1" applyFont="1" applyFill="1" applyBorder="1"/>
    <xf numFmtId="4" fontId="40" fillId="0" borderId="2" xfId="0" applyNumberFormat="1" applyFont="1" applyFill="1" applyBorder="1" applyAlignment="1">
      <alignment horizontal="center"/>
    </xf>
    <xf numFmtId="0" fontId="46" fillId="0" borderId="2" xfId="0" applyFont="1" applyBorder="1"/>
    <xf numFmtId="0" fontId="46" fillId="0" borderId="11" xfId="0" applyFont="1" applyBorder="1"/>
    <xf numFmtId="0" fontId="46" fillId="0" borderId="5" xfId="0" applyFont="1" applyBorder="1"/>
    <xf numFmtId="0" fontId="46" fillId="0" borderId="12" xfId="0" applyFont="1" applyBorder="1"/>
    <xf numFmtId="0" fontId="49" fillId="0" borderId="1" xfId="0" applyFont="1" applyBorder="1" applyAlignment="1">
      <alignment horizontal="center"/>
    </xf>
    <xf numFmtId="2" fontId="49" fillId="0" borderId="1" xfId="0" applyNumberFormat="1" applyFont="1" applyBorder="1" applyAlignment="1">
      <alignment horizontal="center"/>
    </xf>
    <xf numFmtId="0" fontId="49" fillId="0" borderId="1" xfId="0" applyFont="1" applyBorder="1"/>
    <xf numFmtId="4" fontId="48" fillId="4" borderId="14" xfId="0" applyNumberFormat="1" applyFont="1" applyFill="1" applyBorder="1" applyAlignment="1">
      <alignment horizontal="center"/>
    </xf>
    <xf numFmtId="0" fontId="48" fillId="4" borderId="14" xfId="0" applyFont="1" applyFill="1" applyBorder="1"/>
    <xf numFmtId="4" fontId="48" fillId="4" borderId="17" xfId="0" applyNumberFormat="1" applyFont="1" applyFill="1" applyBorder="1" applyAlignment="1">
      <alignment horizontal="center"/>
    </xf>
    <xf numFmtId="0" fontId="42" fillId="2" borderId="10" xfId="0" applyFont="1" applyFill="1" applyBorder="1"/>
    <xf numFmtId="164" fontId="42" fillId="2" borderId="10" xfId="0" applyNumberFormat="1" applyFont="1" applyFill="1" applyBorder="1"/>
    <xf numFmtId="0" fontId="42" fillId="2" borderId="10" xfId="0" applyFont="1" applyFill="1" applyBorder="1" applyAlignment="1">
      <alignment horizontal="center"/>
    </xf>
    <xf numFmtId="164" fontId="48" fillId="4" borderId="10" xfId="0" applyNumberFormat="1" applyFont="1" applyFill="1" applyBorder="1"/>
    <xf numFmtId="14" fontId="42" fillId="2" borderId="27" xfId="0" applyNumberFormat="1" applyFont="1" applyFill="1" applyBorder="1"/>
    <xf numFmtId="0" fontId="49" fillId="2" borderId="12" xfId="0" applyFont="1" applyFill="1" applyBorder="1"/>
    <xf numFmtId="0" fontId="49" fillId="2" borderId="2" xfId="0" applyFont="1" applyFill="1" applyBorder="1" applyAlignment="1">
      <alignment horizontal="right"/>
    </xf>
    <xf numFmtId="2" fontId="49" fillId="2" borderId="1" xfId="0" applyNumberFormat="1" applyFont="1" applyFill="1" applyBorder="1"/>
    <xf numFmtId="0" fontId="49" fillId="2" borderId="1" xfId="0" applyFont="1" applyFill="1" applyBorder="1"/>
    <xf numFmtId="0" fontId="46" fillId="4" borderId="1" xfId="0" applyFont="1" applyFill="1" applyBorder="1"/>
    <xf numFmtId="0" fontId="49" fillId="2" borderId="11" xfId="0" applyFont="1" applyFill="1" applyBorder="1"/>
    <xf numFmtId="164" fontId="41" fillId="0" borderId="15" xfId="0" applyNumberFormat="1" applyFont="1" applyBorder="1" applyAlignment="1">
      <alignment horizontal="center" vertical="top"/>
    </xf>
    <xf numFmtId="0" fontId="42" fillId="0" borderId="14" xfId="0" applyFont="1" applyBorder="1" applyAlignment="1">
      <alignment horizontal="center" vertical="top"/>
    </xf>
    <xf numFmtId="0" fontId="42" fillId="0" borderId="13" xfId="0" applyFont="1" applyBorder="1" applyAlignment="1">
      <alignment horizontal="center" vertical="top"/>
    </xf>
    <xf numFmtId="0" fontId="49" fillId="0" borderId="22" xfId="0" applyFont="1" applyBorder="1" applyAlignment="1">
      <alignment horizontal="center"/>
    </xf>
    <xf numFmtId="0" fontId="49" fillId="0" borderId="24" xfId="0" applyFont="1" applyBorder="1" applyAlignment="1">
      <alignment horizontal="center"/>
    </xf>
    <xf numFmtId="0" fontId="49" fillId="0" borderId="14" xfId="0" applyFont="1" applyBorder="1" applyAlignment="1">
      <alignment horizontal="center"/>
    </xf>
    <xf numFmtId="4" fontId="42" fillId="0" borderId="14" xfId="0" applyNumberFormat="1" applyFont="1" applyBorder="1" applyAlignment="1">
      <alignment horizontal="center" vertical="top"/>
    </xf>
    <xf numFmtId="4" fontId="42" fillId="0" borderId="16" xfId="0" applyNumberFormat="1" applyFont="1" applyBorder="1" applyAlignment="1">
      <alignment horizontal="center" vertical="top"/>
    </xf>
    <xf numFmtId="4" fontId="43" fillId="0" borderId="14" xfId="0" applyNumberFormat="1" applyFont="1" applyBorder="1" applyAlignment="1">
      <alignment horizontal="center"/>
    </xf>
    <xf numFmtId="0" fontId="46" fillId="0" borderId="3" xfId="0" applyFont="1" applyBorder="1"/>
    <xf numFmtId="0" fontId="48" fillId="0" borderId="1" xfId="0" applyFont="1" applyBorder="1" applyAlignment="1">
      <alignment horizontal="center"/>
    </xf>
    <xf numFmtId="4" fontId="42" fillId="0" borderId="15" xfId="0" applyNumberFormat="1" applyFont="1" applyBorder="1" applyAlignment="1">
      <alignment horizontal="center" vertical="top"/>
    </xf>
    <xf numFmtId="4" fontId="49" fillId="0" borderId="14" xfId="0" applyNumberFormat="1" applyFont="1" applyBorder="1" applyAlignment="1">
      <alignment horizontal="center"/>
    </xf>
    <xf numFmtId="4" fontId="42" fillId="0" borderId="17" xfId="0" applyNumberFormat="1" applyFont="1" applyBorder="1" applyAlignment="1">
      <alignment horizontal="center"/>
    </xf>
    <xf numFmtId="0" fontId="49" fillId="0" borderId="13" xfId="0" applyFont="1" applyBorder="1" applyAlignment="1">
      <alignment horizontal="center"/>
    </xf>
    <xf numFmtId="0" fontId="49" fillId="0" borderId="20" xfId="0" applyFont="1" applyBorder="1" applyAlignment="1">
      <alignment horizontal="center"/>
    </xf>
    <xf numFmtId="4" fontId="42" fillId="0" borderId="1" xfId="0" applyNumberFormat="1" applyFont="1" applyBorder="1" applyAlignment="1">
      <alignment horizontal="center" vertical="top"/>
    </xf>
    <xf numFmtId="4" fontId="42" fillId="0" borderId="5" xfId="0" applyNumberFormat="1" applyFont="1" applyBorder="1" applyAlignment="1">
      <alignment horizontal="center" vertical="top"/>
    </xf>
    <xf numFmtId="4" fontId="43" fillId="0" borderId="3" xfId="0" applyNumberFormat="1" applyFont="1" applyBorder="1" applyAlignment="1">
      <alignment horizontal="center" vertical="top"/>
    </xf>
    <xf numFmtId="4" fontId="43" fillId="0" borderId="1" xfId="0" applyNumberFormat="1" applyFont="1" applyBorder="1" applyAlignment="1">
      <alignment horizontal="center" vertical="top"/>
    </xf>
    <xf numFmtId="0" fontId="49" fillId="0" borderId="2" xfId="0" applyFont="1" applyBorder="1" applyAlignment="1">
      <alignment horizontal="center"/>
    </xf>
    <xf numFmtId="4" fontId="43" fillId="0" borderId="20" xfId="0" applyNumberFormat="1" applyFont="1" applyBorder="1" applyAlignment="1">
      <alignment horizontal="center" vertical="center" wrapText="1"/>
    </xf>
    <xf numFmtId="4" fontId="43" fillId="0" borderId="1" xfId="0" applyNumberFormat="1" applyFont="1" applyBorder="1" applyAlignment="1">
      <alignment horizontal="center" vertical="center" wrapText="1"/>
    </xf>
    <xf numFmtId="4" fontId="46" fillId="0" borderId="7" xfId="0" applyNumberFormat="1" applyFont="1" applyBorder="1" applyAlignment="1">
      <alignment horizontal="center"/>
    </xf>
    <xf numFmtId="4" fontId="49" fillId="0" borderId="23" xfId="0" applyNumberFormat="1" applyFont="1" applyBorder="1" applyAlignment="1">
      <alignment horizontal="center" vertical="top"/>
    </xf>
    <xf numFmtId="0" fontId="46" fillId="7" borderId="1" xfId="0" applyFont="1" applyFill="1" applyBorder="1"/>
    <xf numFmtId="164" fontId="46" fillId="7" borderId="12" xfId="0" applyNumberFormat="1" applyFont="1" applyFill="1" applyBorder="1" applyAlignment="1">
      <alignment horizontal="center"/>
    </xf>
    <xf numFmtId="164" fontId="49" fillId="7" borderId="12" xfId="0" applyNumberFormat="1" applyFont="1" applyFill="1" applyBorder="1" applyAlignment="1">
      <alignment horizontal="center"/>
    </xf>
    <xf numFmtId="4" fontId="40" fillId="8" borderId="20" xfId="0" applyNumberFormat="1" applyFont="1" applyFill="1" applyBorder="1" applyAlignment="1">
      <alignment horizontal="center"/>
    </xf>
    <xf numFmtId="4" fontId="40" fillId="0" borderId="20" xfId="0" applyNumberFormat="1" applyFont="1" applyFill="1" applyBorder="1" applyAlignment="1">
      <alignment horizontal="center"/>
    </xf>
    <xf numFmtId="14" fontId="49" fillId="5" borderId="1" xfId="0" applyNumberFormat="1" applyFont="1" applyFill="1" applyBorder="1" applyAlignment="1">
      <alignment horizontal="center"/>
    </xf>
    <xf numFmtId="0" fontId="49" fillId="5" borderId="1" xfId="0" applyFont="1" applyFill="1" applyBorder="1" applyAlignment="1">
      <alignment horizontal="center"/>
    </xf>
    <xf numFmtId="0" fontId="49" fillId="5" borderId="2" xfId="0" applyFont="1" applyFill="1" applyBorder="1" applyAlignment="1">
      <alignment horizontal="center"/>
    </xf>
    <xf numFmtId="0" fontId="49" fillId="5" borderId="20" xfId="0" applyFont="1" applyFill="1" applyBorder="1" applyAlignment="1">
      <alignment horizontal="center"/>
    </xf>
    <xf numFmtId="2" fontId="49" fillId="5" borderId="1" xfId="0" applyNumberFormat="1" applyFont="1" applyFill="1" applyBorder="1" applyAlignment="1">
      <alignment horizontal="center"/>
    </xf>
    <xf numFmtId="2" fontId="49" fillId="5" borderId="11" xfId="0" applyNumberFormat="1" applyFont="1" applyFill="1" applyBorder="1" applyAlignment="1">
      <alignment horizontal="center"/>
    </xf>
    <xf numFmtId="0" fontId="49" fillId="6" borderId="5" xfId="0" applyFont="1" applyFill="1" applyBorder="1" applyAlignment="1">
      <alignment horizontal="center"/>
    </xf>
    <xf numFmtId="0" fontId="49" fillId="6" borderId="1" xfId="0" applyFont="1" applyFill="1" applyBorder="1" applyAlignment="1">
      <alignment horizontal="center"/>
    </xf>
    <xf numFmtId="2" fontId="49" fillId="3" borderId="1" xfId="0" applyNumberFormat="1" applyFont="1" applyFill="1" applyBorder="1" applyAlignment="1">
      <alignment horizontal="center"/>
    </xf>
    <xf numFmtId="2" fontId="49" fillId="3" borderId="2" xfId="0" applyNumberFormat="1" applyFont="1" applyFill="1" applyBorder="1" applyAlignment="1">
      <alignment horizontal="center"/>
    </xf>
    <xf numFmtId="2" fontId="49" fillId="3" borderId="20" xfId="0" applyNumberFormat="1" applyFont="1" applyFill="1" applyBorder="1" applyAlignment="1">
      <alignment horizontal="center"/>
    </xf>
    <xf numFmtId="0" fontId="49" fillId="3" borderId="11" xfId="0" applyFont="1" applyFill="1" applyBorder="1" applyAlignment="1">
      <alignment horizontal="center"/>
    </xf>
    <xf numFmtId="0" fontId="49" fillId="3" borderId="1" xfId="0" applyFont="1" applyFill="1" applyBorder="1" applyAlignment="1">
      <alignment horizontal="center"/>
    </xf>
    <xf numFmtId="0" fontId="49" fillId="3" borderId="1" xfId="0" applyFont="1" applyFill="1" applyBorder="1"/>
    <xf numFmtId="0" fontId="49" fillId="6" borderId="11" xfId="0" applyFont="1" applyFill="1" applyBorder="1"/>
    <xf numFmtId="0" fontId="49" fillId="3" borderId="2" xfId="0" applyFont="1" applyFill="1" applyBorder="1"/>
    <xf numFmtId="0" fontId="46" fillId="0" borderId="20" xfId="0" applyFont="1" applyBorder="1"/>
    <xf numFmtId="0" fontId="49" fillId="2" borderId="7" xfId="0" applyFont="1" applyFill="1" applyBorder="1"/>
    <xf numFmtId="2" fontId="49" fillId="2" borderId="8" xfId="0" applyNumberFormat="1" applyFont="1" applyFill="1" applyBorder="1"/>
    <xf numFmtId="0" fontId="49" fillId="2" borderId="8" xfId="0" applyFont="1" applyFill="1" applyBorder="1"/>
    <xf numFmtId="4" fontId="49" fillId="2" borderId="8" xfId="0" applyNumberFormat="1" applyFont="1" applyFill="1" applyBorder="1"/>
    <xf numFmtId="0" fontId="49" fillId="2" borderId="6" xfId="0" applyFont="1" applyFill="1" applyBorder="1"/>
    <xf numFmtId="0" fontId="49" fillId="7" borderId="3" xfId="0" applyFont="1" applyFill="1" applyBorder="1" applyAlignment="1">
      <alignment horizontal="center"/>
    </xf>
    <xf numFmtId="0" fontId="49" fillId="7" borderId="12" xfId="0" applyFont="1" applyFill="1" applyBorder="1" applyAlignment="1">
      <alignment horizontal="center"/>
    </xf>
    <xf numFmtId="2" fontId="46" fillId="7" borderId="3" xfId="0" applyNumberFormat="1" applyFont="1" applyFill="1" applyBorder="1" applyAlignment="1">
      <alignment horizontal="center"/>
    </xf>
    <xf numFmtId="2" fontId="49" fillId="8" borderId="3" xfId="0" applyNumberFormat="1" applyFont="1" applyFill="1" applyBorder="1" applyAlignment="1">
      <alignment horizontal="center"/>
    </xf>
    <xf numFmtId="0" fontId="40" fillId="0" borderId="3" xfId="0" applyFont="1" applyFill="1" applyBorder="1" applyAlignment="1">
      <alignment horizontal="center"/>
    </xf>
    <xf numFmtId="0" fontId="46" fillId="0" borderId="11" xfId="0" applyFont="1" applyBorder="1" applyAlignment="1">
      <alignment horizontal="center"/>
    </xf>
    <xf numFmtId="0" fontId="46" fillId="0" borderId="19" xfId="0" applyFont="1" applyBorder="1"/>
    <xf numFmtId="0" fontId="0" fillId="7" borderId="1" xfId="0" applyFill="1" applyBorder="1"/>
    <xf numFmtId="0" fontId="0" fillId="7" borderId="11" xfId="0" applyFill="1" applyBorder="1"/>
    <xf numFmtId="0" fontId="0" fillId="0" borderId="1" xfId="0" applyBorder="1" applyAlignment="1">
      <alignment horizontal="center"/>
    </xf>
    <xf numFmtId="14" fontId="0" fillId="7" borderId="1" xfId="0" applyNumberFormat="1" applyFill="1" applyBorder="1" applyAlignment="1">
      <alignment horizontal="center"/>
    </xf>
    <xf numFmtId="2" fontId="0" fillId="7" borderId="1" xfId="0" applyNumberFormat="1" applyFill="1" applyBorder="1" applyAlignment="1">
      <alignment horizontal="center"/>
    </xf>
    <xf numFmtId="2" fontId="0" fillId="7" borderId="11" xfId="0" applyNumberFormat="1" applyFill="1" applyBorder="1" applyAlignment="1">
      <alignment horizontal="center"/>
    </xf>
    <xf numFmtId="2" fontId="0" fillId="7" borderId="5" xfId="0" applyNumberFormat="1" applyFill="1" applyBorder="1" applyAlignment="1">
      <alignment horizontal="center"/>
    </xf>
    <xf numFmtId="2" fontId="0" fillId="7" borderId="2" xfId="0" applyNumberFormat="1" applyFill="1" applyBorder="1" applyAlignment="1">
      <alignment horizontal="center"/>
    </xf>
    <xf numFmtId="0" fontId="0" fillId="7" borderId="1" xfId="0" applyFill="1" applyBorder="1" applyAlignment="1">
      <alignment horizontal="center"/>
    </xf>
    <xf numFmtId="0" fontId="0" fillId="7" borderId="20" xfId="0" applyFill="1" applyBorder="1" applyAlignment="1">
      <alignment horizontal="center"/>
    </xf>
    <xf numFmtId="0" fontId="0" fillId="0" borderId="1" xfId="0" applyBorder="1" applyAlignment="1">
      <alignment horizontal="center" vertical="center"/>
    </xf>
    <xf numFmtId="0" fontId="0" fillId="0" borderId="1" xfId="0" applyFill="1" applyBorder="1" applyAlignment="1">
      <alignment horizontal="center"/>
    </xf>
    <xf numFmtId="14" fontId="0" fillId="9" borderId="1" xfId="0" applyNumberFormat="1" applyFill="1" applyBorder="1" applyAlignment="1">
      <alignment horizontal="center"/>
    </xf>
    <xf numFmtId="0" fontId="32" fillId="9" borderId="1" xfId="0" applyFont="1" applyFill="1" applyBorder="1" applyAlignment="1">
      <alignment horizontal="center"/>
    </xf>
    <xf numFmtId="0" fontId="32" fillId="9" borderId="2" xfId="0" applyFont="1" applyFill="1" applyBorder="1" applyAlignment="1">
      <alignment horizontal="center"/>
    </xf>
    <xf numFmtId="0" fontId="32" fillId="9" borderId="20" xfId="0" applyFont="1" applyFill="1" applyBorder="1" applyAlignment="1">
      <alignment horizontal="center"/>
    </xf>
    <xf numFmtId="2" fontId="0" fillId="9" borderId="1" xfId="0" applyNumberFormat="1" applyFill="1" applyBorder="1" applyAlignment="1">
      <alignment horizontal="center"/>
    </xf>
    <xf numFmtId="2" fontId="0" fillId="9" borderId="11" xfId="0" applyNumberFormat="1" applyFill="1" applyBorder="1" applyAlignment="1">
      <alignment horizontal="center"/>
    </xf>
    <xf numFmtId="2" fontId="0" fillId="9" borderId="5" xfId="0" applyNumberFormat="1" applyFill="1" applyBorder="1" applyAlignment="1">
      <alignment horizontal="center"/>
    </xf>
    <xf numFmtId="2" fontId="0" fillId="9" borderId="2" xfId="0" applyNumberFormat="1" applyFill="1" applyBorder="1" applyAlignment="1">
      <alignment horizontal="center"/>
    </xf>
    <xf numFmtId="0" fontId="0" fillId="9" borderId="1" xfId="0" applyFill="1" applyBorder="1" applyAlignment="1">
      <alignment horizontal="center"/>
    </xf>
    <xf numFmtId="0" fontId="0" fillId="9" borderId="11" xfId="0" applyFill="1" applyBorder="1" applyAlignment="1">
      <alignment horizontal="center"/>
    </xf>
    <xf numFmtId="0" fontId="0" fillId="9" borderId="2" xfId="0" applyFill="1" applyBorder="1" applyAlignment="1">
      <alignment horizontal="center"/>
    </xf>
    <xf numFmtId="0" fontId="0" fillId="9" borderId="20" xfId="0" applyFill="1" applyBorder="1" applyAlignment="1">
      <alignment horizontal="center"/>
    </xf>
    <xf numFmtId="0" fontId="14" fillId="4" borderId="14" xfId="0" applyFont="1" applyFill="1" applyBorder="1" applyAlignment="1">
      <alignment horizontal="center"/>
    </xf>
    <xf numFmtId="0" fontId="15" fillId="0" borderId="1" xfId="0" applyFont="1" applyFill="1" applyBorder="1" applyAlignment="1">
      <alignment horizontal="center"/>
    </xf>
    <xf numFmtId="164" fontId="37" fillId="2" borderId="10" xfId="0" applyNumberFormat="1" applyFont="1" applyFill="1" applyBorder="1" applyAlignment="1">
      <alignment horizontal="center"/>
    </xf>
    <xf numFmtId="164" fontId="14" fillId="4" borderId="10" xfId="0" applyNumberFormat="1" applyFont="1" applyFill="1" applyBorder="1" applyAlignment="1">
      <alignment horizontal="center"/>
    </xf>
    <xf numFmtId="14" fontId="37" fillId="2" borderId="27" xfId="0" applyNumberFormat="1" applyFont="1" applyFill="1" applyBorder="1" applyAlignment="1">
      <alignment horizontal="center"/>
    </xf>
    <xf numFmtId="0" fontId="11" fillId="0" borderId="1" xfId="0" applyFont="1" applyFill="1" applyBorder="1" applyAlignment="1">
      <alignment horizontal="center"/>
    </xf>
    <xf numFmtId="0" fontId="11" fillId="2" borderId="12" xfId="0" applyFont="1" applyFill="1" applyBorder="1" applyAlignment="1">
      <alignment horizontal="center"/>
    </xf>
    <xf numFmtId="0" fontId="11" fillId="2" borderId="2" xfId="0" applyFont="1" applyFill="1" applyBorder="1" applyAlignment="1">
      <alignment horizontal="center"/>
    </xf>
    <xf numFmtId="2" fontId="11" fillId="2" borderId="1" xfId="0" applyNumberFormat="1" applyFont="1" applyFill="1" applyBorder="1" applyAlignment="1">
      <alignment horizontal="center"/>
    </xf>
    <xf numFmtId="0" fontId="11" fillId="2" borderId="1" xfId="0" applyFont="1" applyFill="1" applyBorder="1" applyAlignment="1">
      <alignment horizontal="center"/>
    </xf>
    <xf numFmtId="0" fontId="0" fillId="4" borderId="1" xfId="0" applyFill="1" applyBorder="1" applyAlignment="1">
      <alignment horizontal="center"/>
    </xf>
    <xf numFmtId="0" fontId="11" fillId="2" borderId="11" xfId="0" applyFont="1" applyFill="1" applyBorder="1" applyAlignment="1">
      <alignment horizontal="center"/>
    </xf>
    <xf numFmtId="0" fontId="34" fillId="4" borderId="2" xfId="0" applyFont="1" applyFill="1" applyBorder="1" applyAlignment="1">
      <alignment horizontal="center"/>
    </xf>
    <xf numFmtId="0" fontId="36" fillId="4" borderId="2" xfId="0" applyFont="1" applyFill="1" applyBorder="1" applyAlignment="1">
      <alignment horizontal="center"/>
    </xf>
    <xf numFmtId="0" fontId="11" fillId="2" borderId="7" xfId="0" applyFont="1" applyFill="1" applyBorder="1" applyAlignment="1">
      <alignment horizontal="center"/>
    </xf>
    <xf numFmtId="0" fontId="36" fillId="4" borderId="9" xfId="0" applyFont="1" applyFill="1" applyBorder="1" applyAlignment="1">
      <alignment horizontal="center"/>
    </xf>
    <xf numFmtId="2" fontId="11" fillId="2" borderId="8" xfId="0" applyNumberFormat="1" applyFont="1" applyFill="1" applyBorder="1" applyAlignment="1">
      <alignment horizontal="center"/>
    </xf>
    <xf numFmtId="0" fontId="11" fillId="2" borderId="8" xfId="0" applyFont="1" applyFill="1" applyBorder="1" applyAlignment="1">
      <alignment horizontal="center"/>
    </xf>
    <xf numFmtId="4" fontId="11" fillId="2" borderId="8" xfId="0" applyNumberFormat="1" applyFont="1" applyFill="1" applyBorder="1" applyAlignment="1">
      <alignment horizontal="center"/>
    </xf>
    <xf numFmtId="0" fontId="11" fillId="2" borderId="6" xfId="0" applyFont="1" applyFill="1" applyBorder="1" applyAlignment="1">
      <alignment horizontal="center"/>
    </xf>
    <xf numFmtId="0" fontId="46" fillId="10" borderId="1" xfId="0" applyFont="1" applyFill="1" applyBorder="1"/>
    <xf numFmtId="0" fontId="46" fillId="10" borderId="11" xfId="0" applyFont="1" applyFill="1" applyBorder="1"/>
    <xf numFmtId="0" fontId="46" fillId="10" borderId="19" xfId="0" applyFont="1" applyFill="1" applyBorder="1"/>
    <xf numFmtId="2" fontId="46" fillId="10" borderId="11" xfId="0" applyNumberFormat="1" applyFont="1" applyFill="1" applyBorder="1"/>
    <xf numFmtId="0" fontId="46" fillId="10" borderId="2" xfId="0" applyFont="1" applyFill="1" applyBorder="1" applyAlignment="1">
      <alignment horizontal="center"/>
    </xf>
    <xf numFmtId="0" fontId="46" fillId="10" borderId="1" xfId="0" applyFont="1" applyFill="1" applyBorder="1" applyAlignment="1">
      <alignment horizontal="center"/>
    </xf>
    <xf numFmtId="14" fontId="46" fillId="10" borderId="1" xfId="0" applyNumberFormat="1" applyFont="1" applyFill="1" applyBorder="1" applyAlignment="1">
      <alignment horizontal="center"/>
    </xf>
    <xf numFmtId="0" fontId="46" fillId="10" borderId="11" xfId="0" applyFont="1" applyFill="1" applyBorder="1" applyAlignment="1">
      <alignment horizontal="center"/>
    </xf>
    <xf numFmtId="0" fontId="46" fillId="10" borderId="5" xfId="0" applyFont="1" applyFill="1" applyBorder="1" applyAlignment="1">
      <alignment horizontal="center"/>
    </xf>
    <xf numFmtId="2" fontId="46" fillId="10" borderId="1" xfId="0" applyNumberFormat="1" applyFont="1" applyFill="1" applyBorder="1" applyAlignment="1">
      <alignment horizontal="center"/>
    </xf>
    <xf numFmtId="2" fontId="46" fillId="10" borderId="2" xfId="0" applyNumberFormat="1" applyFont="1" applyFill="1" applyBorder="1" applyAlignment="1">
      <alignment horizontal="center"/>
    </xf>
    <xf numFmtId="4" fontId="40" fillId="8" borderId="2" xfId="0" applyNumberFormat="1" applyFont="1" applyFill="1" applyBorder="1" applyAlignment="1"/>
    <xf numFmtId="2" fontId="34" fillId="5" borderId="1" xfId="0" applyNumberFormat="1" applyFont="1" applyFill="1" applyBorder="1" applyAlignment="1">
      <alignment horizontal="center"/>
    </xf>
    <xf numFmtId="0" fontId="10" fillId="0" borderId="3" xfId="0" applyFont="1" applyBorder="1" applyAlignment="1">
      <alignment horizontal="center"/>
    </xf>
    <xf numFmtId="0" fontId="10" fillId="0" borderId="1" xfId="0" applyFont="1" applyBorder="1" applyAlignment="1">
      <alignment horizontal="center"/>
    </xf>
    <xf numFmtId="0" fontId="10" fillId="0" borderId="11" xfId="0" applyFont="1" applyBorder="1" applyAlignment="1">
      <alignment horizontal="center"/>
    </xf>
    <xf numFmtId="0" fontId="42" fillId="0" borderId="3" xfId="0" applyFont="1" applyBorder="1" applyAlignment="1">
      <alignment horizontal="center"/>
    </xf>
    <xf numFmtId="0" fontId="42" fillId="0" borderId="1" xfId="0" applyFont="1" applyBorder="1" applyAlignment="1">
      <alignment horizontal="center"/>
    </xf>
    <xf numFmtId="0" fontId="42" fillId="0" borderId="11" xfId="0" applyFont="1" applyBorder="1" applyAlignment="1">
      <alignment horizontal="center"/>
    </xf>
    <xf numFmtId="165" fontId="45" fillId="0" borderId="1" xfId="0" applyNumberFormat="1" applyFont="1" applyBorder="1" applyAlignment="1">
      <alignment horizontal="center"/>
    </xf>
    <xf numFmtId="0" fontId="50" fillId="2" borderId="15" xfId="0" applyFont="1" applyFill="1" applyBorder="1" applyAlignment="1">
      <alignment horizontal="center" vertical="center"/>
    </xf>
    <xf numFmtId="0" fontId="50" fillId="2" borderId="13" xfId="0" applyFont="1" applyFill="1" applyBorder="1" applyAlignment="1">
      <alignment horizontal="center" vertical="center"/>
    </xf>
    <xf numFmtId="0" fontId="50" fillId="2" borderId="26" xfId="0" applyFont="1" applyFill="1" applyBorder="1" applyAlignment="1">
      <alignment horizontal="center" vertical="center"/>
    </xf>
    <xf numFmtId="0" fontId="50" fillId="2" borderId="21" xfId="0" applyFont="1" applyFill="1" applyBorder="1" applyAlignment="1">
      <alignment horizontal="center" vertical="center"/>
    </xf>
    <xf numFmtId="0" fontId="45" fillId="4" borderId="14" xfId="0" applyFont="1" applyFill="1" applyBorder="1" applyAlignment="1">
      <alignment horizontal="center"/>
    </xf>
    <xf numFmtId="0" fontId="15" fillId="5" borderId="1" xfId="0" applyFont="1" applyFill="1" applyBorder="1" applyAlignment="1">
      <alignment horizontal="center"/>
    </xf>
    <xf numFmtId="2" fontId="15" fillId="5" borderId="1" xfId="0" applyNumberFormat="1" applyFont="1" applyFill="1" applyBorder="1" applyAlignment="1">
      <alignment horizontal="center"/>
    </xf>
    <xf numFmtId="0" fontId="15" fillId="5" borderId="1" xfId="0" applyFont="1" applyFill="1" applyBorder="1"/>
    <xf numFmtId="14" fontId="15" fillId="5" borderId="1" xfId="0" applyNumberFormat="1" applyFont="1" applyFill="1" applyBorder="1" applyAlignment="1">
      <alignment horizontal="center"/>
    </xf>
    <xf numFmtId="2" fontId="49" fillId="3" borderId="11" xfId="0" applyNumberFormat="1" applyFont="1" applyFill="1" applyBorder="1" applyAlignment="1">
      <alignment horizontal="center"/>
    </xf>
    <xf numFmtId="2" fontId="40" fillId="8" borderId="19" xfId="0" applyNumberFormat="1" applyFont="1" applyFill="1" applyBorder="1" applyAlignment="1">
      <alignment horizontal="center"/>
    </xf>
    <xf numFmtId="2" fontId="40" fillId="8" borderId="2" xfId="0" applyNumberFormat="1" applyFont="1" applyFill="1" applyBorder="1" applyAlignment="1">
      <alignment horizontal="center"/>
    </xf>
    <xf numFmtId="2" fontId="40" fillId="0" borderId="19" xfId="0" applyNumberFormat="1" applyFont="1" applyFill="1" applyBorder="1" applyAlignment="1">
      <alignment horizontal="center"/>
    </xf>
    <xf numFmtId="2" fontId="40" fillId="0" borderId="2" xfId="0" applyNumberFormat="1" applyFont="1" applyFill="1" applyBorder="1" applyAlignment="1">
      <alignment horizontal="center"/>
    </xf>
    <xf numFmtId="2" fontId="34" fillId="5" borderId="12" xfId="0" applyNumberFormat="1" applyFont="1" applyFill="1" applyBorder="1" applyAlignment="1">
      <alignment horizontal="center"/>
    </xf>
    <xf numFmtId="2" fontId="34" fillId="5" borderId="1" xfId="0" applyNumberFormat="1" applyFont="1" applyFill="1" applyBorder="1"/>
    <xf numFmtId="14" fontId="34" fillId="0" borderId="12" xfId="0" applyNumberFormat="1" applyFont="1" applyFill="1" applyBorder="1" applyAlignment="1">
      <alignment horizontal="center"/>
    </xf>
    <xf numFmtId="0" fontId="34" fillId="0" borderId="1" xfId="0" applyFont="1" applyFill="1" applyBorder="1" applyAlignment="1">
      <alignment horizontal="center"/>
    </xf>
    <xf numFmtId="0" fontId="34" fillId="0" borderId="2" xfId="0" applyFont="1" applyFill="1" applyBorder="1" applyAlignment="1">
      <alignment horizontal="center"/>
    </xf>
    <xf numFmtId="0" fontId="34" fillId="0" borderId="20" xfId="0" applyFont="1" applyFill="1" applyBorder="1" applyAlignment="1">
      <alignment horizontal="center"/>
    </xf>
    <xf numFmtId="0" fontId="34" fillId="0" borderId="3" xfId="0" applyFont="1" applyFill="1" applyBorder="1" applyAlignment="1">
      <alignment horizontal="center"/>
    </xf>
    <xf numFmtId="4" fontId="34" fillId="0" borderId="1" xfId="0" applyNumberFormat="1" applyFont="1" applyFill="1" applyBorder="1" applyAlignment="1">
      <alignment horizontal="center"/>
    </xf>
    <xf numFmtId="4" fontId="34" fillId="0" borderId="5" xfId="0" applyNumberFormat="1" applyFont="1" applyFill="1" applyBorder="1" applyAlignment="1">
      <alignment horizontal="center"/>
    </xf>
    <xf numFmtId="2" fontId="34" fillId="0" borderId="1" xfId="0" applyNumberFormat="1" applyFont="1" applyFill="1" applyBorder="1" applyAlignment="1">
      <alignment horizontal="center"/>
    </xf>
    <xf numFmtId="4" fontId="34" fillId="0" borderId="3" xfId="0" applyNumberFormat="1" applyFont="1" applyFill="1" applyBorder="1" applyAlignment="1">
      <alignment horizontal="center"/>
    </xf>
    <xf numFmtId="2" fontId="34" fillId="0" borderId="12" xfId="0" applyNumberFormat="1" applyFont="1" applyFill="1" applyBorder="1" applyAlignment="1">
      <alignment horizontal="center"/>
    </xf>
    <xf numFmtId="2" fontId="34" fillId="0" borderId="1" xfId="0" applyNumberFormat="1" applyFont="1" applyFill="1" applyBorder="1"/>
    <xf numFmtId="4" fontId="34" fillId="0" borderId="12" xfId="0" applyNumberFormat="1" applyFont="1" applyFill="1" applyBorder="1" applyAlignment="1">
      <alignment horizontal="center"/>
    </xf>
    <xf numFmtId="0" fontId="15" fillId="0" borderId="11" xfId="0" applyFont="1" applyFill="1" applyBorder="1"/>
    <xf numFmtId="4" fontId="34" fillId="0" borderId="2" xfId="0" applyNumberFormat="1" applyFont="1" applyFill="1" applyBorder="1" applyAlignment="1">
      <alignment horizontal="center"/>
    </xf>
    <xf numFmtId="14" fontId="34" fillId="11" borderId="12" xfId="0" applyNumberFormat="1" applyFont="1" applyFill="1" applyBorder="1" applyAlignment="1">
      <alignment horizontal="center"/>
    </xf>
    <xf numFmtId="0" fontId="34" fillId="11" borderId="1" xfId="0" applyFont="1" applyFill="1" applyBorder="1" applyAlignment="1">
      <alignment horizontal="center"/>
    </xf>
    <xf numFmtId="0" fontId="34" fillId="11" borderId="2" xfId="0" applyFont="1" applyFill="1" applyBorder="1" applyAlignment="1">
      <alignment horizontal="center"/>
    </xf>
    <xf numFmtId="0" fontId="34" fillId="11" borderId="20" xfId="0" applyFont="1" applyFill="1" applyBorder="1" applyAlignment="1">
      <alignment horizontal="center"/>
    </xf>
    <xf numFmtId="0" fontId="34" fillId="11" borderId="3" xfId="0" applyFont="1" applyFill="1" applyBorder="1" applyAlignment="1">
      <alignment horizontal="center"/>
    </xf>
    <xf numFmtId="4" fontId="34" fillId="11" borderId="1" xfId="0" applyNumberFormat="1" applyFont="1" applyFill="1" applyBorder="1" applyAlignment="1">
      <alignment horizontal="center"/>
    </xf>
    <xf numFmtId="4" fontId="34" fillId="11" borderId="5" xfId="0" applyNumberFormat="1" applyFont="1" applyFill="1" applyBorder="1" applyAlignment="1">
      <alignment horizontal="center"/>
    </xf>
    <xf numFmtId="2" fontId="34" fillId="11" borderId="1" xfId="0" applyNumberFormat="1" applyFont="1" applyFill="1" applyBorder="1" applyAlignment="1">
      <alignment horizontal="center"/>
    </xf>
    <xf numFmtId="4" fontId="34" fillId="11" borderId="3" xfId="0" applyNumberFormat="1" applyFont="1" applyFill="1" applyBorder="1" applyAlignment="1">
      <alignment horizontal="center"/>
    </xf>
    <xf numFmtId="2" fontId="34" fillId="11" borderId="12" xfId="0" applyNumberFormat="1" applyFont="1" applyFill="1" applyBorder="1" applyAlignment="1">
      <alignment horizontal="center"/>
    </xf>
    <xf numFmtId="2" fontId="34" fillId="11" borderId="1" xfId="0" applyNumberFormat="1" applyFont="1" applyFill="1" applyBorder="1"/>
    <xf numFmtId="4" fontId="34" fillId="11" borderId="12" xfId="0" applyNumberFormat="1" applyFont="1" applyFill="1" applyBorder="1" applyAlignment="1">
      <alignment horizontal="center"/>
    </xf>
    <xf numFmtId="0" fontId="15" fillId="11" borderId="11" xfId="0" applyFont="1" applyFill="1" applyBorder="1"/>
    <xf numFmtId="4" fontId="34" fillId="11" borderId="2" xfId="0" applyNumberFormat="1" applyFont="1" applyFill="1" applyBorder="1" applyAlignment="1">
      <alignment horizontal="center"/>
    </xf>
    <xf numFmtId="0" fontId="0" fillId="11" borderId="1" xfId="0" applyFill="1" applyBorder="1"/>
    <xf numFmtId="14" fontId="46" fillId="0" borderId="1" xfId="0" applyNumberFormat="1" applyFont="1" applyFill="1" applyBorder="1" applyAlignment="1">
      <alignment horizontal="center"/>
    </xf>
    <xf numFmtId="0" fontId="46" fillId="0" borderId="1" xfId="0" applyFont="1" applyFill="1" applyBorder="1" applyAlignment="1">
      <alignment horizontal="center"/>
    </xf>
    <xf numFmtId="2" fontId="46" fillId="0" borderId="1" xfId="0" applyNumberFormat="1" applyFont="1" applyFill="1" applyBorder="1" applyAlignment="1">
      <alignment horizontal="center"/>
    </xf>
    <xf numFmtId="14" fontId="46" fillId="13" borderId="1" xfId="0" applyNumberFormat="1" applyFont="1" applyFill="1" applyBorder="1" applyAlignment="1">
      <alignment horizontal="center"/>
    </xf>
    <xf numFmtId="0" fontId="46" fillId="13" borderId="1" xfId="0" applyFont="1" applyFill="1" applyBorder="1" applyAlignment="1">
      <alignment horizontal="center"/>
    </xf>
    <xf numFmtId="2" fontId="46" fillId="13" borderId="1" xfId="0" applyNumberFormat="1" applyFont="1" applyFill="1" applyBorder="1" applyAlignment="1">
      <alignment horizontal="center"/>
    </xf>
    <xf numFmtId="0" fontId="46" fillId="13" borderId="1" xfId="0" applyFont="1" applyFill="1" applyBorder="1"/>
    <xf numFmtId="0" fontId="0" fillId="13" borderId="1" xfId="0" applyFill="1" applyBorder="1"/>
    <xf numFmtId="0" fontId="14" fillId="0" borderId="14" xfId="28" applyFont="1" applyBorder="1" applyAlignment="1" applyProtection="1">
      <alignment horizontal="right"/>
    </xf>
    <xf numFmtId="0" fontId="14" fillId="0" borderId="1" xfId="24" applyFont="1" applyProtection="1"/>
    <xf numFmtId="1" fontId="53" fillId="0" borderId="14" xfId="6" applyNumberFormat="1" applyFont="1" applyBorder="1" applyAlignment="1" applyProtection="1">
      <alignment horizontal="left"/>
      <protection locked="0"/>
    </xf>
    <xf numFmtId="1" fontId="53" fillId="0" borderId="14" xfId="6" applyNumberFormat="1" applyFont="1" applyBorder="1" applyAlignment="1" applyProtection="1">
      <alignment horizontal="left"/>
    </xf>
    <xf numFmtId="167" fontId="32" fillId="0" borderId="14" xfId="3" applyFont="1" applyBorder="1"/>
    <xf numFmtId="1" fontId="14" fillId="0" borderId="14" xfId="26" applyNumberFormat="1" applyFont="1" applyBorder="1" applyAlignment="1" applyProtection="1">
      <alignment horizontal="right"/>
    </xf>
    <xf numFmtId="1" fontId="32" fillId="0" borderId="14" xfId="26" applyNumberFormat="1" applyFont="1" applyBorder="1" applyAlignment="1" applyProtection="1">
      <alignment horizontal="center"/>
      <protection locked="0"/>
    </xf>
    <xf numFmtId="167" fontId="32" fillId="0" borderId="14" xfId="3" applyFont="1" applyFill="1" applyBorder="1" applyAlignment="1" applyProtection="1">
      <alignment horizontal="center"/>
    </xf>
    <xf numFmtId="0" fontId="52" fillId="0" borderId="1" xfId="24" applyFont="1" applyProtection="1"/>
    <xf numFmtId="0" fontId="52" fillId="0" borderId="1" xfId="24" applyFont="1" applyBorder="1" applyProtection="1"/>
    <xf numFmtId="2" fontId="52" fillId="0" borderId="1" xfId="24" applyNumberFormat="1" applyFont="1" applyProtection="1"/>
    <xf numFmtId="0" fontId="14" fillId="0" borderId="1" xfId="28" applyFont="1" applyBorder="1" applyAlignment="1" applyProtection="1">
      <alignment horizontal="right"/>
    </xf>
    <xf numFmtId="1" fontId="53" fillId="0" borderId="1" xfId="6" applyNumberFormat="1" applyFont="1" applyBorder="1" applyAlignment="1" applyProtection="1">
      <alignment horizontal="left"/>
      <protection locked="0"/>
    </xf>
    <xf numFmtId="1" fontId="53" fillId="0" borderId="1" xfId="6" applyNumberFormat="1" applyFont="1" applyBorder="1" applyAlignment="1" applyProtection="1">
      <alignment horizontal="left"/>
    </xf>
    <xf numFmtId="167" fontId="32" fillId="0" borderId="1" xfId="3" applyFont="1" applyBorder="1"/>
    <xf numFmtId="1" fontId="14" fillId="0" borderId="1" xfId="26" applyNumberFormat="1" applyFont="1" applyBorder="1" applyAlignment="1" applyProtection="1">
      <alignment horizontal="right"/>
    </xf>
    <xf numFmtId="1" fontId="32" fillId="0" borderId="1" xfId="26" applyNumberFormat="1" applyFont="1" applyAlignment="1" applyProtection="1">
      <alignment horizontal="center"/>
    </xf>
    <xf numFmtId="167" fontId="32" fillId="0" borderId="1" xfId="3" applyFont="1" applyFill="1" applyBorder="1" applyAlignment="1" applyProtection="1">
      <alignment horizontal="center"/>
    </xf>
    <xf numFmtId="0" fontId="52" fillId="0" borderId="1" xfId="24" applyFont="1" applyBorder="1" applyAlignment="1" applyProtection="1">
      <alignment horizontal="left"/>
    </xf>
    <xf numFmtId="2" fontId="14" fillId="0" borderId="1" xfId="28" applyNumberFormat="1" applyFont="1" applyBorder="1" applyAlignment="1" applyProtection="1">
      <alignment horizontal="right"/>
    </xf>
    <xf numFmtId="0" fontId="14" fillId="0" borderId="1" xfId="24" applyFont="1" applyBorder="1" applyProtection="1"/>
    <xf numFmtId="0" fontId="32" fillId="0" borderId="1" xfId="26" applyFont="1" applyAlignment="1" applyProtection="1">
      <alignment horizontal="center"/>
    </xf>
    <xf numFmtId="0" fontId="16" fillId="0" borderId="1" xfId="26" applyAlignment="1" applyProtection="1">
      <alignment vertical="top"/>
    </xf>
    <xf numFmtId="0" fontId="16" fillId="0" borderId="1" xfId="26" applyBorder="1" applyAlignment="1" applyProtection="1">
      <alignment vertical="top"/>
    </xf>
    <xf numFmtId="2" fontId="16" fillId="0" borderId="1" xfId="26" applyNumberFormat="1" applyAlignment="1" applyProtection="1">
      <alignment vertical="top"/>
    </xf>
    <xf numFmtId="2" fontId="32" fillId="0" borderId="1" xfId="26" applyNumberFormat="1" applyFont="1" applyAlignment="1" applyProtection="1">
      <alignment horizontal="center"/>
    </xf>
    <xf numFmtId="0" fontId="54" fillId="0" borderId="1" xfId="6" applyFont="1" applyFill="1" applyBorder="1" applyAlignment="1" applyProtection="1">
      <alignment horizontal="left"/>
      <protection locked="0"/>
    </xf>
    <xf numFmtId="0" fontId="52" fillId="0" borderId="1" xfId="28" applyBorder="1" applyAlignment="1" applyProtection="1"/>
    <xf numFmtId="0" fontId="52" fillId="0" borderId="1" xfId="28" applyAlignment="1" applyProtection="1"/>
    <xf numFmtId="2" fontId="52" fillId="0" borderId="1" xfId="28" applyNumberFormat="1" applyAlignment="1" applyProtection="1"/>
    <xf numFmtId="0" fontId="14" fillId="0" borderId="1" xfId="26" applyFont="1" applyBorder="1" applyAlignment="1" applyProtection="1">
      <alignment horizontal="right" vertical="top"/>
    </xf>
    <xf numFmtId="0" fontId="32" fillId="0" borderId="1" xfId="26" applyFont="1" applyAlignment="1" applyProtection="1">
      <alignment vertical="top"/>
    </xf>
    <xf numFmtId="1" fontId="53" fillId="0" borderId="1" xfId="26" applyNumberFormat="1" applyFont="1" applyBorder="1" applyAlignment="1" applyProtection="1">
      <alignment vertical="top"/>
      <protection locked="0"/>
    </xf>
    <xf numFmtId="1" fontId="32" fillId="0" borderId="1" xfId="26" applyNumberFormat="1" applyFont="1" applyBorder="1" applyAlignment="1" applyProtection="1">
      <alignment vertical="top"/>
    </xf>
    <xf numFmtId="167" fontId="32" fillId="0" borderId="1" xfId="26" applyNumberFormat="1" applyFont="1" applyBorder="1" applyAlignment="1" applyProtection="1">
      <alignment vertical="top"/>
    </xf>
    <xf numFmtId="2" fontId="32" fillId="0" borderId="1" xfId="26" applyNumberFormat="1" applyFont="1" applyBorder="1" applyAlignment="1" applyProtection="1">
      <alignment vertical="top"/>
    </xf>
    <xf numFmtId="0" fontId="32" fillId="0" borderId="1" xfId="26" applyFont="1" applyBorder="1" applyAlignment="1" applyProtection="1">
      <alignment vertical="top"/>
      <protection locked="0"/>
    </xf>
    <xf numFmtId="0" fontId="52" fillId="0" borderId="1" xfId="28" applyBorder="1" applyAlignment="1" applyProtection="1">
      <alignment horizontal="centerContinuous"/>
    </xf>
    <xf numFmtId="2" fontId="52" fillId="0" borderId="1" xfId="28" applyNumberFormat="1" applyBorder="1" applyAlignment="1" applyProtection="1"/>
    <xf numFmtId="2" fontId="55" fillId="0" borderId="14" xfId="3" applyNumberFormat="1" applyFont="1" applyBorder="1" applyAlignment="1" applyProtection="1">
      <alignment horizontal="centerContinuous"/>
    </xf>
    <xf numFmtId="2" fontId="55" fillId="0" borderId="17" xfId="3" applyNumberFormat="1" applyFont="1" applyBorder="1" applyAlignment="1" applyProtection="1">
      <alignment horizontal="centerContinuous"/>
    </xf>
    <xf numFmtId="0" fontId="56" fillId="0" borderId="16" xfId="24" applyFont="1" applyBorder="1" applyAlignment="1" applyProtection="1">
      <alignment horizontal="right"/>
    </xf>
    <xf numFmtId="0" fontId="55" fillId="0" borderId="12" xfId="28" applyFont="1" applyBorder="1" applyAlignment="1" applyProtection="1">
      <alignment horizontal="centerContinuous"/>
    </xf>
    <xf numFmtId="1" fontId="52" fillId="0" borderId="1" xfId="28" applyNumberFormat="1" applyBorder="1" applyAlignment="1" applyProtection="1">
      <alignment horizontal="centerContinuous"/>
    </xf>
    <xf numFmtId="0" fontId="57" fillId="0" borderId="3" xfId="30" applyFont="1" applyBorder="1" applyAlignment="1" applyProtection="1">
      <alignment horizontal="centerContinuous"/>
    </xf>
    <xf numFmtId="0" fontId="57" fillId="0" borderId="1" xfId="30" applyFont="1" applyBorder="1" applyAlignment="1" applyProtection="1">
      <alignment horizontal="centerContinuous"/>
    </xf>
    <xf numFmtId="0" fontId="57" fillId="0" borderId="2" xfId="30" applyFont="1" applyBorder="1" applyAlignment="1" applyProtection="1">
      <alignment horizontal="centerContinuous"/>
    </xf>
    <xf numFmtId="0" fontId="57" fillId="0" borderId="20" xfId="30" applyFont="1" applyBorder="1" applyAlignment="1" applyProtection="1">
      <alignment horizontal="center"/>
    </xf>
    <xf numFmtId="172" fontId="57" fillId="0" borderId="1" xfId="30" applyNumberFormat="1" applyFont="1" applyBorder="1" applyAlignment="1" applyProtection="1">
      <alignment horizontal="centerContinuous"/>
    </xf>
    <xf numFmtId="172" fontId="57" fillId="0" borderId="3" xfId="30" applyNumberFormat="1" applyFont="1" applyBorder="1" applyAlignment="1" applyProtection="1">
      <alignment horizontal="centerContinuous"/>
    </xf>
    <xf numFmtId="172" fontId="57" fillId="0" borderId="12" xfId="30" applyNumberFormat="1" applyFont="1" applyBorder="1" applyAlignment="1" applyProtection="1">
      <alignment horizontal="centerContinuous"/>
    </xf>
    <xf numFmtId="1" fontId="52" fillId="0" borderId="3" xfId="28" applyNumberFormat="1" applyBorder="1" applyAlignment="1" applyProtection="1">
      <alignment horizontal="centerContinuous"/>
    </xf>
    <xf numFmtId="1" fontId="52" fillId="0" borderId="11" xfId="28" applyNumberFormat="1" applyBorder="1" applyAlignment="1" applyProtection="1">
      <alignment horizontal="centerContinuous"/>
    </xf>
    <xf numFmtId="2" fontId="52" fillId="0" borderId="1" xfId="3" applyNumberFormat="1" applyFont="1" applyBorder="1" applyAlignment="1" applyProtection="1">
      <alignment horizontal="center"/>
    </xf>
    <xf numFmtId="2" fontId="52" fillId="0" borderId="11" xfId="3" applyNumberFormat="1" applyFont="1" applyBorder="1" applyAlignment="1" applyProtection="1">
      <alignment horizontal="center"/>
    </xf>
    <xf numFmtId="0" fontId="56" fillId="0" borderId="5" xfId="28" applyFont="1" applyBorder="1" applyAlignment="1" applyProtection="1">
      <alignment horizontal="right"/>
    </xf>
    <xf numFmtId="0" fontId="52" fillId="0" borderId="11" xfId="28" applyBorder="1" applyAlignment="1" applyProtection="1"/>
    <xf numFmtId="2" fontId="52" fillId="0" borderId="1" xfId="28" applyNumberFormat="1" applyBorder="1" applyAlignment="1" applyProtection="1">
      <alignment horizontal="center" vertical="center" wrapText="1"/>
    </xf>
    <xf numFmtId="0" fontId="52" fillId="0" borderId="1" xfId="28" applyBorder="1" applyAlignment="1" applyProtection="1">
      <alignment vertical="center"/>
    </xf>
    <xf numFmtId="0" fontId="52" fillId="0" borderId="12" xfId="28" applyBorder="1" applyAlignment="1" applyProtection="1"/>
    <xf numFmtId="1" fontId="52" fillId="0" borderId="1" xfId="28" applyNumberFormat="1" applyBorder="1" applyAlignment="1" applyProtection="1"/>
    <xf numFmtId="172" fontId="58" fillId="0" borderId="20" xfId="30" applyNumberFormat="1" applyFont="1" applyBorder="1" applyAlignment="1" applyProtection="1">
      <alignment horizontal="center"/>
    </xf>
    <xf numFmtId="172" fontId="58" fillId="0" borderId="12" xfId="30" applyNumberFormat="1" applyFont="1" applyBorder="1" applyAlignment="1" applyProtection="1">
      <alignment horizontal="center"/>
    </xf>
    <xf numFmtId="2" fontId="16" fillId="0" borderId="1" xfId="24" applyNumberFormat="1" applyBorder="1" applyProtection="1"/>
    <xf numFmtId="0" fontId="52" fillId="0" borderId="11" xfId="28" applyBorder="1" applyAlignment="1" applyProtection="1">
      <alignment horizontal="center"/>
    </xf>
    <xf numFmtId="14" fontId="52" fillId="0" borderId="11" xfId="28" applyNumberFormat="1" applyBorder="1" applyAlignment="1" applyProtection="1">
      <alignment horizontal="centerContinuous"/>
    </xf>
    <xf numFmtId="2" fontId="16" fillId="0" borderId="1" xfId="24" applyNumberFormat="1" applyBorder="1" applyAlignment="1" applyProtection="1">
      <alignment horizontal="center" vertical="center" wrapText="1"/>
    </xf>
    <xf numFmtId="0" fontId="16" fillId="0" borderId="1" xfId="24" applyBorder="1" applyAlignment="1" applyProtection="1">
      <alignment vertical="center" wrapText="1"/>
    </xf>
    <xf numFmtId="0" fontId="16" fillId="0" borderId="1" xfId="24" applyAlignment="1" applyProtection="1">
      <alignment vertical="center" wrapText="1"/>
    </xf>
    <xf numFmtId="0" fontId="52" fillId="0" borderId="12" xfId="28" applyBorder="1" applyAlignment="1" applyProtection="1">
      <alignment horizontal="center"/>
    </xf>
    <xf numFmtId="0" fontId="52" fillId="0" borderId="1" xfId="28" applyBorder="1" applyAlignment="1" applyProtection="1">
      <alignment horizontal="center"/>
    </xf>
    <xf numFmtId="168" fontId="52" fillId="0" borderId="1" xfId="2" applyFont="1" applyBorder="1" applyAlignment="1" applyProtection="1">
      <alignment horizontal="center"/>
    </xf>
    <xf numFmtId="0" fontId="58" fillId="0" borderId="3" xfId="30" applyFont="1" applyBorder="1" applyAlignment="1" applyProtection="1"/>
    <xf numFmtId="0" fontId="58" fillId="0" borderId="1" xfId="30" applyFont="1" applyBorder="1" applyAlignment="1" applyProtection="1"/>
    <xf numFmtId="0" fontId="58" fillId="0" borderId="2" xfId="30" applyFont="1" applyBorder="1" applyAlignment="1" applyProtection="1"/>
    <xf numFmtId="168" fontId="52" fillId="0" borderId="12" xfId="2" applyFont="1" applyBorder="1" applyAlignment="1" applyProtection="1">
      <alignment horizontal="center"/>
    </xf>
    <xf numFmtId="168" fontId="52" fillId="0" borderId="3" xfId="2" applyFont="1" applyBorder="1" applyAlignment="1" applyProtection="1">
      <alignment horizontal="center"/>
    </xf>
    <xf numFmtId="168" fontId="52" fillId="0" borderId="11" xfId="2" applyFont="1" applyBorder="1" applyAlignment="1" applyProtection="1">
      <alignment horizontal="center"/>
    </xf>
    <xf numFmtId="167" fontId="52" fillId="0" borderId="1" xfId="3" applyFont="1" applyBorder="1" applyAlignment="1" applyProtection="1">
      <alignment horizontal="center"/>
    </xf>
    <xf numFmtId="0" fontId="52" fillId="0" borderId="5" xfId="28" applyBorder="1" applyAlignment="1" applyProtection="1">
      <alignment horizontal="center" vertical="center"/>
    </xf>
    <xf numFmtId="2" fontId="23" fillId="0" borderId="1" xfId="9" applyNumberFormat="1" applyBorder="1" applyAlignment="1" applyProtection="1">
      <alignment horizontal="center" vertical="center"/>
    </xf>
    <xf numFmtId="0" fontId="16" fillId="0" borderId="7" xfId="28" applyFont="1" applyBorder="1" applyAlignment="1" applyProtection="1">
      <alignment horizontal="center" vertical="center"/>
    </xf>
    <xf numFmtId="0" fontId="16" fillId="0" borderId="8" xfId="28" applyFont="1" applyBorder="1" applyAlignment="1" applyProtection="1">
      <alignment horizontal="center" vertical="center"/>
    </xf>
    <xf numFmtId="168" fontId="16" fillId="0" borderId="8" xfId="2" applyFont="1" applyBorder="1" applyAlignment="1" applyProtection="1">
      <alignment horizontal="center" vertical="center"/>
    </xf>
    <xf numFmtId="0" fontId="59" fillId="0" borderId="3" xfId="30" applyFont="1" applyBorder="1" applyAlignment="1" applyProtection="1">
      <alignment horizontal="center"/>
    </xf>
    <xf numFmtId="0" fontId="59" fillId="0" borderId="1" xfId="30" applyFont="1" applyBorder="1" applyAlignment="1" applyProtection="1">
      <alignment horizontal="center"/>
    </xf>
    <xf numFmtId="0" fontId="59" fillId="0" borderId="2" xfId="30" applyFont="1" applyBorder="1" applyAlignment="1" applyProtection="1">
      <alignment horizontal="center"/>
    </xf>
    <xf numFmtId="172" fontId="59" fillId="0" borderId="20" xfId="30" applyNumberFormat="1" applyFont="1" applyBorder="1" applyAlignment="1" applyProtection="1">
      <alignment horizontal="center"/>
    </xf>
    <xf numFmtId="172" fontId="59" fillId="0" borderId="1" xfId="30" applyNumberFormat="1" applyFont="1" applyBorder="1" applyAlignment="1" applyProtection="1">
      <alignment horizontal="center"/>
    </xf>
    <xf numFmtId="172" fontId="59" fillId="0" borderId="3" xfId="30" applyNumberFormat="1" applyFont="1" applyBorder="1" applyAlignment="1" applyProtection="1">
      <alignment horizontal="center"/>
    </xf>
    <xf numFmtId="168" fontId="16" fillId="0" borderId="7" xfId="2" applyFont="1" applyBorder="1" applyAlignment="1" applyProtection="1">
      <alignment horizontal="center" vertical="center"/>
    </xf>
    <xf numFmtId="168" fontId="16" fillId="0" borderId="25" xfId="2" applyFont="1" applyBorder="1" applyAlignment="1" applyProtection="1">
      <alignment horizontal="center" vertical="center"/>
    </xf>
    <xf numFmtId="168" fontId="16" fillId="0" borderId="6" xfId="2" applyFont="1" applyBorder="1" applyAlignment="1" applyProtection="1">
      <alignment horizontal="center" vertical="center"/>
    </xf>
    <xf numFmtId="167" fontId="16" fillId="0" borderId="8" xfId="3" applyFont="1" applyBorder="1" applyAlignment="1" applyProtection="1">
      <alignment horizontal="center" vertical="center"/>
    </xf>
    <xf numFmtId="2" fontId="16" fillId="0" borderId="6" xfId="3" applyNumberFormat="1" applyFont="1" applyBorder="1" applyAlignment="1" applyProtection="1">
      <alignment horizontal="center" vertical="center"/>
    </xf>
    <xf numFmtId="2" fontId="16" fillId="0" borderId="8" xfId="3" applyNumberFormat="1" applyFont="1" applyBorder="1" applyAlignment="1" applyProtection="1">
      <alignment horizontal="center" vertical="center"/>
    </xf>
    <xf numFmtId="0" fontId="16" fillId="0" borderId="4" xfId="24" applyBorder="1" applyAlignment="1" applyProtection="1">
      <alignment vertical="center" wrapText="1"/>
    </xf>
    <xf numFmtId="0" fontId="52" fillId="0" borderId="6" xfId="28" applyBorder="1" applyAlignment="1" applyProtection="1">
      <alignment horizontal="center" vertical="center" wrapText="1"/>
    </xf>
    <xf numFmtId="0" fontId="16" fillId="0" borderId="6" xfId="28" applyFont="1" applyBorder="1" applyAlignment="1" applyProtection="1">
      <alignment horizontal="center" vertical="center"/>
    </xf>
    <xf numFmtId="0" fontId="52" fillId="0" borderId="15" xfId="6" applyFont="1" applyBorder="1" applyAlignment="1" applyProtection="1">
      <alignment horizontal="center" vertical="center" wrapText="1"/>
      <protection locked="0"/>
    </xf>
    <xf numFmtId="0" fontId="16" fillId="0" borderId="14" xfId="6" applyFont="1" applyBorder="1" applyAlignment="1" applyProtection="1">
      <alignment horizontal="center" vertical="center" wrapText="1"/>
      <protection locked="0"/>
    </xf>
    <xf numFmtId="168" fontId="16" fillId="0" borderId="14" xfId="2" applyFont="1" applyBorder="1" applyAlignment="1" applyProtection="1">
      <alignment horizontal="center" vertical="center" wrapText="1"/>
      <protection locked="0"/>
    </xf>
    <xf numFmtId="168" fontId="61" fillId="0" borderId="24" xfId="2" applyFont="1" applyBorder="1" applyAlignment="1" applyProtection="1">
      <alignment horizontal="center" vertical="center" wrapText="1"/>
      <protection locked="0"/>
    </xf>
    <xf numFmtId="168" fontId="61" fillId="0" borderId="14" xfId="2" applyFont="1" applyBorder="1" applyAlignment="1" applyProtection="1">
      <alignment horizontal="center" vertical="center" wrapText="1"/>
      <protection locked="0"/>
    </xf>
    <xf numFmtId="168" fontId="61" fillId="0" borderId="13" xfId="2" applyFont="1" applyBorder="1" applyAlignment="1" applyProtection="1">
      <alignment horizontal="center" vertical="center" wrapText="1"/>
      <protection locked="0"/>
    </xf>
    <xf numFmtId="168" fontId="61" fillId="0" borderId="22" xfId="2" applyFont="1" applyBorder="1" applyAlignment="1" applyProtection="1">
      <alignment horizontal="center" vertical="center" wrapText="1"/>
      <protection locked="0"/>
    </xf>
    <xf numFmtId="168" fontId="61" fillId="0" borderId="28" xfId="2" applyFont="1" applyBorder="1" applyAlignment="1" applyProtection="1">
      <alignment horizontal="center" vertical="center" wrapText="1"/>
      <protection locked="0"/>
    </xf>
    <xf numFmtId="168" fontId="16" fillId="0" borderId="1" xfId="2" applyFont="1" applyBorder="1" applyAlignment="1" applyProtection="1">
      <alignment horizontal="center" vertical="center" wrapText="1"/>
      <protection locked="0"/>
    </xf>
    <xf numFmtId="168" fontId="21" fillId="0" borderId="3" xfId="2" applyFont="1" applyBorder="1" applyAlignment="1" applyProtection="1">
      <alignment horizontal="center" vertical="center" wrapText="1"/>
    </xf>
    <xf numFmtId="168" fontId="21" fillId="0" borderId="1" xfId="2" applyFont="1" applyBorder="1" applyAlignment="1" applyProtection="1">
      <alignment horizontal="center" vertical="center" wrapText="1"/>
    </xf>
    <xf numFmtId="2" fontId="21" fillId="0" borderId="15" xfId="3" applyNumberFormat="1" applyFont="1" applyBorder="1" applyAlignment="1" applyProtection="1">
      <alignment horizontal="center" vertical="center" wrapText="1"/>
    </xf>
    <xf numFmtId="2" fontId="16" fillId="0" borderId="14" xfId="3" applyNumberFormat="1" applyFont="1" applyBorder="1" applyAlignment="1" applyProtection="1">
      <alignment horizontal="center" vertical="center" wrapText="1"/>
    </xf>
    <xf numFmtId="2" fontId="16" fillId="0" borderId="15" xfId="3" applyNumberFormat="1" applyFont="1" applyBorder="1" applyAlignment="1" applyProtection="1">
      <alignment horizontal="center" vertical="center" wrapText="1"/>
    </xf>
    <xf numFmtId="2" fontId="16" fillId="0" borderId="17" xfId="3" applyNumberFormat="1" applyFont="1" applyBorder="1" applyAlignment="1" applyProtection="1">
      <alignment horizontal="center" vertical="center" wrapText="1"/>
    </xf>
    <xf numFmtId="0" fontId="21" fillId="0" borderId="17" xfId="24" applyFont="1" applyBorder="1" applyAlignment="1" applyProtection="1">
      <alignment horizontal="left" vertical="center" wrapText="1"/>
      <protection locked="0"/>
    </xf>
    <xf numFmtId="0" fontId="23" fillId="0" borderId="13" xfId="9" applyNumberFormat="1" applyBorder="1" applyAlignment="1" applyProtection="1">
      <alignment horizontal="center" vertical="center" wrapText="1"/>
      <protection locked="0"/>
    </xf>
    <xf numFmtId="168" fontId="16" fillId="0" borderId="17" xfId="24" applyNumberFormat="1" applyBorder="1" applyAlignment="1" applyProtection="1">
      <alignment horizontal="center" vertical="center" wrapText="1"/>
    </xf>
    <xf numFmtId="2" fontId="21" fillId="0" borderId="1" xfId="8" applyNumberFormat="1" applyBorder="1" applyAlignment="1">
      <alignment horizontal="center" vertical="center" wrapText="1"/>
    </xf>
    <xf numFmtId="0" fontId="16" fillId="0" borderId="12" xfId="6" applyFont="1" applyBorder="1" applyAlignment="1" applyProtection="1">
      <alignment horizontal="center" vertical="center" wrapText="1"/>
      <protection locked="0"/>
    </xf>
    <xf numFmtId="0" fontId="16" fillId="0" borderId="1" xfId="6" applyFont="1" applyBorder="1" applyAlignment="1" applyProtection="1">
      <alignment horizontal="center" vertical="center" wrapText="1"/>
      <protection locked="0"/>
    </xf>
    <xf numFmtId="168" fontId="61" fillId="0" borderId="3" xfId="2" applyFont="1" applyBorder="1" applyAlignment="1" applyProtection="1">
      <alignment horizontal="center" vertical="center" wrapText="1"/>
      <protection locked="0"/>
    </xf>
    <xf numFmtId="168" fontId="61" fillId="0" borderId="1" xfId="2" applyFont="1" applyBorder="1" applyAlignment="1" applyProtection="1">
      <alignment horizontal="center" vertical="center" wrapText="1"/>
      <protection locked="0"/>
    </xf>
    <xf numFmtId="168" fontId="61" fillId="0" borderId="2" xfId="2" applyFont="1" applyBorder="1" applyAlignment="1" applyProtection="1">
      <alignment horizontal="center" vertical="center" wrapText="1"/>
      <protection locked="0"/>
    </xf>
    <xf numFmtId="168" fontId="61" fillId="0" borderId="20" xfId="2" applyFont="1" applyBorder="1" applyAlignment="1" applyProtection="1">
      <alignment horizontal="center" vertical="center" wrapText="1"/>
      <protection locked="0"/>
    </xf>
    <xf numFmtId="168" fontId="61" fillId="0" borderId="29" xfId="2" applyFont="1" applyBorder="1" applyAlignment="1" applyProtection="1">
      <alignment horizontal="center" vertical="center" wrapText="1"/>
      <protection locked="0"/>
    </xf>
    <xf numFmtId="168" fontId="16" fillId="0" borderId="3" xfId="26" applyNumberFormat="1" applyBorder="1" applyAlignment="1" applyProtection="1">
      <alignment horizontal="center" vertical="center" wrapText="1"/>
    </xf>
    <xf numFmtId="168" fontId="16" fillId="0" borderId="1" xfId="26" applyNumberFormat="1" applyBorder="1" applyAlignment="1" applyProtection="1">
      <alignment horizontal="center" vertical="center" wrapText="1"/>
    </xf>
    <xf numFmtId="2" fontId="23" fillId="0" borderId="12" xfId="3" applyNumberFormat="1" applyFont="1" applyBorder="1" applyAlignment="1" applyProtection="1">
      <alignment horizontal="center" vertical="center" wrapText="1"/>
    </xf>
    <xf numFmtId="2" fontId="16" fillId="0" borderId="1" xfId="3" applyNumberFormat="1" applyFont="1" applyBorder="1" applyAlignment="1" applyProtection="1">
      <alignment horizontal="center" vertical="center" wrapText="1"/>
    </xf>
    <xf numFmtId="2" fontId="16" fillId="0" borderId="12" xfId="3" applyNumberFormat="1" applyFont="1" applyBorder="1" applyAlignment="1" applyProtection="1">
      <alignment horizontal="center" vertical="center" wrapText="1"/>
    </xf>
    <xf numFmtId="2" fontId="16" fillId="0" borderId="11" xfId="26" applyNumberFormat="1" applyBorder="1" applyAlignment="1" applyProtection="1">
      <alignment horizontal="center" vertical="center" wrapText="1"/>
    </xf>
    <xf numFmtId="0" fontId="21" fillId="0" borderId="11" xfId="24" applyFont="1" applyBorder="1" applyAlignment="1" applyProtection="1">
      <alignment horizontal="left" vertical="center" wrapText="1"/>
      <protection locked="0"/>
    </xf>
    <xf numFmtId="0" fontId="23" fillId="0" borderId="2" xfId="9" applyNumberFormat="1" applyBorder="1" applyAlignment="1" applyProtection="1">
      <alignment horizontal="center" vertical="center" wrapText="1"/>
      <protection locked="0"/>
    </xf>
    <xf numFmtId="168" fontId="16" fillId="0" borderId="11" xfId="24" applyNumberFormat="1" applyBorder="1" applyAlignment="1" applyProtection="1">
      <alignment horizontal="center" vertical="center"/>
    </xf>
    <xf numFmtId="168" fontId="16" fillId="0" borderId="11" xfId="24" applyNumberFormat="1" applyBorder="1" applyAlignment="1" applyProtection="1">
      <alignment horizontal="center" vertical="center" wrapText="1"/>
    </xf>
    <xf numFmtId="0" fontId="16" fillId="0" borderId="12" xfId="6" applyFont="1" applyFill="1" applyBorder="1" applyAlignment="1" applyProtection="1">
      <alignment horizontal="center" vertical="center" wrapText="1"/>
      <protection locked="0"/>
    </xf>
    <xf numFmtId="0" fontId="16" fillId="0" borderId="11" xfId="24" applyBorder="1" applyAlignment="1" applyProtection="1">
      <alignment horizontal="left" vertical="center" wrapText="1"/>
    </xf>
    <xf numFmtId="2" fontId="16" fillId="0" borderId="1" xfId="8" applyNumberFormat="1" applyFont="1" applyBorder="1" applyAlignment="1">
      <alignment horizontal="center" vertical="center" wrapText="1"/>
    </xf>
    <xf numFmtId="2" fontId="16" fillId="0" borderId="1" xfId="8" applyNumberFormat="1" applyFont="1" applyBorder="1" applyAlignment="1">
      <alignment horizontal="center" vertical="center"/>
    </xf>
    <xf numFmtId="169" fontId="16" fillId="0" borderId="11" xfId="26" applyNumberFormat="1" applyBorder="1" applyAlignment="1" applyProtection="1">
      <alignment horizontal="left" vertical="center" wrapText="1"/>
      <protection locked="0"/>
    </xf>
    <xf numFmtId="0" fontId="16" fillId="0" borderId="1" xfId="24" applyAlignment="1" applyProtection="1">
      <alignment vertical="center"/>
    </xf>
    <xf numFmtId="0" fontId="62" fillId="0" borderId="11" xfId="24" applyNumberFormat="1" applyFont="1" applyBorder="1" applyAlignment="1" applyProtection="1">
      <alignment horizontal="left" vertical="center"/>
    </xf>
    <xf numFmtId="168" fontId="16" fillId="0" borderId="11" xfId="8" applyNumberFormat="1" applyFont="1" applyBorder="1" applyAlignment="1">
      <alignment horizontal="center" vertical="center" wrapText="1"/>
    </xf>
    <xf numFmtId="0" fontId="16" fillId="0" borderId="7" xfId="6" applyFont="1" applyFill="1" applyBorder="1" applyAlignment="1" applyProtection="1">
      <alignment horizontal="center" vertical="center" wrapText="1"/>
      <protection locked="0"/>
    </xf>
    <xf numFmtId="0" fontId="16" fillId="0" borderId="8" xfId="6" applyFont="1" applyBorder="1" applyAlignment="1" applyProtection="1">
      <alignment horizontal="center" vertical="center" wrapText="1"/>
      <protection locked="0"/>
    </xf>
    <xf numFmtId="168" fontId="16" fillId="0" borderId="8" xfId="2" applyFont="1" applyBorder="1" applyAlignment="1" applyProtection="1">
      <alignment horizontal="center" vertical="center" wrapText="1"/>
      <protection locked="0"/>
    </xf>
    <xf numFmtId="168" fontId="16" fillId="0" borderId="25" xfId="2" applyFont="1" applyBorder="1" applyAlignment="1" applyProtection="1">
      <alignment horizontal="center" vertical="center" wrapText="1"/>
      <protection locked="0"/>
    </xf>
    <xf numFmtId="168" fontId="16" fillId="0" borderId="9" xfId="2" applyFont="1" applyBorder="1" applyAlignment="1" applyProtection="1">
      <alignment horizontal="center" vertical="center" wrapText="1"/>
      <protection locked="0"/>
    </xf>
    <xf numFmtId="168" fontId="16" fillId="0" borderId="23" xfId="2" applyFont="1" applyBorder="1" applyAlignment="1" applyProtection="1">
      <alignment horizontal="center" vertical="center" wrapText="1"/>
      <protection locked="0"/>
    </xf>
    <xf numFmtId="168" fontId="16" fillId="0" borderId="30" xfId="2" applyFont="1" applyBorder="1" applyAlignment="1" applyProtection="1">
      <alignment horizontal="center" vertical="center" wrapText="1"/>
      <protection locked="0"/>
    </xf>
    <xf numFmtId="168" fontId="16" fillId="0" borderId="25" xfId="26" applyNumberFormat="1" applyBorder="1" applyAlignment="1" applyProtection="1">
      <alignment horizontal="center" vertical="center" wrapText="1"/>
    </xf>
    <xf numFmtId="168" fontId="16" fillId="0" borderId="8" xfId="26" applyNumberFormat="1" applyBorder="1" applyAlignment="1" applyProtection="1">
      <alignment horizontal="center" vertical="center" wrapText="1"/>
    </xf>
    <xf numFmtId="2" fontId="23" fillId="0" borderId="7" xfId="3" applyNumberFormat="1" applyFont="1" applyBorder="1" applyAlignment="1" applyProtection="1">
      <alignment horizontal="center" vertical="center" wrapText="1"/>
    </xf>
    <xf numFmtId="2" fontId="16" fillId="0" borderId="8" xfId="3" applyNumberFormat="1" applyFont="1" applyBorder="1" applyAlignment="1" applyProtection="1">
      <alignment horizontal="center" vertical="center" wrapText="1"/>
    </xf>
    <xf numFmtId="2" fontId="16" fillId="0" borderId="7" xfId="3" applyNumberFormat="1" applyFont="1" applyBorder="1" applyAlignment="1" applyProtection="1">
      <alignment horizontal="center" vertical="center" wrapText="1"/>
    </xf>
    <xf numFmtId="2" fontId="16" fillId="0" borderId="6" xfId="26" applyNumberFormat="1" applyBorder="1" applyAlignment="1" applyProtection="1">
      <alignment horizontal="center" vertical="center" wrapText="1"/>
    </xf>
    <xf numFmtId="0" fontId="62" fillId="0" borderId="6" xfId="24" applyNumberFormat="1" applyFont="1" applyBorder="1" applyAlignment="1" applyProtection="1">
      <alignment horizontal="left" vertical="center"/>
    </xf>
    <xf numFmtId="168" fontId="16" fillId="0" borderId="11" xfId="8" applyNumberFormat="1" applyFont="1" applyBorder="1" applyAlignment="1">
      <alignment horizontal="center" vertical="center"/>
    </xf>
    <xf numFmtId="2" fontId="16" fillId="0" borderId="1" xfId="24" applyNumberFormat="1" applyBorder="1" applyAlignment="1" applyProtection="1">
      <alignment horizontal="center" vertical="center"/>
    </xf>
    <xf numFmtId="0" fontId="52" fillId="0" borderId="12" xfId="6" applyFont="1" applyFill="1" applyBorder="1" applyAlignment="1" applyProtection="1">
      <alignment horizontal="center" vertical="center" wrapText="1"/>
      <protection locked="0"/>
    </xf>
    <xf numFmtId="168" fontId="16" fillId="0" borderId="3" xfId="2" applyFont="1" applyBorder="1" applyAlignment="1" applyProtection="1">
      <alignment horizontal="center" vertical="center" wrapText="1"/>
      <protection locked="0"/>
    </xf>
    <xf numFmtId="168" fontId="16" fillId="0" borderId="2" xfId="2" applyFont="1" applyBorder="1" applyAlignment="1" applyProtection="1">
      <alignment horizontal="center" vertical="center" wrapText="1"/>
      <protection locked="0"/>
    </xf>
    <xf numFmtId="168" fontId="16" fillId="0" borderId="20" xfId="2" applyFont="1" applyBorder="1" applyAlignment="1" applyProtection="1">
      <alignment horizontal="center" vertical="center" wrapText="1"/>
      <protection locked="0"/>
    </xf>
    <xf numFmtId="168" fontId="16" fillId="0" borderId="29" xfId="2" applyFont="1" applyBorder="1" applyAlignment="1" applyProtection="1">
      <alignment horizontal="center" vertical="center" wrapText="1"/>
      <protection locked="0"/>
    </xf>
    <xf numFmtId="172" fontId="16" fillId="0" borderId="3" xfId="2" applyNumberFormat="1" applyFont="1" applyBorder="1" applyAlignment="1" applyProtection="1">
      <alignment horizontal="center" vertical="center" wrapText="1"/>
      <protection locked="0"/>
    </xf>
    <xf numFmtId="172" fontId="16" fillId="0" borderId="1" xfId="2" applyNumberFormat="1" applyFont="1" applyBorder="1" applyAlignment="1" applyProtection="1">
      <alignment horizontal="center" vertical="center" wrapText="1"/>
      <protection locked="0"/>
    </xf>
    <xf numFmtId="172" fontId="16" fillId="0" borderId="2" xfId="2" applyNumberFormat="1" applyFont="1" applyBorder="1" applyAlignment="1" applyProtection="1">
      <alignment horizontal="center" vertical="center" wrapText="1"/>
      <protection locked="0"/>
    </xf>
    <xf numFmtId="172" fontId="16" fillId="0" borderId="20" xfId="2" applyNumberFormat="1" applyFont="1" applyBorder="1" applyAlignment="1" applyProtection="1">
      <alignment horizontal="center" vertical="center" wrapText="1"/>
      <protection locked="0"/>
    </xf>
    <xf numFmtId="172" fontId="16" fillId="0" borderId="29" xfId="2" applyNumberFormat="1" applyFont="1" applyBorder="1" applyAlignment="1" applyProtection="1">
      <alignment horizontal="center" vertical="center" wrapText="1"/>
      <protection locked="0"/>
    </xf>
    <xf numFmtId="0" fontId="16" fillId="0" borderId="1" xfId="24" applyProtection="1"/>
    <xf numFmtId="4" fontId="16" fillId="0" borderId="1" xfId="24" applyNumberFormat="1" applyBorder="1" applyAlignment="1" applyProtection="1">
      <alignment horizontal="center"/>
    </xf>
    <xf numFmtId="4" fontId="52" fillId="0" borderId="1" xfId="24" applyNumberFormat="1" applyFont="1" applyFill="1" applyBorder="1" applyAlignment="1" applyProtection="1">
      <alignment horizontal="center"/>
    </xf>
    <xf numFmtId="0" fontId="16" fillId="0" borderId="1" xfId="24" applyFill="1" applyProtection="1"/>
    <xf numFmtId="0" fontId="52" fillId="0" borderId="1" xfId="24" applyFont="1" applyFill="1" applyProtection="1"/>
    <xf numFmtId="2" fontId="52" fillId="0" borderId="1" xfId="24" applyNumberFormat="1" applyFont="1" applyFill="1" applyAlignment="1" applyProtection="1">
      <alignment horizontal="center"/>
    </xf>
    <xf numFmtId="2" fontId="16" fillId="0" borderId="1" xfId="24" applyNumberFormat="1" applyFill="1" applyBorder="1" applyAlignment="1" applyProtection="1">
      <alignment horizontal="center"/>
    </xf>
    <xf numFmtId="2" fontId="16" fillId="0" borderId="1" xfId="24" applyNumberFormat="1" applyBorder="1" applyAlignment="1" applyProtection="1">
      <alignment horizontal="center"/>
    </xf>
    <xf numFmtId="2" fontId="16" fillId="0" borderId="1" xfId="24" applyNumberFormat="1" applyAlignment="1" applyProtection="1">
      <alignment horizontal="center"/>
    </xf>
    <xf numFmtId="168" fontId="16" fillId="0" borderId="11" xfId="24" applyNumberFormat="1" applyBorder="1" applyAlignment="1" applyProtection="1">
      <alignment horizontal="center"/>
    </xf>
    <xf numFmtId="0" fontId="52" fillId="0" borderId="14" xfId="24" applyFont="1" applyBorder="1" applyProtection="1"/>
    <xf numFmtId="168" fontId="52" fillId="0" borderId="17" xfId="24" applyNumberFormat="1" applyFont="1" applyFill="1" applyBorder="1" applyAlignment="1" applyProtection="1">
      <alignment horizontal="center"/>
    </xf>
    <xf numFmtId="0" fontId="16" fillId="0" borderId="1" xfId="24" applyBorder="1" applyProtection="1"/>
    <xf numFmtId="0" fontId="63" fillId="14" borderId="12" xfId="6" applyFont="1" applyFill="1" applyBorder="1" applyAlignment="1" applyProtection="1">
      <alignment horizontal="left" vertical="center"/>
      <protection locked="0"/>
    </xf>
    <xf numFmtId="0" fontId="64" fillId="14" borderId="1" xfId="6" applyFont="1" applyFill="1" applyBorder="1" applyAlignment="1" applyProtection="1">
      <alignment horizontal="center" vertical="center" wrapText="1"/>
      <protection locked="0"/>
    </xf>
    <xf numFmtId="168" fontId="64" fillId="14" borderId="1" xfId="2" applyFont="1" applyFill="1" applyBorder="1" applyAlignment="1" applyProtection="1">
      <alignment horizontal="center" vertical="center" wrapText="1"/>
      <protection locked="0"/>
    </xf>
    <xf numFmtId="168" fontId="64" fillId="14" borderId="20" xfId="2" applyFont="1" applyFill="1" applyBorder="1" applyAlignment="1" applyProtection="1">
      <alignment horizontal="center" vertical="center" wrapText="1"/>
      <protection locked="0"/>
    </xf>
    <xf numFmtId="168" fontId="64" fillId="14" borderId="29" xfId="2" applyFont="1" applyFill="1" applyBorder="1" applyAlignment="1" applyProtection="1">
      <alignment horizontal="center" vertical="center" wrapText="1"/>
      <protection locked="0"/>
    </xf>
    <xf numFmtId="168" fontId="16" fillId="14" borderId="3" xfId="26" applyNumberFormat="1" applyFill="1" applyBorder="1" applyAlignment="1" applyProtection="1">
      <alignment horizontal="center" vertical="center" wrapText="1"/>
    </xf>
    <xf numFmtId="168" fontId="16" fillId="14" borderId="1" xfId="26" applyNumberFormat="1" applyFill="1" applyBorder="1" applyAlignment="1" applyProtection="1">
      <alignment horizontal="center" vertical="center" wrapText="1"/>
    </xf>
    <xf numFmtId="2" fontId="23" fillId="14" borderId="12" xfId="3" applyNumberFormat="1" applyFont="1" applyFill="1" applyBorder="1" applyAlignment="1" applyProtection="1">
      <alignment horizontal="center" vertical="center" wrapText="1"/>
    </xf>
    <xf numFmtId="2" fontId="16" fillId="14" borderId="1" xfId="3" applyNumberFormat="1" applyFont="1" applyFill="1" applyBorder="1" applyAlignment="1" applyProtection="1">
      <alignment horizontal="center" vertical="center" wrapText="1"/>
    </xf>
    <xf numFmtId="2" fontId="16" fillId="14" borderId="12" xfId="3" applyNumberFormat="1" applyFont="1" applyFill="1" applyBorder="1" applyAlignment="1" applyProtection="1">
      <alignment horizontal="center" vertical="center" wrapText="1"/>
    </xf>
    <xf numFmtId="2" fontId="16" fillId="14" borderId="11" xfId="26" applyNumberFormat="1" applyFill="1" applyBorder="1" applyAlignment="1" applyProtection="1">
      <alignment horizontal="center" vertical="center" wrapText="1"/>
    </xf>
    <xf numFmtId="0" fontId="62" fillId="14" borderId="11" xfId="24" applyNumberFormat="1" applyFont="1" applyFill="1" applyBorder="1" applyAlignment="1" applyProtection="1">
      <alignment horizontal="left" vertical="center"/>
    </xf>
    <xf numFmtId="0" fontId="21" fillId="14" borderId="12" xfId="6" applyFill="1" applyBorder="1" applyAlignment="1" applyProtection="1">
      <alignment horizontal="center" vertical="center"/>
    </xf>
    <xf numFmtId="0" fontId="21" fillId="14" borderId="1" xfId="6" applyFill="1" applyBorder="1" applyAlignment="1" applyProtection="1">
      <alignment horizontal="center" vertical="center"/>
    </xf>
    <xf numFmtId="168" fontId="21" fillId="14" borderId="1" xfId="2" applyFont="1" applyFill="1" applyBorder="1" applyAlignment="1" applyProtection="1">
      <alignment horizontal="center" vertical="center"/>
    </xf>
    <xf numFmtId="168" fontId="21" fillId="14" borderId="20" xfId="2" applyFont="1" applyFill="1" applyBorder="1" applyAlignment="1" applyProtection="1">
      <alignment horizontal="center" vertical="center"/>
    </xf>
    <xf numFmtId="168" fontId="21" fillId="14" borderId="29" xfId="2" applyFont="1" applyFill="1" applyBorder="1" applyAlignment="1" applyProtection="1">
      <alignment horizontal="center" vertical="center"/>
    </xf>
    <xf numFmtId="168" fontId="16" fillId="14" borderId="3" xfId="26" applyNumberFormat="1" applyFill="1" applyBorder="1" applyAlignment="1" applyProtection="1">
      <alignment horizontal="center" vertical="center"/>
    </xf>
    <xf numFmtId="168" fontId="16" fillId="14" borderId="1" xfId="26" applyNumberFormat="1" applyFill="1" applyBorder="1" applyAlignment="1" applyProtection="1">
      <alignment horizontal="center" vertical="center"/>
    </xf>
    <xf numFmtId="2" fontId="21" fillId="14" borderId="12" xfId="3" applyNumberFormat="1" applyFont="1" applyFill="1" applyBorder="1" applyAlignment="1" applyProtection="1">
      <alignment horizontal="center" vertical="center"/>
    </xf>
    <xf numFmtId="2" fontId="16" fillId="14" borderId="1" xfId="3" applyNumberFormat="1" applyFont="1" applyFill="1" applyBorder="1" applyAlignment="1" applyProtection="1">
      <alignment horizontal="center" vertical="center"/>
    </xf>
    <xf numFmtId="2" fontId="16" fillId="14" borderId="12" xfId="3" applyNumberFormat="1" applyFont="1" applyFill="1" applyBorder="1" applyAlignment="1" applyProtection="1">
      <alignment horizontal="center" vertical="center"/>
    </xf>
    <xf numFmtId="2" fontId="16" fillId="14" borderId="11" xfId="3" applyNumberFormat="1" applyFont="1" applyFill="1" applyBorder="1" applyAlignment="1" applyProtection="1">
      <alignment horizontal="center" vertical="center"/>
    </xf>
    <xf numFmtId="0" fontId="16" fillId="14" borderId="11" xfId="24" applyFill="1" applyBorder="1" applyAlignment="1" applyProtection="1">
      <alignment horizontal="left" vertical="center"/>
    </xf>
    <xf numFmtId="0" fontId="21" fillId="14" borderId="7" xfId="6" applyFill="1" applyBorder="1" applyAlignment="1" applyProtection="1">
      <alignment horizontal="center" vertical="center"/>
    </xf>
    <xf numFmtId="0" fontId="21" fillId="14" borderId="8" xfId="6" applyFill="1" applyBorder="1" applyAlignment="1" applyProtection="1">
      <alignment horizontal="center" vertical="center"/>
    </xf>
    <xf numFmtId="168" fontId="21" fillId="14" borderId="8" xfId="2" applyFont="1" applyFill="1" applyBorder="1" applyAlignment="1" applyProtection="1">
      <alignment horizontal="center" vertical="center"/>
    </xf>
    <xf numFmtId="168" fontId="21" fillId="14" borderId="23" xfId="2" applyFont="1" applyFill="1" applyBorder="1" applyAlignment="1" applyProtection="1">
      <alignment horizontal="center" vertical="center"/>
    </xf>
    <xf numFmtId="168" fontId="21" fillId="14" borderId="30" xfId="2" applyFont="1" applyFill="1" applyBorder="1" applyAlignment="1" applyProtection="1">
      <alignment horizontal="center" vertical="center"/>
    </xf>
    <xf numFmtId="168" fontId="16" fillId="14" borderId="25" xfId="26" applyNumberFormat="1" applyFill="1" applyBorder="1" applyAlignment="1" applyProtection="1">
      <alignment horizontal="center" vertical="center"/>
    </xf>
    <xf numFmtId="168" fontId="16" fillId="14" borderId="8" xfId="26" applyNumberFormat="1" applyFill="1" applyBorder="1" applyAlignment="1" applyProtection="1">
      <alignment horizontal="center" vertical="center"/>
    </xf>
    <xf numFmtId="2" fontId="21" fillId="14" borderId="7" xfId="3" applyNumberFormat="1" applyFont="1" applyFill="1" applyBorder="1" applyAlignment="1" applyProtection="1">
      <alignment horizontal="center" vertical="center"/>
    </xf>
    <xf numFmtId="2" fontId="16" fillId="14" borderId="8" xfId="3" applyNumberFormat="1" applyFont="1" applyFill="1" applyBorder="1" applyAlignment="1" applyProtection="1">
      <alignment horizontal="center" vertical="center"/>
    </xf>
    <xf numFmtId="2" fontId="16" fillId="14" borderId="7" xfId="3" applyNumberFormat="1" applyFont="1" applyFill="1" applyBorder="1" applyAlignment="1" applyProtection="1">
      <alignment horizontal="center" vertical="center"/>
    </xf>
    <xf numFmtId="2" fontId="16" fillId="14" borderId="6" xfId="3" applyNumberFormat="1" applyFont="1" applyFill="1" applyBorder="1" applyAlignment="1" applyProtection="1">
      <alignment horizontal="center" vertical="center"/>
    </xf>
    <xf numFmtId="0" fontId="16" fillId="14" borderId="6" xfId="24" applyFill="1" applyBorder="1" applyAlignment="1" applyProtection="1">
      <alignment horizontal="left" vertical="center"/>
    </xf>
    <xf numFmtId="0" fontId="52" fillId="0" borderId="8" xfId="24" applyFont="1" applyBorder="1" applyAlignment="1" applyProtection="1">
      <alignment horizontal="left"/>
    </xf>
    <xf numFmtId="168" fontId="16" fillId="0" borderId="6" xfId="24" applyNumberFormat="1" applyBorder="1" applyAlignment="1" applyProtection="1">
      <alignment horizontal="center"/>
    </xf>
    <xf numFmtId="0" fontId="21" fillId="0" borderId="1" xfId="6" applyBorder="1" applyAlignment="1" applyProtection="1">
      <alignment horizontal="center"/>
    </xf>
    <xf numFmtId="168" fontId="21" fillId="0" borderId="1" xfId="2" applyFont="1" applyBorder="1" applyAlignment="1" applyProtection="1">
      <alignment horizontal="center"/>
    </xf>
    <xf numFmtId="168" fontId="16" fillId="0" borderId="1" xfId="26" applyNumberFormat="1" applyBorder="1" applyAlignment="1" applyProtection="1">
      <alignment horizontal="center"/>
    </xf>
    <xf numFmtId="167" fontId="21" fillId="0" borderId="1" xfId="3" applyFont="1" applyBorder="1" applyAlignment="1" applyProtection="1">
      <alignment horizontal="center"/>
    </xf>
    <xf numFmtId="2" fontId="16" fillId="0" borderId="1" xfId="3" applyNumberFormat="1" applyFont="1" applyBorder="1" applyAlignment="1" applyProtection="1">
      <alignment horizontal="center"/>
    </xf>
    <xf numFmtId="167" fontId="16" fillId="0" borderId="1" xfId="3" applyFont="1" applyBorder="1" applyAlignment="1" applyProtection="1">
      <alignment horizontal="center"/>
    </xf>
    <xf numFmtId="168" fontId="16" fillId="0" borderId="1" xfId="2" applyFont="1" applyAlignment="1" applyProtection="1">
      <alignment horizontal="center"/>
    </xf>
    <xf numFmtId="0" fontId="16" fillId="0" borderId="1" xfId="24" applyBorder="1" applyAlignment="1" applyProtection="1">
      <alignment horizontal="left"/>
    </xf>
    <xf numFmtId="0" fontId="52" fillId="0" borderId="1" xfId="24" applyFont="1" applyAlignment="1" applyProtection="1">
      <alignment horizontal="right"/>
    </xf>
    <xf numFmtId="2" fontId="16" fillId="0" borderId="1" xfId="24" applyNumberFormat="1" applyProtection="1"/>
    <xf numFmtId="1" fontId="16" fillId="0" borderId="1" xfId="24" applyNumberFormat="1" applyBorder="1" applyProtection="1"/>
    <xf numFmtId="0" fontId="16" fillId="0" borderId="1" xfId="24" applyBorder="1" applyAlignment="1" applyProtection="1">
      <alignment horizontal="center"/>
    </xf>
    <xf numFmtId="167" fontId="16" fillId="0" borderId="1" xfId="3" applyFont="1" applyAlignment="1" applyProtection="1">
      <alignment horizontal="center"/>
    </xf>
    <xf numFmtId="0" fontId="16" fillId="0" borderId="1" xfId="24" applyAlignment="1" applyProtection="1">
      <alignment horizontal="center"/>
    </xf>
    <xf numFmtId="167" fontId="52" fillId="0" borderId="1" xfId="3" applyFont="1" applyAlignment="1" applyProtection="1">
      <alignment horizontal="center"/>
    </xf>
    <xf numFmtId="2" fontId="16" fillId="0" borderId="1" xfId="3" applyNumberFormat="1" applyFont="1" applyAlignment="1" applyProtection="1">
      <alignment horizontal="center"/>
    </xf>
    <xf numFmtId="1" fontId="16" fillId="0" borderId="1" xfId="24" applyNumberFormat="1" applyProtection="1"/>
    <xf numFmtId="0" fontId="46" fillId="0" borderId="2" xfId="0" applyFont="1" applyFill="1" applyBorder="1" applyAlignment="1">
      <alignment horizontal="center"/>
    </xf>
    <xf numFmtId="0" fontId="46" fillId="13" borderId="2" xfId="0" applyFont="1" applyFill="1" applyBorder="1" applyAlignment="1">
      <alignment horizontal="center"/>
    </xf>
    <xf numFmtId="0" fontId="46" fillId="10" borderId="20" xfId="0" applyFont="1" applyFill="1" applyBorder="1" applyAlignment="1">
      <alignment horizontal="center"/>
    </xf>
    <xf numFmtId="0" fontId="46" fillId="0" borderId="20" xfId="0" applyFont="1" applyFill="1" applyBorder="1" applyAlignment="1">
      <alignment horizontal="center"/>
    </xf>
    <xf numFmtId="0" fontId="46" fillId="13" borderId="20" xfId="0" applyFont="1" applyFill="1" applyBorder="1" applyAlignment="1">
      <alignment horizontal="center"/>
    </xf>
    <xf numFmtId="2" fontId="46" fillId="0" borderId="2" xfId="0" applyNumberFormat="1" applyFont="1" applyFill="1" applyBorder="1" applyAlignment="1">
      <alignment horizontal="center"/>
    </xf>
    <xf numFmtId="2" fontId="46" fillId="13" borderId="2" xfId="0" applyNumberFormat="1" applyFont="1" applyFill="1" applyBorder="1" applyAlignment="1">
      <alignment horizontal="center"/>
    </xf>
    <xf numFmtId="0" fontId="46" fillId="0" borderId="11" xfId="0" applyFont="1" applyFill="1" applyBorder="1" applyAlignment="1">
      <alignment horizontal="center"/>
    </xf>
    <xf numFmtId="0" fontId="46" fillId="13" borderId="11" xfId="0" applyFont="1" applyFill="1" applyBorder="1" applyAlignment="1">
      <alignment horizontal="center"/>
    </xf>
    <xf numFmtId="0" fontId="46" fillId="0" borderId="5" xfId="0" applyFont="1" applyFill="1" applyBorder="1" applyAlignment="1">
      <alignment horizontal="center"/>
    </xf>
    <xf numFmtId="0" fontId="46" fillId="13" borderId="5" xfId="0" applyFont="1" applyFill="1" applyBorder="1" applyAlignment="1">
      <alignment horizontal="center"/>
    </xf>
    <xf numFmtId="2" fontId="46" fillId="0" borderId="11" xfId="0" applyNumberFormat="1" applyFont="1" applyFill="1" applyBorder="1"/>
    <xf numFmtId="2" fontId="46" fillId="13" borderId="11" xfId="0" applyNumberFormat="1" applyFont="1" applyFill="1" applyBorder="1"/>
    <xf numFmtId="0" fontId="49" fillId="0" borderId="11" xfId="0" applyFont="1" applyBorder="1"/>
    <xf numFmtId="0" fontId="46" fillId="0" borderId="11" xfId="0" applyFont="1" applyFill="1" applyBorder="1"/>
    <xf numFmtId="0" fontId="46" fillId="13" borderId="11" xfId="0" applyFont="1" applyFill="1" applyBorder="1"/>
    <xf numFmtId="0" fontId="49" fillId="8" borderId="2" xfId="0" applyFont="1" applyFill="1" applyBorder="1"/>
    <xf numFmtId="0" fontId="15" fillId="0" borderId="11" xfId="0" applyFont="1" applyBorder="1" applyAlignment="1">
      <alignment horizontal="center"/>
    </xf>
    <xf numFmtId="2" fontId="15" fillId="5" borderId="11" xfId="0" applyNumberFormat="1" applyFont="1" applyFill="1" applyBorder="1" applyAlignment="1">
      <alignment horizontal="center"/>
    </xf>
    <xf numFmtId="0" fontId="15" fillId="5" borderId="11" xfId="0" applyFont="1" applyFill="1" applyBorder="1" applyAlignment="1">
      <alignment horizontal="center"/>
    </xf>
    <xf numFmtId="0" fontId="15" fillId="0" borderId="5" xfId="0" applyFont="1" applyBorder="1" applyAlignment="1">
      <alignment horizontal="center"/>
    </xf>
    <xf numFmtId="0" fontId="15" fillId="5" borderId="5" xfId="0" applyFont="1" applyFill="1" applyBorder="1" applyAlignment="1">
      <alignment horizontal="center"/>
    </xf>
    <xf numFmtId="2" fontId="15" fillId="5" borderId="5" xfId="0" applyNumberFormat="1" applyFont="1" applyFill="1" applyBorder="1" applyAlignment="1">
      <alignment horizontal="center"/>
    </xf>
    <xf numFmtId="0" fontId="15" fillId="0" borderId="11" xfId="0" applyFont="1" applyBorder="1"/>
    <xf numFmtId="0" fontId="0" fillId="5" borderId="11" xfId="0" applyFill="1" applyBorder="1"/>
    <xf numFmtId="0" fontId="15" fillId="0" borderId="2" xfId="0" applyFont="1" applyBorder="1" applyAlignment="1">
      <alignment horizontal="center"/>
    </xf>
    <xf numFmtId="0" fontId="15" fillId="5" borderId="2" xfId="0" applyFont="1" applyFill="1" applyBorder="1" applyAlignment="1">
      <alignment horizontal="center"/>
    </xf>
    <xf numFmtId="0" fontId="0" fillId="7" borderId="2" xfId="0" applyFill="1" applyBorder="1" applyAlignment="1">
      <alignment horizontal="center"/>
    </xf>
    <xf numFmtId="0" fontId="15" fillId="0" borderId="20" xfId="0" applyFont="1" applyBorder="1" applyAlignment="1">
      <alignment horizontal="center"/>
    </xf>
    <xf numFmtId="0" fontId="15" fillId="5" borderId="20" xfId="0" applyFont="1" applyFill="1" applyBorder="1" applyAlignment="1">
      <alignment horizontal="center"/>
    </xf>
    <xf numFmtId="0" fontId="0" fillId="7" borderId="31" xfId="0" applyFill="1" applyBorder="1"/>
    <xf numFmtId="0" fontId="0" fillId="7" borderId="19" xfId="0" applyFill="1" applyBorder="1"/>
    <xf numFmtId="0" fontId="0" fillId="0" borderId="19" xfId="0" applyBorder="1"/>
    <xf numFmtId="0" fontId="0" fillId="5" borderId="19" xfId="0" applyFill="1" applyBorder="1"/>
    <xf numFmtId="0" fontId="15" fillId="0" borderId="2" xfId="0" applyFont="1" applyFill="1" applyBorder="1" applyAlignment="1">
      <alignment horizontal="center"/>
    </xf>
    <xf numFmtId="0" fontId="15" fillId="0" borderId="20" xfId="0" applyFont="1" applyFill="1" applyBorder="1" applyAlignment="1">
      <alignment horizontal="center"/>
    </xf>
    <xf numFmtId="2" fontId="15" fillId="0" borderId="1" xfId="0" applyNumberFormat="1" applyFont="1" applyFill="1" applyBorder="1" applyAlignment="1">
      <alignment horizontal="center"/>
    </xf>
    <xf numFmtId="0" fontId="15" fillId="0" borderId="11" xfId="0" applyFont="1" applyFill="1" applyBorder="1" applyAlignment="1">
      <alignment horizontal="center"/>
    </xf>
    <xf numFmtId="0" fontId="15" fillId="0" borderId="5" xfId="0" applyFont="1" applyFill="1" applyBorder="1" applyAlignment="1">
      <alignment horizontal="center"/>
    </xf>
    <xf numFmtId="0" fontId="0" fillId="0" borderId="11" xfId="0" applyFill="1" applyBorder="1"/>
    <xf numFmtId="0" fontId="0" fillId="0" borderId="19" xfId="0" applyFill="1" applyBorder="1"/>
    <xf numFmtId="0" fontId="15" fillId="15" borderId="1" xfId="0" applyFont="1" applyFill="1" applyBorder="1" applyAlignment="1">
      <alignment horizontal="center"/>
    </xf>
    <xf numFmtId="0" fontId="15" fillId="15" borderId="2" xfId="0" applyFont="1" applyFill="1" applyBorder="1" applyAlignment="1">
      <alignment horizontal="center"/>
    </xf>
    <xf numFmtId="0" fontId="15" fillId="15" borderId="20" xfId="0" applyFont="1" applyFill="1" applyBorder="1" applyAlignment="1">
      <alignment horizontal="center"/>
    </xf>
    <xf numFmtId="2" fontId="15" fillId="15" borderId="1" xfId="0" applyNumberFormat="1" applyFont="1" applyFill="1" applyBorder="1" applyAlignment="1">
      <alignment horizontal="center"/>
    </xf>
    <xf numFmtId="0" fontId="15" fillId="15" borderId="11" xfId="0" applyFont="1" applyFill="1" applyBorder="1" applyAlignment="1">
      <alignment horizontal="center"/>
    </xf>
    <xf numFmtId="0" fontId="15" fillId="15" borderId="5" xfId="0" applyFont="1" applyFill="1" applyBorder="1" applyAlignment="1">
      <alignment horizontal="center"/>
    </xf>
    <xf numFmtId="0" fontId="15" fillId="15" borderId="1" xfId="0" applyFont="1" applyFill="1" applyBorder="1"/>
    <xf numFmtId="0" fontId="0" fillId="15" borderId="11" xfId="0" applyFill="1" applyBorder="1"/>
    <xf numFmtId="0" fontId="0" fillId="15" borderId="19" xfId="0" applyFill="1" applyBorder="1"/>
    <xf numFmtId="0" fontId="0" fillId="15" borderId="1" xfId="0" applyFill="1" applyBorder="1"/>
    <xf numFmtId="0" fontId="49" fillId="5" borderId="11" xfId="0" applyFont="1" applyFill="1" applyBorder="1" applyAlignment="1">
      <alignment horizontal="center"/>
    </xf>
    <xf numFmtId="0" fontId="49" fillId="5" borderId="5" xfId="0" applyFont="1" applyFill="1" applyBorder="1" applyAlignment="1">
      <alignment horizontal="center"/>
    </xf>
    <xf numFmtId="0" fontId="49" fillId="5" borderId="1" xfId="0" applyFont="1" applyFill="1" applyBorder="1"/>
    <xf numFmtId="0" fontId="49" fillId="5" borderId="11" xfId="0" applyFont="1" applyFill="1" applyBorder="1"/>
    <xf numFmtId="0" fontId="46" fillId="5" borderId="11" xfId="0" applyFont="1" applyFill="1" applyBorder="1"/>
    <xf numFmtId="0" fontId="46" fillId="5" borderId="19" xfId="0" applyFont="1" applyFill="1" applyBorder="1"/>
    <xf numFmtId="0" fontId="49" fillId="15" borderId="1" xfId="0" applyFont="1" applyFill="1" applyBorder="1" applyAlignment="1">
      <alignment horizontal="center"/>
    </xf>
    <xf numFmtId="0" fontId="49" fillId="15" borderId="2" xfId="0" applyFont="1" applyFill="1" applyBorder="1" applyAlignment="1">
      <alignment horizontal="center"/>
    </xf>
    <xf numFmtId="0" fontId="49" fillId="15" borderId="20" xfId="0" applyFont="1" applyFill="1" applyBorder="1" applyAlignment="1">
      <alignment horizontal="center"/>
    </xf>
    <xf numFmtId="2" fontId="49" fillId="15" borderId="1" xfId="0" applyNumberFormat="1" applyFont="1" applyFill="1" applyBorder="1" applyAlignment="1">
      <alignment horizontal="center"/>
    </xf>
    <xf numFmtId="0" fontId="49" fillId="15" borderId="11" xfId="0" applyFont="1" applyFill="1" applyBorder="1" applyAlignment="1">
      <alignment horizontal="center"/>
    </xf>
    <xf numFmtId="0" fontId="49" fillId="15" borderId="5" xfId="0" applyFont="1" applyFill="1" applyBorder="1" applyAlignment="1">
      <alignment horizontal="center"/>
    </xf>
    <xf numFmtId="0" fontId="49" fillId="15" borderId="1" xfId="0" applyFont="1" applyFill="1" applyBorder="1"/>
    <xf numFmtId="0" fontId="49" fillId="15" borderId="11" xfId="0" applyFont="1" applyFill="1" applyBorder="1"/>
    <xf numFmtId="0" fontId="46" fillId="15" borderId="11" xfId="0" applyFont="1" applyFill="1" applyBorder="1"/>
    <xf numFmtId="0" fontId="46" fillId="15" borderId="19" xfId="0" applyFont="1" applyFill="1" applyBorder="1"/>
    <xf numFmtId="0" fontId="46" fillId="15" borderId="1" xfId="0" applyFont="1" applyFill="1" applyBorder="1"/>
    <xf numFmtId="14" fontId="49" fillId="15" borderId="1" xfId="0" applyNumberFormat="1" applyFont="1" applyFill="1" applyBorder="1" applyAlignment="1">
      <alignment horizontal="center"/>
    </xf>
    <xf numFmtId="2" fontId="49" fillId="15" borderId="11" xfId="0" applyNumberFormat="1" applyFont="1" applyFill="1" applyBorder="1" applyAlignment="1">
      <alignment horizontal="center"/>
    </xf>
    <xf numFmtId="14" fontId="14" fillId="0" borderId="1" xfId="24" applyNumberFormat="1" applyFont="1" applyBorder="1" applyProtection="1"/>
    <xf numFmtId="14" fontId="0" fillId="0" borderId="1" xfId="0" applyNumberFormat="1" applyFill="1" applyBorder="1" applyAlignment="1">
      <alignment horizontal="center"/>
    </xf>
    <xf numFmtId="0" fontId="0" fillId="0" borderId="2" xfId="0" applyFill="1" applyBorder="1" applyAlignment="1">
      <alignment horizontal="center"/>
    </xf>
    <xf numFmtId="0" fontId="0" fillId="0" borderId="20" xfId="0" applyFill="1" applyBorder="1" applyAlignment="1">
      <alignment horizontal="center"/>
    </xf>
    <xf numFmtId="2" fontId="0" fillId="0" borderId="1" xfId="0" applyNumberFormat="1" applyFill="1" applyBorder="1" applyAlignment="1">
      <alignment horizontal="center"/>
    </xf>
    <xf numFmtId="2" fontId="0" fillId="0" borderId="11" xfId="0" applyNumberFormat="1" applyFill="1" applyBorder="1" applyAlignment="1">
      <alignment horizontal="center"/>
    </xf>
    <xf numFmtId="2" fontId="0" fillId="0" borderId="5" xfId="0" applyNumberFormat="1" applyFill="1" applyBorder="1" applyAlignment="1">
      <alignment horizontal="center"/>
    </xf>
    <xf numFmtId="2" fontId="0" fillId="0" borderId="2" xfId="0" applyNumberFormat="1" applyFill="1" applyBorder="1" applyAlignment="1">
      <alignment horizontal="center"/>
    </xf>
    <xf numFmtId="0" fontId="0" fillId="0" borderId="11" xfId="0" applyFill="1" applyBorder="1" applyAlignment="1">
      <alignment horizontal="center"/>
    </xf>
    <xf numFmtId="14" fontId="0" fillId="16" borderId="1" xfId="0" applyNumberFormat="1" applyFill="1" applyBorder="1" applyAlignment="1">
      <alignment horizontal="center"/>
    </xf>
    <xf numFmtId="0" fontId="0" fillId="16" borderId="1" xfId="0" applyFill="1" applyBorder="1" applyAlignment="1">
      <alignment horizontal="center"/>
    </xf>
    <xf numFmtId="0" fontId="0" fillId="16" borderId="2" xfId="0" applyFill="1" applyBorder="1" applyAlignment="1">
      <alignment horizontal="center"/>
    </xf>
    <xf numFmtId="0" fontId="0" fillId="16" borderId="20" xfId="0" applyFill="1" applyBorder="1" applyAlignment="1">
      <alignment horizontal="center"/>
    </xf>
    <xf numFmtId="2" fontId="0" fillId="16" borderId="1" xfId="0" applyNumberFormat="1" applyFill="1" applyBorder="1" applyAlignment="1">
      <alignment horizontal="center"/>
    </xf>
    <xf numFmtId="2" fontId="0" fillId="16" borderId="11" xfId="0" applyNumberFormat="1" applyFill="1" applyBorder="1" applyAlignment="1">
      <alignment horizontal="center"/>
    </xf>
    <xf numFmtId="2" fontId="0" fillId="16" borderId="5" xfId="0" applyNumberFormat="1" applyFill="1" applyBorder="1" applyAlignment="1">
      <alignment horizontal="center"/>
    </xf>
    <xf numFmtId="2" fontId="0" fillId="16" borderId="2" xfId="0" applyNumberFormat="1" applyFill="1" applyBorder="1" applyAlignment="1">
      <alignment horizontal="center"/>
    </xf>
    <xf numFmtId="0" fontId="0" fillId="16" borderId="11" xfId="0" applyFill="1" applyBorder="1" applyAlignment="1">
      <alignment horizontal="center"/>
    </xf>
    <xf numFmtId="0" fontId="32" fillId="16" borderId="1" xfId="0" applyFont="1" applyFill="1" applyBorder="1" applyAlignment="1">
      <alignment horizontal="center"/>
    </xf>
    <xf numFmtId="0" fontId="32" fillId="16" borderId="2" xfId="0" applyFont="1" applyFill="1" applyBorder="1" applyAlignment="1">
      <alignment horizontal="center"/>
    </xf>
    <xf numFmtId="0" fontId="32" fillId="16" borderId="20" xfId="0" applyFont="1" applyFill="1" applyBorder="1" applyAlignment="1">
      <alignment horizontal="center"/>
    </xf>
    <xf numFmtId="14" fontId="49" fillId="0" borderId="1" xfId="0" applyNumberFormat="1" applyFont="1" applyFill="1" applyBorder="1" applyAlignment="1">
      <alignment horizontal="center"/>
    </xf>
    <xf numFmtId="0" fontId="49" fillId="0" borderId="2" xfId="0" applyFont="1" applyFill="1" applyBorder="1" applyAlignment="1">
      <alignment horizontal="center"/>
    </xf>
    <xf numFmtId="0" fontId="49" fillId="0" borderId="20" xfId="0" applyFont="1" applyFill="1" applyBorder="1" applyAlignment="1">
      <alignment horizontal="center"/>
    </xf>
    <xf numFmtId="2" fontId="49" fillId="0" borderId="11" xfId="0" applyNumberFormat="1" applyFont="1" applyFill="1" applyBorder="1" applyAlignment="1">
      <alignment horizontal="center"/>
    </xf>
    <xf numFmtId="0" fontId="49" fillId="0" borderId="5" xfId="0" applyFont="1" applyFill="1" applyBorder="1" applyAlignment="1">
      <alignment horizontal="center"/>
    </xf>
    <xf numFmtId="2" fontId="49" fillId="0" borderId="2" xfId="0" applyNumberFormat="1" applyFont="1" applyFill="1" applyBorder="1" applyAlignment="1">
      <alignment horizontal="center"/>
    </xf>
    <xf numFmtId="2" fontId="49" fillId="0" borderId="20" xfId="0" applyNumberFormat="1" applyFont="1" applyFill="1" applyBorder="1" applyAlignment="1">
      <alignment horizontal="center"/>
    </xf>
    <xf numFmtId="0" fontId="49" fillId="0" borderId="11" xfId="0" applyFont="1" applyFill="1" applyBorder="1" applyAlignment="1">
      <alignment horizontal="center"/>
    </xf>
    <xf numFmtId="14" fontId="49" fillId="17" borderId="1" xfId="0" applyNumberFormat="1" applyFont="1" applyFill="1" applyBorder="1" applyAlignment="1">
      <alignment horizontal="center"/>
    </xf>
    <xf numFmtId="0" fontId="49" fillId="17" borderId="1" xfId="0" applyFont="1" applyFill="1" applyBorder="1" applyAlignment="1">
      <alignment horizontal="center"/>
    </xf>
    <xf numFmtId="0" fontId="49" fillId="17" borderId="2" xfId="0" applyFont="1" applyFill="1" applyBorder="1" applyAlignment="1">
      <alignment horizontal="center"/>
    </xf>
    <xf numFmtId="0" fontId="49" fillId="17" borderId="20" xfId="0" applyFont="1" applyFill="1" applyBorder="1" applyAlignment="1">
      <alignment horizontal="center"/>
    </xf>
    <xf numFmtId="2" fontId="49" fillId="17" borderId="1" xfId="0" applyNumberFormat="1" applyFont="1" applyFill="1" applyBorder="1" applyAlignment="1">
      <alignment horizontal="center"/>
    </xf>
    <xf numFmtId="2" fontId="49" fillId="17" borderId="11" xfId="0" applyNumberFormat="1" applyFont="1" applyFill="1" applyBorder="1" applyAlignment="1">
      <alignment horizontal="center"/>
    </xf>
    <xf numFmtId="0" fontId="49" fillId="18" borderId="5" xfId="0" applyFont="1" applyFill="1" applyBorder="1" applyAlignment="1">
      <alignment horizontal="center"/>
    </xf>
    <xf numFmtId="0" fontId="49" fillId="18" borderId="1" xfId="0" applyFont="1" applyFill="1" applyBorder="1" applyAlignment="1">
      <alignment horizontal="center"/>
    </xf>
    <xf numFmtId="2" fontId="49" fillId="18" borderId="1" xfId="0" applyNumberFormat="1" applyFont="1" applyFill="1" applyBorder="1" applyAlignment="1">
      <alignment horizontal="center"/>
    </xf>
    <xf numFmtId="2" fontId="49" fillId="18" borderId="2" xfId="0" applyNumberFormat="1" applyFont="1" applyFill="1" applyBorder="1" applyAlignment="1">
      <alignment horizontal="center"/>
    </xf>
    <xf numFmtId="2" fontId="49" fillId="18" borderId="20" xfId="0" applyNumberFormat="1" applyFont="1" applyFill="1" applyBorder="1" applyAlignment="1">
      <alignment horizontal="center"/>
    </xf>
    <xf numFmtId="0" fontId="49" fillId="18" borderId="11" xfId="0" applyFont="1" applyFill="1" applyBorder="1" applyAlignment="1">
      <alignment horizontal="center"/>
    </xf>
    <xf numFmtId="2" fontId="49" fillId="18" borderId="11" xfId="0" applyNumberFormat="1" applyFont="1" applyFill="1" applyBorder="1" applyAlignment="1">
      <alignment horizontal="center"/>
    </xf>
    <xf numFmtId="0" fontId="49" fillId="18" borderId="1" xfId="0" applyFont="1" applyFill="1" applyBorder="1"/>
    <xf numFmtId="0" fontId="49" fillId="18" borderId="11" xfId="0" applyFont="1" applyFill="1" applyBorder="1"/>
    <xf numFmtId="0" fontId="49" fillId="18" borderId="2" xfId="0" applyFont="1" applyFill="1" applyBorder="1"/>
    <xf numFmtId="0" fontId="46" fillId="17" borderId="1" xfId="0" applyFont="1" applyFill="1" applyBorder="1"/>
    <xf numFmtId="0" fontId="0" fillId="17" borderId="1" xfId="0" applyFill="1" applyBorder="1"/>
    <xf numFmtId="0" fontId="46" fillId="17" borderId="2" xfId="0" applyFont="1" applyFill="1" applyBorder="1"/>
    <xf numFmtId="0" fontId="46" fillId="17" borderId="20" xfId="0" applyFont="1" applyFill="1" applyBorder="1"/>
    <xf numFmtId="0" fontId="46" fillId="17" borderId="11" xfId="0" applyFont="1" applyFill="1" applyBorder="1"/>
    <xf numFmtId="0" fontId="46" fillId="17" borderId="5" xfId="0" applyFont="1" applyFill="1" applyBorder="1"/>
    <xf numFmtId="2" fontId="46" fillId="17" borderId="2" xfId="0" applyNumberFormat="1" applyFont="1" applyFill="1" applyBorder="1"/>
    <xf numFmtId="2" fontId="46" fillId="17" borderId="1" xfId="0" applyNumberFormat="1" applyFont="1" applyFill="1" applyBorder="1"/>
    <xf numFmtId="2" fontId="46" fillId="17" borderId="11" xfId="0" applyNumberFormat="1" applyFont="1" applyFill="1" applyBorder="1"/>
    <xf numFmtId="164" fontId="9" fillId="0" borderId="15" xfId="31" applyNumberFormat="1" applyFont="1" applyBorder="1" applyAlignment="1">
      <alignment horizontal="center" vertical="top"/>
    </xf>
    <xf numFmtId="0" fontId="10" fillId="0" borderId="14" xfId="31" applyFont="1" applyBorder="1" applyAlignment="1">
      <alignment horizontal="center" vertical="top"/>
    </xf>
    <xf numFmtId="0" fontId="10" fillId="0" borderId="13" xfId="31" applyFont="1" applyBorder="1" applyAlignment="1">
      <alignment horizontal="center" vertical="top"/>
    </xf>
    <xf numFmtId="0" fontId="11" fillId="0" borderId="22" xfId="31" applyFont="1" applyBorder="1" applyAlignment="1">
      <alignment horizontal="center"/>
    </xf>
    <xf numFmtId="0" fontId="11" fillId="0" borderId="24" xfId="31" applyFont="1" applyBorder="1" applyAlignment="1">
      <alignment horizontal="center"/>
    </xf>
    <xf numFmtId="0" fontId="11" fillId="0" borderId="14" xfId="31" applyFont="1" applyBorder="1" applyAlignment="1">
      <alignment horizontal="center"/>
    </xf>
    <xf numFmtId="4" fontId="10" fillId="0" borderId="14" xfId="31" applyNumberFormat="1" applyFont="1" applyBorder="1" applyAlignment="1">
      <alignment horizontal="center" vertical="top"/>
    </xf>
    <xf numFmtId="4" fontId="10" fillId="0" borderId="16" xfId="31" applyNumberFormat="1" applyFont="1" applyBorder="1" applyAlignment="1">
      <alignment horizontal="center" vertical="top"/>
    </xf>
    <xf numFmtId="4" fontId="12" fillId="0" borderId="14" xfId="31" applyNumberFormat="1" applyFont="1" applyBorder="1" applyAlignment="1">
      <alignment horizontal="center"/>
    </xf>
    <xf numFmtId="0" fontId="51" fillId="0" borderId="3" xfId="31" applyBorder="1"/>
    <xf numFmtId="0" fontId="14" fillId="0" borderId="1" xfId="31" applyFont="1" applyAlignment="1">
      <alignment horizontal="center"/>
    </xf>
    <xf numFmtId="4" fontId="10" fillId="0" borderId="15" xfId="31" applyNumberFormat="1" applyFont="1" applyBorder="1" applyAlignment="1">
      <alignment horizontal="center" vertical="top"/>
    </xf>
    <xf numFmtId="4" fontId="11" fillId="0" borderId="14" xfId="31" applyNumberFormat="1" applyFont="1" applyBorder="1" applyAlignment="1">
      <alignment horizontal="center"/>
    </xf>
    <xf numFmtId="4" fontId="10" fillId="0" borderId="17" xfId="31" applyNumberFormat="1" applyFont="1" applyBorder="1" applyAlignment="1">
      <alignment horizontal="center"/>
    </xf>
    <xf numFmtId="0" fontId="11" fillId="0" borderId="13" xfId="31" applyFont="1" applyBorder="1" applyAlignment="1">
      <alignment horizontal="center"/>
    </xf>
    <xf numFmtId="0" fontId="51" fillId="0" borderId="1" xfId="31"/>
    <xf numFmtId="164" fontId="9" fillId="0" borderId="12" xfId="31" applyNumberFormat="1" applyFont="1" applyBorder="1" applyAlignment="1">
      <alignment horizontal="center" vertical="top"/>
    </xf>
    <xf numFmtId="0" fontId="10" fillId="0" borderId="1" xfId="31" applyFont="1" applyAlignment="1">
      <alignment horizontal="center" vertical="top"/>
    </xf>
    <xf numFmtId="0" fontId="10" fillId="0" borderId="2" xfId="31" applyFont="1" applyBorder="1" applyAlignment="1">
      <alignment horizontal="center" vertical="top"/>
    </xf>
    <xf numFmtId="0" fontId="11" fillId="0" borderId="20" xfId="31" applyFont="1" applyBorder="1" applyAlignment="1">
      <alignment horizontal="center"/>
    </xf>
    <xf numFmtId="0" fontId="10" fillId="0" borderId="3" xfId="31" applyFont="1" applyBorder="1" applyAlignment="1">
      <alignment horizontal="center"/>
    </xf>
    <xf numFmtId="0" fontId="10" fillId="0" borderId="1" xfId="31" applyFont="1" applyAlignment="1">
      <alignment horizontal="center"/>
    </xf>
    <xf numFmtId="4" fontId="10" fillId="0" borderId="1" xfId="31" applyNumberFormat="1" applyFont="1" applyAlignment="1">
      <alignment horizontal="center" vertical="top"/>
    </xf>
    <xf numFmtId="4" fontId="10" fillId="0" borderId="5" xfId="31" applyNumberFormat="1" applyFont="1" applyBorder="1" applyAlignment="1">
      <alignment horizontal="center" vertical="top"/>
    </xf>
    <xf numFmtId="4" fontId="10" fillId="0" borderId="1" xfId="31" applyNumberFormat="1" applyFont="1" applyAlignment="1">
      <alignment horizontal="center"/>
    </xf>
    <xf numFmtId="0" fontId="11" fillId="0" borderId="1" xfId="31" applyFont="1" applyAlignment="1">
      <alignment horizontal="center"/>
    </xf>
    <xf numFmtId="4" fontId="12" fillId="0" borderId="3" xfId="31" applyNumberFormat="1" applyFont="1" applyBorder="1" applyAlignment="1">
      <alignment horizontal="center" vertical="top"/>
    </xf>
    <xf numFmtId="4" fontId="12" fillId="0" borderId="1" xfId="31" applyNumberFormat="1" applyFont="1" applyAlignment="1">
      <alignment horizontal="center" vertical="top"/>
    </xf>
    <xf numFmtId="0" fontId="51" fillId="0" borderId="12" xfId="31" applyBorder="1"/>
    <xf numFmtId="0" fontId="51" fillId="0" borderId="11" xfId="31" applyBorder="1"/>
    <xf numFmtId="0" fontId="10" fillId="0" borderId="11" xfId="31" applyFont="1" applyBorder="1" applyAlignment="1">
      <alignment horizontal="center"/>
    </xf>
    <xf numFmtId="0" fontId="11" fillId="0" borderId="2" xfId="31" applyFont="1" applyBorder="1" applyAlignment="1">
      <alignment horizontal="center"/>
    </xf>
    <xf numFmtId="0" fontId="10" fillId="0" borderId="20" xfId="31" applyFont="1" applyBorder="1" applyAlignment="1">
      <alignment horizontal="center"/>
    </xf>
    <xf numFmtId="0" fontId="10" fillId="0" borderId="5" xfId="31" applyFont="1" applyBorder="1" applyAlignment="1">
      <alignment horizontal="center"/>
    </xf>
    <xf numFmtId="4" fontId="12" fillId="0" borderId="3" xfId="31" applyNumberFormat="1" applyFont="1" applyBorder="1" applyAlignment="1">
      <alignment horizontal="center"/>
    </xf>
    <xf numFmtId="4" fontId="12" fillId="0" borderId="1" xfId="31" applyNumberFormat="1" applyFont="1" applyAlignment="1">
      <alignment horizontal="center"/>
    </xf>
    <xf numFmtId="4" fontId="10" fillId="0" borderId="12" xfId="31" applyNumberFormat="1" applyFont="1" applyBorder="1" applyAlignment="1">
      <alignment horizontal="center"/>
    </xf>
    <xf numFmtId="4" fontId="35" fillId="0" borderId="1" xfId="31" applyNumberFormat="1" applyFont="1" applyAlignment="1">
      <alignment horizontal="center"/>
    </xf>
    <xf numFmtId="4" fontId="35" fillId="0" borderId="11" xfId="31" applyNumberFormat="1" applyFont="1" applyBorder="1" applyAlignment="1">
      <alignment horizontal="center"/>
    </xf>
    <xf numFmtId="0" fontId="10" fillId="0" borderId="2" xfId="31" applyFont="1" applyBorder="1" applyAlignment="1">
      <alignment horizontal="center"/>
    </xf>
    <xf numFmtId="164" fontId="10" fillId="0" borderId="12" xfId="31" applyNumberFormat="1" applyFont="1" applyBorder="1" applyAlignment="1">
      <alignment horizontal="center" vertical="center"/>
    </xf>
    <xf numFmtId="0" fontId="10" fillId="0" borderId="1" xfId="31" applyFont="1" applyAlignment="1">
      <alignment horizontal="center" vertical="center"/>
    </xf>
    <xf numFmtId="0" fontId="10" fillId="0" borderId="2" xfId="31" applyFont="1" applyBorder="1" applyAlignment="1">
      <alignment horizontal="center" vertical="center"/>
    </xf>
    <xf numFmtId="0" fontId="10" fillId="0" borderId="20" xfId="31" applyFont="1" applyBorder="1" applyAlignment="1">
      <alignment horizontal="center" vertical="center"/>
    </xf>
    <xf numFmtId="0" fontId="10" fillId="0" borderId="3" xfId="31" applyFont="1" applyBorder="1" applyAlignment="1">
      <alignment horizontal="center" vertical="center"/>
    </xf>
    <xf numFmtId="4" fontId="10" fillId="0" borderId="1" xfId="31" applyNumberFormat="1" applyFont="1" applyAlignment="1">
      <alignment horizontal="center" vertical="center"/>
    </xf>
    <xf numFmtId="4" fontId="10" fillId="0" borderId="5" xfId="31" applyNumberFormat="1" applyFont="1" applyBorder="1" applyAlignment="1">
      <alignment horizontal="center" vertical="center"/>
    </xf>
    <xf numFmtId="4" fontId="12" fillId="0" borderId="3" xfId="31" applyNumberFormat="1" applyFont="1" applyBorder="1" applyAlignment="1">
      <alignment horizontal="center" vertical="center" wrapText="1"/>
    </xf>
    <xf numFmtId="4" fontId="10" fillId="0" borderId="12" xfId="31" applyNumberFormat="1" applyFont="1" applyBorder="1" applyAlignment="1">
      <alignment horizontal="center" vertical="center"/>
    </xf>
    <xf numFmtId="4" fontId="35" fillId="0" borderId="1" xfId="31" applyNumberFormat="1" applyFont="1" applyAlignment="1">
      <alignment horizontal="center" vertical="center"/>
    </xf>
    <xf numFmtId="4" fontId="35" fillId="0" borderId="11" xfId="31" applyNumberFormat="1" applyFont="1" applyBorder="1" applyAlignment="1">
      <alignment horizontal="center" vertical="center"/>
    </xf>
    <xf numFmtId="2" fontId="14" fillId="0" borderId="1" xfId="31" applyNumberFormat="1" applyFont="1" applyAlignment="1">
      <alignment horizontal="center" vertical="center"/>
    </xf>
    <xf numFmtId="165" fontId="14" fillId="0" borderId="11" xfId="31" applyNumberFormat="1" applyFont="1" applyBorder="1" applyAlignment="1">
      <alignment horizontal="center" vertical="center"/>
    </xf>
    <xf numFmtId="0" fontId="51" fillId="0" borderId="1" xfId="31" applyAlignment="1">
      <alignment vertical="center"/>
    </xf>
    <xf numFmtId="164" fontId="11" fillId="0" borderId="7" xfId="31" applyNumberFormat="1" applyFont="1" applyBorder="1" applyAlignment="1">
      <alignment horizontal="center" vertical="top"/>
    </xf>
    <xf numFmtId="0" fontId="11" fillId="0" borderId="8" xfId="31" applyFont="1" applyBorder="1" applyAlignment="1">
      <alignment horizontal="center" vertical="top"/>
    </xf>
    <xf numFmtId="0" fontId="11" fillId="0" borderId="9" xfId="31" applyFont="1" applyBorder="1" applyAlignment="1">
      <alignment horizontal="center" vertical="top"/>
    </xf>
    <xf numFmtId="0" fontId="11" fillId="0" borderId="23" xfId="31" applyFont="1" applyBorder="1" applyAlignment="1">
      <alignment horizontal="center"/>
    </xf>
    <xf numFmtId="4" fontId="0" fillId="0" borderId="8" xfId="31" applyNumberFormat="1" applyFont="1" applyBorder="1" applyAlignment="1">
      <alignment horizontal="center"/>
    </xf>
    <xf numFmtId="0" fontId="11" fillId="0" borderId="8" xfId="31" applyFont="1" applyBorder="1" applyAlignment="1">
      <alignment horizontal="center"/>
    </xf>
    <xf numFmtId="4" fontId="11" fillId="0" borderId="25" xfId="31" applyNumberFormat="1" applyFont="1" applyBorder="1" applyAlignment="1">
      <alignment horizontal="center" vertical="top"/>
    </xf>
    <xf numFmtId="4" fontId="11" fillId="0" borderId="8" xfId="31" applyNumberFormat="1" applyFont="1" applyBorder="1" applyAlignment="1">
      <alignment horizontal="center" vertical="top"/>
    </xf>
    <xf numFmtId="4" fontId="11" fillId="0" borderId="7" xfId="31" applyNumberFormat="1" applyFont="1" applyBorder="1" applyAlignment="1">
      <alignment horizontal="center"/>
    </xf>
    <xf numFmtId="4" fontId="11" fillId="0" borderId="8" xfId="31" applyNumberFormat="1" applyFont="1" applyBorder="1" applyAlignment="1">
      <alignment horizontal="center"/>
    </xf>
    <xf numFmtId="4" fontId="34" fillId="0" borderId="8" xfId="31" applyNumberFormat="1" applyFont="1" applyBorder="1" applyAlignment="1">
      <alignment horizontal="center"/>
    </xf>
    <xf numFmtId="4" fontId="34" fillId="0" borderId="6" xfId="31" applyNumberFormat="1" applyFont="1" applyBorder="1" applyAlignment="1">
      <alignment horizontal="center"/>
    </xf>
    <xf numFmtId="2" fontId="0" fillId="0" borderId="8" xfId="31" applyNumberFormat="1" applyFont="1" applyBorder="1" applyAlignment="1">
      <alignment horizontal="center"/>
    </xf>
    <xf numFmtId="0" fontId="11" fillId="0" borderId="6" xfId="31" applyFont="1" applyBorder="1" applyAlignment="1">
      <alignment horizontal="center"/>
    </xf>
    <xf numFmtId="0" fontId="11" fillId="0" borderId="9" xfId="31" applyFont="1" applyBorder="1" applyAlignment="1">
      <alignment horizontal="center"/>
    </xf>
    <xf numFmtId="14" fontId="32" fillId="7" borderId="12" xfId="31" applyNumberFormat="1" applyFont="1" applyFill="1" applyBorder="1" applyAlignment="1">
      <alignment horizontal="center"/>
    </xf>
    <xf numFmtId="0" fontId="32" fillId="7" borderId="1" xfId="31" applyFont="1" applyFill="1" applyAlignment="1">
      <alignment horizontal="center"/>
    </xf>
    <xf numFmtId="0" fontId="32" fillId="7" borderId="2" xfId="31" applyFont="1" applyFill="1" applyBorder="1" applyAlignment="1">
      <alignment horizontal="center"/>
    </xf>
    <xf numFmtId="0" fontId="32" fillId="7" borderId="20" xfId="31" applyFont="1" applyFill="1" applyBorder="1" applyAlignment="1">
      <alignment horizontal="center"/>
    </xf>
    <xf numFmtId="0" fontId="32" fillId="7" borderId="3" xfId="31" applyFont="1" applyFill="1" applyBorder="1" applyAlignment="1">
      <alignment horizontal="center"/>
    </xf>
    <xf numFmtId="4" fontId="32" fillId="7" borderId="1" xfId="31" applyNumberFormat="1" applyFont="1" applyFill="1" applyAlignment="1">
      <alignment horizontal="center"/>
    </xf>
    <xf numFmtId="4" fontId="32" fillId="7" borderId="5" xfId="31" applyNumberFormat="1" applyFont="1" applyFill="1" applyBorder="1" applyAlignment="1">
      <alignment horizontal="center"/>
    </xf>
    <xf numFmtId="4" fontId="32" fillId="7" borderId="3" xfId="31" applyNumberFormat="1" applyFont="1" applyFill="1" applyBorder="1" applyAlignment="1">
      <alignment horizontal="center"/>
    </xf>
    <xf numFmtId="4" fontId="32" fillId="7" borderId="12" xfId="31" applyNumberFormat="1" applyFont="1" applyFill="1" applyBorder="1" applyAlignment="1">
      <alignment horizontal="center"/>
    </xf>
    <xf numFmtId="0" fontId="32" fillId="7" borderId="1" xfId="31" applyFont="1" applyFill="1"/>
    <xf numFmtId="0" fontId="15" fillId="7" borderId="11" xfId="31" applyFont="1" applyFill="1" applyBorder="1"/>
    <xf numFmtId="4" fontId="32" fillId="7" borderId="2" xfId="31" applyNumberFormat="1" applyFont="1" applyFill="1" applyBorder="1" applyAlignment="1">
      <alignment horizontal="center"/>
    </xf>
    <xf numFmtId="14" fontId="33" fillId="7" borderId="12" xfId="31" applyNumberFormat="1" applyFont="1" applyFill="1" applyBorder="1" applyAlignment="1">
      <alignment horizontal="center"/>
    </xf>
    <xf numFmtId="0" fontId="33" fillId="7" borderId="1" xfId="31" applyFont="1" applyFill="1" applyAlignment="1">
      <alignment horizontal="center"/>
    </xf>
    <xf numFmtId="0" fontId="33" fillId="7" borderId="2" xfId="31" applyFont="1" applyFill="1" applyBorder="1" applyAlignment="1">
      <alignment horizontal="center"/>
    </xf>
    <xf numFmtId="0" fontId="33" fillId="7" borderId="20" xfId="31" applyFont="1" applyFill="1" applyBorder="1" applyAlignment="1">
      <alignment horizontal="center"/>
    </xf>
    <xf numFmtId="2" fontId="33" fillId="7" borderId="3" xfId="31" applyNumberFormat="1" applyFont="1" applyFill="1" applyBorder="1" applyAlignment="1">
      <alignment horizontal="center"/>
    </xf>
    <xf numFmtId="2" fontId="33" fillId="7" borderId="1" xfId="31" applyNumberFormat="1" applyFont="1" applyFill="1" applyAlignment="1">
      <alignment horizontal="center"/>
    </xf>
    <xf numFmtId="4" fontId="33" fillId="7" borderId="1" xfId="31" applyNumberFormat="1" applyFont="1" applyFill="1" applyAlignment="1">
      <alignment horizontal="center"/>
    </xf>
    <xf numFmtId="0" fontId="33" fillId="7" borderId="12" xfId="31" applyFont="1" applyFill="1" applyBorder="1" applyAlignment="1">
      <alignment horizontal="center"/>
    </xf>
    <xf numFmtId="0" fontId="15" fillId="7" borderId="12" xfId="31" applyFont="1" applyFill="1" applyBorder="1"/>
    <xf numFmtId="0" fontId="15" fillId="7" borderId="1" xfId="31" applyFont="1" applyFill="1"/>
    <xf numFmtId="0" fontId="15" fillId="7" borderId="2" xfId="31" applyFont="1" applyFill="1" applyBorder="1"/>
    <xf numFmtId="0" fontId="32" fillId="7" borderId="12" xfId="31" applyFont="1" applyFill="1" applyBorder="1"/>
    <xf numFmtId="0" fontId="32" fillId="7" borderId="2" xfId="31" applyFont="1" applyFill="1" applyBorder="1"/>
    <xf numFmtId="0" fontId="32" fillId="7" borderId="20" xfId="31" applyFont="1" applyFill="1" applyBorder="1"/>
    <xf numFmtId="0" fontId="32" fillId="7" borderId="3" xfId="31" applyFont="1" applyFill="1" applyBorder="1"/>
    <xf numFmtId="0" fontId="32" fillId="0" borderId="12" xfId="31" applyFont="1" applyBorder="1"/>
    <xf numFmtId="0" fontId="32" fillId="0" borderId="1" xfId="31" applyFont="1"/>
    <xf numFmtId="0" fontId="32" fillId="0" borderId="2" xfId="31" applyFont="1" applyBorder="1"/>
    <xf numFmtId="0" fontId="32" fillId="0" borderId="20" xfId="31" applyFont="1" applyBorder="1"/>
    <xf numFmtId="0" fontId="32" fillId="0" borderId="3" xfId="31" applyFont="1" applyBorder="1"/>
    <xf numFmtId="2" fontId="33" fillId="0" borderId="5" xfId="31" applyNumberFormat="1" applyFont="1" applyBorder="1" applyAlignment="1">
      <alignment horizontal="center"/>
    </xf>
    <xf numFmtId="2" fontId="33" fillId="0" borderId="1" xfId="31" applyNumberFormat="1" applyFont="1" applyAlignment="1">
      <alignment horizontal="center"/>
    </xf>
    <xf numFmtId="0" fontId="33" fillId="0" borderId="1" xfId="31" applyFont="1" applyAlignment="1">
      <alignment horizontal="center"/>
    </xf>
    <xf numFmtId="0" fontId="33" fillId="0" borderId="3" xfId="31" applyFont="1" applyBorder="1" applyAlignment="1">
      <alignment horizontal="center"/>
    </xf>
    <xf numFmtId="2" fontId="33" fillId="0" borderId="12" xfId="31" applyNumberFormat="1" applyFont="1" applyBorder="1" applyAlignment="1">
      <alignment horizontal="center"/>
    </xf>
    <xf numFmtId="0" fontId="15" fillId="0" borderId="12" xfId="31" applyFont="1" applyBorder="1"/>
    <xf numFmtId="0" fontId="15" fillId="0" borderId="1" xfId="31" applyFont="1"/>
    <xf numFmtId="0" fontId="15" fillId="0" borderId="11" xfId="31" applyFont="1" applyBorder="1"/>
    <xf numFmtId="0" fontId="15" fillId="0" borderId="2" xfId="31" applyFont="1" applyBorder="1"/>
    <xf numFmtId="14" fontId="34" fillId="8" borderId="12" xfId="31" applyNumberFormat="1" applyFont="1" applyFill="1" applyBorder="1" applyAlignment="1">
      <alignment horizontal="center"/>
    </xf>
    <xf numFmtId="0" fontId="34" fillId="8" borderId="1" xfId="31" applyFont="1" applyFill="1" applyAlignment="1">
      <alignment horizontal="center"/>
    </xf>
    <xf numFmtId="0" fontId="34" fillId="8" borderId="2" xfId="31" applyFont="1" applyFill="1" applyBorder="1" applyAlignment="1">
      <alignment horizontal="center"/>
    </xf>
    <xf numFmtId="0" fontId="34" fillId="8" borderId="20" xfId="31" applyFont="1" applyFill="1" applyBorder="1" applyAlignment="1">
      <alignment horizontal="center"/>
    </xf>
    <xf numFmtId="0" fontId="34" fillId="8" borderId="3" xfId="31" applyFont="1" applyFill="1" applyBorder="1" applyAlignment="1">
      <alignment horizontal="center"/>
    </xf>
    <xf numFmtId="4" fontId="34" fillId="8" borderId="1" xfId="31" applyNumberFormat="1" applyFont="1" applyFill="1" applyAlignment="1">
      <alignment horizontal="center"/>
    </xf>
    <xf numFmtId="4" fontId="34" fillId="8" borderId="5" xfId="31" applyNumberFormat="1" applyFont="1" applyFill="1" applyBorder="1" applyAlignment="1">
      <alignment horizontal="center"/>
    </xf>
    <xf numFmtId="4" fontId="34" fillId="8" borderId="3" xfId="31" applyNumberFormat="1" applyFont="1" applyFill="1" applyBorder="1" applyAlignment="1">
      <alignment horizontal="center"/>
    </xf>
    <xf numFmtId="4" fontId="34" fillId="8" borderId="12" xfId="31" applyNumberFormat="1" applyFont="1" applyFill="1" applyBorder="1" applyAlignment="1">
      <alignment horizontal="center"/>
    </xf>
    <xf numFmtId="0" fontId="34" fillId="8" borderId="1" xfId="31" applyFont="1" applyFill="1"/>
    <xf numFmtId="0" fontId="15" fillId="8" borderId="11" xfId="31" applyFont="1" applyFill="1" applyBorder="1"/>
    <xf numFmtId="4" fontId="34" fillId="8" borderId="2" xfId="31" applyNumberFormat="1" applyFont="1" applyFill="1" applyBorder="1" applyAlignment="1">
      <alignment horizontal="center"/>
    </xf>
    <xf numFmtId="14" fontId="33" fillId="8" borderId="12" xfId="31" applyNumberFormat="1" applyFont="1" applyFill="1" applyBorder="1" applyAlignment="1">
      <alignment horizontal="center"/>
    </xf>
    <xf numFmtId="0" fontId="33" fillId="8" borderId="1" xfId="31" applyFont="1" applyFill="1" applyAlignment="1">
      <alignment horizontal="center"/>
    </xf>
    <xf numFmtId="0" fontId="33" fillId="8" borderId="2" xfId="31" applyFont="1" applyFill="1" applyBorder="1" applyAlignment="1">
      <alignment horizontal="center"/>
    </xf>
    <xf numFmtId="0" fontId="33" fillId="8" borderId="20" xfId="31" applyFont="1" applyFill="1" applyBorder="1" applyAlignment="1">
      <alignment horizontal="center"/>
    </xf>
    <xf numFmtId="2" fontId="33" fillId="8" borderId="3" xfId="31" applyNumberFormat="1" applyFont="1" applyFill="1" applyBorder="1" applyAlignment="1">
      <alignment horizontal="center"/>
    </xf>
    <xf numFmtId="2" fontId="33" fillId="8" borderId="1" xfId="31" applyNumberFormat="1" applyFont="1" applyFill="1" applyAlignment="1">
      <alignment horizontal="center"/>
    </xf>
    <xf numFmtId="14" fontId="34" fillId="0" borderId="12" xfId="31" applyNumberFormat="1" applyFont="1" applyBorder="1" applyAlignment="1">
      <alignment horizontal="center"/>
    </xf>
    <xf numFmtId="0" fontId="34" fillId="0" borderId="1" xfId="31" applyFont="1" applyAlignment="1">
      <alignment horizontal="center"/>
    </xf>
    <xf numFmtId="0" fontId="34" fillId="0" borderId="2" xfId="31" applyFont="1" applyBorder="1" applyAlignment="1">
      <alignment horizontal="center"/>
    </xf>
    <xf numFmtId="0" fontId="34" fillId="0" borderId="20" xfId="31" applyFont="1" applyBorder="1" applyAlignment="1">
      <alignment horizontal="center"/>
    </xf>
    <xf numFmtId="0" fontId="34" fillId="0" borderId="3" xfId="31" applyFont="1" applyBorder="1" applyAlignment="1">
      <alignment horizontal="center"/>
    </xf>
    <xf numFmtId="4" fontId="34" fillId="0" borderId="1" xfId="31" applyNumberFormat="1" applyFont="1" applyAlignment="1">
      <alignment horizontal="center"/>
    </xf>
    <xf numFmtId="4" fontId="34" fillId="0" borderId="5" xfId="31" applyNumberFormat="1" applyFont="1" applyBorder="1" applyAlignment="1">
      <alignment horizontal="center"/>
    </xf>
    <xf numFmtId="4" fontId="34" fillId="0" borderId="3" xfId="31" applyNumberFormat="1" applyFont="1" applyBorder="1" applyAlignment="1">
      <alignment horizontal="center"/>
    </xf>
    <xf numFmtId="4" fontId="34" fillId="0" borderId="12" xfId="31" applyNumberFormat="1" applyFont="1" applyBorder="1" applyAlignment="1">
      <alignment horizontal="center"/>
    </xf>
    <xf numFmtId="0" fontId="34" fillId="0" borderId="1" xfId="31" applyFont="1"/>
    <xf numFmtId="4" fontId="34" fillId="0" borderId="2" xfId="31" applyNumberFormat="1" applyFont="1" applyBorder="1" applyAlignment="1">
      <alignment horizontal="center"/>
    </xf>
    <xf numFmtId="0" fontId="15" fillId="0" borderId="1" xfId="31" applyFont="1" applyAlignment="1">
      <alignment horizontal="center"/>
    </xf>
    <xf numFmtId="2" fontId="15" fillId="0" borderId="1" xfId="31" applyNumberFormat="1" applyFont="1" applyAlignment="1">
      <alignment horizontal="center"/>
    </xf>
    <xf numFmtId="4" fontId="14" fillId="4" borderId="14" xfId="31" applyNumberFormat="1" applyFont="1" applyFill="1" applyBorder="1" applyAlignment="1">
      <alignment horizontal="center"/>
    </xf>
    <xf numFmtId="0" fontId="14" fillId="4" borderId="14" xfId="31" applyFont="1" applyFill="1" applyBorder="1"/>
    <xf numFmtId="4" fontId="14" fillId="4" borderId="17" xfId="31" applyNumberFormat="1" applyFont="1" applyFill="1" applyBorder="1" applyAlignment="1">
      <alignment horizontal="center"/>
    </xf>
    <xf numFmtId="0" fontId="37" fillId="2" borderId="10" xfId="31" applyFont="1" applyFill="1" applyBorder="1"/>
    <xf numFmtId="164" fontId="37" fillId="2" borderId="10" xfId="31" applyNumberFormat="1" applyFont="1" applyFill="1" applyBorder="1"/>
    <xf numFmtId="0" fontId="37" fillId="2" borderId="10" xfId="31" applyFont="1" applyFill="1" applyBorder="1" applyAlignment="1">
      <alignment horizontal="center"/>
    </xf>
    <xf numFmtId="164" fontId="14" fillId="4" borderId="10" xfId="31" applyNumberFormat="1" applyFont="1" applyFill="1" applyBorder="1"/>
    <xf numFmtId="14" fontId="37" fillId="2" borderId="27" xfId="31" applyNumberFormat="1" applyFont="1" applyFill="1" applyBorder="1"/>
    <xf numFmtId="0" fontId="11" fillId="0" borderId="1" xfId="31" applyFont="1"/>
    <xf numFmtId="0" fontId="11" fillId="2" borderId="12" xfId="31" applyFont="1" applyFill="1" applyBorder="1"/>
    <xf numFmtId="0" fontId="11" fillId="2" borderId="2" xfId="31" applyFont="1" applyFill="1" applyBorder="1" applyAlignment="1">
      <alignment horizontal="right"/>
    </xf>
    <xf numFmtId="2" fontId="11" fillId="2" borderId="1" xfId="31" applyNumberFormat="1" applyFont="1" applyFill="1"/>
    <xf numFmtId="0" fontId="11" fillId="2" borderId="1" xfId="31" applyFont="1" applyFill="1"/>
    <xf numFmtId="0" fontId="51" fillId="4" borderId="1" xfId="31" applyFill="1"/>
    <xf numFmtId="0" fontId="11" fillId="2" borderId="11" xfId="31" applyFont="1" applyFill="1" applyBorder="1"/>
    <xf numFmtId="0" fontId="34" fillId="4" borderId="2" xfId="31" applyFont="1" applyFill="1" applyBorder="1" applyAlignment="1">
      <alignment horizontal="right"/>
    </xf>
    <xf numFmtId="0" fontId="36" fillId="4" borderId="2" xfId="31" applyFont="1" applyFill="1" applyBorder="1" applyAlignment="1">
      <alignment horizontal="right"/>
    </xf>
    <xf numFmtId="0" fontId="11" fillId="2" borderId="7" xfId="31" applyFont="1" applyFill="1" applyBorder="1"/>
    <xf numFmtId="0" fontId="36" fillId="4" borderId="9" xfId="31" applyFont="1" applyFill="1" applyBorder="1" applyAlignment="1">
      <alignment horizontal="right"/>
    </xf>
    <xf numFmtId="2" fontId="11" fillId="2" borderId="8" xfId="31" applyNumberFormat="1" applyFont="1" applyFill="1" applyBorder="1"/>
    <xf numFmtId="0" fontId="11" fillId="2" borderId="8" xfId="31" applyFont="1" applyFill="1" applyBorder="1"/>
    <xf numFmtId="4" fontId="11" fillId="2" borderId="8" xfId="31" applyNumberFormat="1" applyFont="1" applyFill="1" applyBorder="1"/>
    <xf numFmtId="0" fontId="11" fillId="2" borderId="6" xfId="31" applyFont="1" applyFill="1" applyBorder="1"/>
    <xf numFmtId="4" fontId="66" fillId="7" borderId="3" xfId="31" applyNumberFormat="1" applyFont="1" applyFill="1" applyBorder="1" applyAlignment="1">
      <alignment horizontal="center"/>
    </xf>
    <xf numFmtId="0" fontId="32" fillId="0" borderId="1" xfId="0" applyFont="1" applyBorder="1"/>
    <xf numFmtId="14" fontId="15" fillId="15" borderId="1" xfId="0" applyNumberFormat="1" applyFont="1" applyFill="1" applyBorder="1" applyAlignment="1">
      <alignment horizontal="center"/>
    </xf>
    <xf numFmtId="2" fontId="15" fillId="15" borderId="11" xfId="0" applyNumberFormat="1" applyFont="1" applyFill="1" applyBorder="1" applyAlignment="1">
      <alignment horizontal="center"/>
    </xf>
    <xf numFmtId="14" fontId="46" fillId="17" borderId="1" xfId="0" applyNumberFormat="1" applyFont="1" applyFill="1" applyBorder="1" applyAlignment="1">
      <alignment horizontal="center"/>
    </xf>
    <xf numFmtId="0" fontId="46" fillId="17" borderId="1" xfId="0" applyFont="1" applyFill="1" applyBorder="1" applyAlignment="1">
      <alignment horizontal="center"/>
    </xf>
    <xf numFmtId="0" fontId="46" fillId="17" borderId="2" xfId="0" applyFont="1" applyFill="1" applyBorder="1" applyAlignment="1">
      <alignment horizontal="center"/>
    </xf>
    <xf numFmtId="0" fontId="46" fillId="17" borderId="20" xfId="0" applyFont="1" applyFill="1" applyBorder="1" applyAlignment="1">
      <alignment horizontal="center"/>
    </xf>
    <xf numFmtId="0" fontId="46" fillId="17" borderId="11" xfId="0" applyFont="1" applyFill="1" applyBorder="1" applyAlignment="1">
      <alignment horizontal="center"/>
    </xf>
    <xf numFmtId="0" fontId="46" fillId="17" borderId="5" xfId="0" applyFont="1" applyFill="1" applyBorder="1" applyAlignment="1">
      <alignment horizontal="center"/>
    </xf>
    <xf numFmtId="2" fontId="46" fillId="17" borderId="2" xfId="0" applyNumberFormat="1" applyFont="1" applyFill="1" applyBorder="1" applyAlignment="1">
      <alignment horizontal="center"/>
    </xf>
    <xf numFmtId="2" fontId="46" fillId="17" borderId="1" xfId="0" applyNumberFormat="1" applyFont="1" applyFill="1" applyBorder="1" applyAlignment="1">
      <alignment horizontal="center"/>
    </xf>
    <xf numFmtId="2" fontId="46" fillId="17" borderId="11" xfId="0" applyNumberFormat="1" applyFont="1" applyFill="1" applyBorder="1" applyAlignment="1">
      <alignment horizontal="center"/>
    </xf>
    <xf numFmtId="0" fontId="0" fillId="17" borderId="1" xfId="0" applyFill="1" applyBorder="1" applyAlignment="1">
      <alignment horizontal="center"/>
    </xf>
    <xf numFmtId="2" fontId="33" fillId="7" borderId="12" xfId="31" applyNumberFormat="1" applyFont="1" applyFill="1" applyBorder="1" applyAlignment="1">
      <alignment horizontal="center"/>
    </xf>
    <xf numFmtId="2" fontId="32" fillId="7" borderId="1" xfId="31" applyNumberFormat="1" applyFont="1" applyFill="1"/>
    <xf numFmtId="172" fontId="58" fillId="0" borderId="3" xfId="30" applyNumberFormat="1" applyFont="1" applyBorder="1" applyAlignment="1" applyProtection="1">
      <alignment horizontal="center"/>
    </xf>
    <xf numFmtId="172" fontId="58" fillId="0" borderId="1" xfId="30" applyNumberFormat="1" applyFont="1" applyBorder="1" applyAlignment="1" applyProtection="1">
      <alignment horizontal="center"/>
    </xf>
    <xf numFmtId="0" fontId="34" fillId="0" borderId="1" xfId="32" applyFont="1" applyAlignment="1">
      <alignment horizontal="center"/>
    </xf>
    <xf numFmtId="167" fontId="16" fillId="14" borderId="6" xfId="3" applyFont="1" applyFill="1" applyBorder="1" applyAlignment="1" applyProtection="1">
      <alignment horizontal="center" vertical="center"/>
    </xf>
    <xf numFmtId="167" fontId="16" fillId="14" borderId="7" xfId="3" applyFont="1" applyFill="1" applyBorder="1" applyAlignment="1" applyProtection="1">
      <alignment horizontal="center" vertical="center"/>
    </xf>
    <xf numFmtId="167" fontId="21" fillId="14" borderId="7" xfId="3" applyFont="1" applyFill="1" applyBorder="1" applyAlignment="1" applyProtection="1">
      <alignment horizontal="center" vertical="center"/>
    </xf>
    <xf numFmtId="168" fontId="16" fillId="14" borderId="6" xfId="26" applyNumberFormat="1" applyFill="1" applyBorder="1" applyAlignment="1" applyProtection="1">
      <alignment horizontal="center" vertical="center"/>
    </xf>
    <xf numFmtId="168" fontId="16" fillId="14" borderId="7" xfId="26" applyNumberFormat="1" applyFill="1" applyBorder="1" applyAlignment="1" applyProtection="1">
      <alignment horizontal="center" vertical="center"/>
    </xf>
    <xf numFmtId="168" fontId="21" fillId="14" borderId="6" xfId="2" applyFont="1" applyFill="1" applyBorder="1" applyAlignment="1" applyProtection="1">
      <alignment horizontal="center" vertical="center"/>
    </xf>
    <xf numFmtId="167" fontId="16" fillId="14" borderId="11" xfId="3" applyFont="1" applyFill="1" applyBorder="1" applyAlignment="1" applyProtection="1">
      <alignment horizontal="center" vertical="center"/>
    </xf>
    <xf numFmtId="167" fontId="16" fillId="14" borderId="12" xfId="3" applyFont="1" applyFill="1" applyBorder="1" applyAlignment="1" applyProtection="1">
      <alignment horizontal="center" vertical="center"/>
    </xf>
    <xf numFmtId="167" fontId="21" fillId="14" borderId="12" xfId="3" applyFont="1" applyFill="1" applyBorder="1" applyAlignment="1" applyProtection="1">
      <alignment horizontal="center" vertical="center"/>
    </xf>
    <xf numFmtId="168" fontId="16" fillId="14" borderId="11" xfId="26" applyNumberFormat="1" applyFill="1" applyBorder="1" applyAlignment="1" applyProtection="1">
      <alignment horizontal="center" vertical="center"/>
    </xf>
    <xf numFmtId="168" fontId="16" fillId="14" borderId="12" xfId="26" applyNumberFormat="1" applyFill="1" applyBorder="1" applyAlignment="1" applyProtection="1">
      <alignment horizontal="center" vertical="center"/>
    </xf>
    <xf numFmtId="168" fontId="21" fillId="14" borderId="11" xfId="2" applyFont="1" applyFill="1" applyBorder="1" applyAlignment="1" applyProtection="1">
      <alignment horizontal="center" vertical="center"/>
    </xf>
    <xf numFmtId="167" fontId="16" fillId="14" borderId="12" xfId="3" applyFont="1" applyFill="1" applyBorder="1" applyAlignment="1" applyProtection="1">
      <alignment horizontal="center" vertical="center" wrapText="1"/>
    </xf>
    <xf numFmtId="167" fontId="16" fillId="14" borderId="1" xfId="3" applyFont="1" applyFill="1" applyBorder="1" applyAlignment="1" applyProtection="1">
      <alignment horizontal="center" vertical="center" wrapText="1"/>
    </xf>
    <xf numFmtId="168" fontId="16" fillId="14" borderId="11" xfId="26" applyNumberFormat="1" applyFill="1" applyBorder="1" applyAlignment="1" applyProtection="1">
      <alignment horizontal="center" vertical="center" wrapText="1"/>
    </xf>
    <xf numFmtId="168" fontId="16" fillId="14" borderId="12" xfId="26" applyNumberFormat="1" applyFill="1" applyBorder="1" applyAlignment="1" applyProtection="1">
      <alignment horizontal="center" vertical="center" wrapText="1"/>
    </xf>
    <xf numFmtId="168" fontId="64" fillId="14" borderId="11" xfId="2" applyFont="1" applyFill="1" applyBorder="1" applyAlignment="1" applyProtection="1">
      <alignment horizontal="center" vertical="center" wrapText="1"/>
      <protection locked="0"/>
    </xf>
    <xf numFmtId="167" fontId="16" fillId="0" borderId="12" xfId="3" applyFont="1" applyBorder="1" applyAlignment="1" applyProtection="1">
      <alignment horizontal="center" vertical="center" wrapText="1"/>
    </xf>
    <xf numFmtId="167" fontId="16" fillId="0" borderId="1" xfId="3" applyFont="1" applyBorder="1" applyAlignment="1" applyProtection="1">
      <alignment horizontal="center" vertical="center" wrapText="1"/>
    </xf>
    <xf numFmtId="168" fontId="16" fillId="0" borderId="11" xfId="26" applyNumberFormat="1" applyBorder="1" applyAlignment="1" applyProtection="1">
      <alignment horizontal="center" vertical="center" wrapText="1"/>
    </xf>
    <xf numFmtId="168" fontId="16" fillId="0" borderId="12" xfId="26" applyNumberFormat="1" applyBorder="1" applyAlignment="1" applyProtection="1">
      <alignment horizontal="center" vertical="center" wrapText="1"/>
    </xf>
    <xf numFmtId="168" fontId="16" fillId="0" borderId="11" xfId="2" applyFont="1" applyBorder="1" applyAlignment="1" applyProtection="1">
      <alignment horizontal="center" vertical="center" wrapText="1"/>
      <protection locked="0"/>
    </xf>
    <xf numFmtId="0" fontId="62" fillId="0" borderId="11" xfId="24" applyFont="1" applyBorder="1" applyAlignment="1" applyProtection="1">
      <alignment horizontal="left" vertical="center"/>
      <protection locked="0"/>
    </xf>
    <xf numFmtId="0" fontId="16" fillId="0" borderId="11" xfId="24" applyBorder="1" applyAlignment="1" applyProtection="1">
      <alignment horizontal="left" vertical="center" wrapText="1"/>
      <protection locked="0"/>
    </xf>
    <xf numFmtId="0" fontId="67" fillId="0" borderId="11" xfId="24" applyFont="1" applyBorder="1" applyAlignment="1" applyProtection="1">
      <alignment horizontal="left" vertical="center" wrapText="1"/>
      <protection locked="0"/>
    </xf>
    <xf numFmtId="167" fontId="16" fillId="0" borderId="17" xfId="3" applyFont="1" applyBorder="1" applyAlignment="1" applyProtection="1">
      <alignment horizontal="center" vertical="center" wrapText="1"/>
    </xf>
    <xf numFmtId="167" fontId="16" fillId="0" borderId="15" xfId="3" applyFont="1" applyBorder="1" applyAlignment="1" applyProtection="1">
      <alignment horizontal="center" vertical="center" wrapText="1"/>
    </xf>
    <xf numFmtId="167" fontId="21" fillId="0" borderId="12" xfId="3" applyFont="1" applyBorder="1" applyAlignment="1" applyProtection="1">
      <alignment horizontal="center" vertical="center" wrapText="1"/>
    </xf>
    <xf numFmtId="168" fontId="21" fillId="0" borderId="11" xfId="2" applyFont="1" applyBorder="1" applyAlignment="1" applyProtection="1">
      <alignment horizontal="center" vertical="center" wrapText="1"/>
    </xf>
    <xf numFmtId="168" fontId="21" fillId="0" borderId="12" xfId="2" applyFont="1" applyBorder="1" applyAlignment="1" applyProtection="1">
      <alignment horizontal="center" vertical="center" wrapText="1"/>
    </xf>
    <xf numFmtId="167" fontId="16" fillId="0" borderId="7" xfId="3" applyFont="1" applyBorder="1" applyAlignment="1" applyProtection="1">
      <alignment horizontal="center" vertical="center"/>
    </xf>
    <xf numFmtId="167" fontId="52" fillId="0" borderId="12" xfId="3" applyFont="1" applyBorder="1" applyAlignment="1" applyProtection="1">
      <alignment horizontal="center"/>
    </xf>
    <xf numFmtId="1" fontId="52" fillId="0" borderId="12" xfId="28" applyNumberFormat="1" applyBorder="1" applyAlignment="1" applyProtection="1">
      <alignment horizontal="centerContinuous"/>
    </xf>
    <xf numFmtId="1" fontId="52" fillId="0" borderId="11" xfId="28" applyNumberFormat="1" applyBorder="1" applyAlignment="1" applyProtection="1"/>
    <xf numFmtId="167" fontId="55" fillId="0" borderId="14" xfId="3" applyFont="1" applyBorder="1" applyAlignment="1" applyProtection="1">
      <alignment horizontal="centerContinuous"/>
    </xf>
    <xf numFmtId="2" fontId="55" fillId="0" borderId="15" xfId="3" applyNumberFormat="1" applyFont="1" applyBorder="1" applyAlignment="1" applyProtection="1">
      <alignment horizontal="centerContinuous"/>
    </xf>
    <xf numFmtId="1" fontId="24" fillId="0" borderId="17" xfId="6" applyNumberFormat="1" applyFont="1" applyBorder="1" applyAlignment="1" applyProtection="1">
      <alignment horizontal="centerContinuous"/>
    </xf>
    <xf numFmtId="1" fontId="55" fillId="0" borderId="15" xfId="6" applyNumberFormat="1" applyFont="1" applyBorder="1" applyAlignment="1" applyProtection="1">
      <alignment horizontal="centerContinuous"/>
    </xf>
    <xf numFmtId="1" fontId="24" fillId="0" borderId="17" xfId="6" applyNumberFormat="1" applyFont="1" applyBorder="1" applyAlignment="1" applyProtection="1">
      <alignment horizontal="centerContinuous"/>
      <protection locked="0"/>
    </xf>
    <xf numFmtId="1" fontId="24" fillId="0" borderId="14" xfId="6" applyNumberFormat="1" applyFont="1" applyBorder="1" applyAlignment="1" applyProtection="1">
      <alignment horizontal="centerContinuous"/>
      <protection locked="0"/>
    </xf>
    <xf numFmtId="0" fontId="55" fillId="0" borderId="15" xfId="28" applyFont="1" applyBorder="1" applyAlignment="1" applyProtection="1">
      <alignment horizontal="centerContinuous"/>
    </xf>
    <xf numFmtId="0" fontId="52" fillId="0" borderId="6" xfId="28" applyBorder="1" applyAlignment="1" applyProtection="1">
      <alignment horizontal="centerContinuous"/>
    </xf>
    <xf numFmtId="0" fontId="32" fillId="0" borderId="8" xfId="26" applyFont="1" applyBorder="1" applyAlignment="1" applyProtection="1">
      <alignment vertical="top"/>
    </xf>
    <xf numFmtId="0" fontId="32" fillId="0" borderId="1" xfId="26" applyFont="1" applyBorder="1" applyAlignment="1" applyProtection="1">
      <alignment vertical="top"/>
    </xf>
    <xf numFmtId="167" fontId="32" fillId="0" borderId="8" xfId="26" applyNumberFormat="1" applyFont="1" applyBorder="1" applyAlignment="1" applyProtection="1">
      <alignment vertical="top"/>
    </xf>
    <xf numFmtId="0" fontId="32" fillId="0" borderId="8" xfId="26" applyFont="1" applyBorder="1" applyAlignment="1" applyProtection="1">
      <alignment vertical="top"/>
      <protection locked="0"/>
    </xf>
    <xf numFmtId="2" fontId="32" fillId="0" borderId="8" xfId="26" applyNumberFormat="1" applyFont="1" applyBorder="1" applyAlignment="1" applyProtection="1">
      <alignment vertical="top"/>
    </xf>
    <xf numFmtId="1" fontId="32" fillId="0" borderId="8" xfId="26" applyNumberFormat="1" applyFont="1" applyBorder="1" applyAlignment="1" applyProtection="1">
      <alignment vertical="top"/>
    </xf>
    <xf numFmtId="1" fontId="53" fillId="0" borderId="8" xfId="26" applyNumberFormat="1" applyFont="1" applyBorder="1" applyAlignment="1" applyProtection="1">
      <alignment vertical="top"/>
      <protection locked="0"/>
    </xf>
    <xf numFmtId="0" fontId="14" fillId="0" borderId="7" xfId="26" applyFont="1" applyBorder="1" applyAlignment="1" applyProtection="1">
      <alignment horizontal="right" vertical="top"/>
    </xf>
    <xf numFmtId="0" fontId="34" fillId="0" borderId="1" xfId="33" applyFont="1" applyAlignment="1">
      <alignment horizontal="center"/>
    </xf>
    <xf numFmtId="0" fontId="14" fillId="0" borderId="12" xfId="28" applyFont="1" applyBorder="1" applyAlignment="1" applyProtection="1">
      <alignment horizontal="right"/>
    </xf>
    <xf numFmtId="0" fontId="52" fillId="0" borderId="11" xfId="24" applyFont="1" applyBorder="1" applyProtection="1"/>
    <xf numFmtId="2" fontId="32" fillId="0" borderId="1" xfId="26" applyNumberFormat="1" applyFont="1" applyBorder="1" applyAlignment="1" applyProtection="1">
      <alignment horizontal="center"/>
    </xf>
    <xf numFmtId="2" fontId="14" fillId="0" borderId="12" xfId="28" applyNumberFormat="1" applyFont="1" applyBorder="1" applyAlignment="1" applyProtection="1">
      <alignment horizontal="right"/>
    </xf>
    <xf numFmtId="0" fontId="16" fillId="0" borderId="11" xfId="26" applyBorder="1" applyAlignment="1" applyProtection="1">
      <alignment vertical="top"/>
    </xf>
    <xf numFmtId="1" fontId="32" fillId="0" borderId="1" xfId="26" applyNumberFormat="1" applyFont="1" applyBorder="1" applyAlignment="1" applyProtection="1">
      <alignment horizontal="center"/>
    </xf>
    <xf numFmtId="0" fontId="52" fillId="0" borderId="17" xfId="24" applyFont="1" applyBorder="1" applyProtection="1"/>
    <xf numFmtId="0" fontId="14" fillId="0" borderId="14" xfId="24" applyFont="1" applyBorder="1" applyProtection="1"/>
    <xf numFmtId="0" fontId="14" fillId="0" borderId="15" xfId="28" applyFont="1" applyBorder="1" applyAlignment="1" applyProtection="1">
      <alignment horizontal="right"/>
    </xf>
    <xf numFmtId="2" fontId="15" fillId="15" borderId="1" xfId="0" applyNumberFormat="1" applyFont="1" applyFill="1" applyBorder="1"/>
    <xf numFmtId="0" fontId="62" fillId="0" borderId="11" xfId="24" applyNumberFormat="1" applyFont="1" applyBorder="1" applyAlignment="1" applyProtection="1">
      <alignment horizontal="left" vertical="center" wrapText="1"/>
    </xf>
    <xf numFmtId="0" fontId="16" fillId="0" borderId="2" xfId="9" applyNumberFormat="1" applyFont="1" applyBorder="1" applyAlignment="1" applyProtection="1">
      <alignment horizontal="center" vertical="center" wrapText="1"/>
      <protection locked="0"/>
    </xf>
    <xf numFmtId="0" fontId="16" fillId="0" borderId="11" xfId="24" applyFont="1" applyBorder="1" applyAlignment="1" applyProtection="1">
      <alignment horizontal="left" vertical="center" wrapText="1"/>
      <protection locked="0"/>
    </xf>
    <xf numFmtId="0" fontId="16" fillId="0" borderId="11" xfId="24" applyFont="1" applyBorder="1" applyAlignment="1" applyProtection="1">
      <alignment horizontal="left" vertical="center" wrapText="1"/>
    </xf>
    <xf numFmtId="169" fontId="16" fillId="0" borderId="11" xfId="26" applyNumberFormat="1" applyFont="1" applyBorder="1" applyAlignment="1" applyProtection="1">
      <alignment horizontal="left" vertical="center" wrapText="1"/>
      <protection locked="0"/>
    </xf>
    <xf numFmtId="0" fontId="16" fillId="0" borderId="11" xfId="24" applyFont="1" applyBorder="1" applyAlignment="1" applyProtection="1">
      <alignment horizontal="left" vertical="center"/>
      <protection locked="0"/>
    </xf>
    <xf numFmtId="0" fontId="14" fillId="0" borderId="15" xfId="0" applyFont="1" applyBorder="1"/>
    <xf numFmtId="0" fontId="14" fillId="0" borderId="14" xfId="0" applyFont="1" applyBorder="1"/>
    <xf numFmtId="0" fontId="14" fillId="0" borderId="17" xfId="0" applyFont="1" applyBorder="1"/>
    <xf numFmtId="1" fontId="0" fillId="0" borderId="12" xfId="0" applyNumberFormat="1" applyBorder="1"/>
    <xf numFmtId="0" fontId="0" fillId="0" borderId="7" xfId="0" applyBorder="1"/>
    <xf numFmtId="0" fontId="34" fillId="0" borderId="1" xfId="34" applyFont="1" applyAlignment="1">
      <alignment horizontal="center"/>
    </xf>
    <xf numFmtId="14" fontId="33" fillId="11" borderId="1" xfId="0" applyNumberFormat="1" applyFont="1" applyFill="1" applyBorder="1" applyAlignment="1">
      <alignment horizontal="center"/>
    </xf>
    <xf numFmtId="0" fontId="33" fillId="11" borderId="1" xfId="0" applyFont="1" applyFill="1" applyBorder="1" applyAlignment="1">
      <alignment horizontal="center"/>
    </xf>
    <xf numFmtId="2" fontId="33" fillId="11" borderId="1" xfId="0" applyNumberFormat="1" applyFont="1" applyFill="1" applyBorder="1" applyAlignment="1">
      <alignment horizontal="center"/>
    </xf>
    <xf numFmtId="0" fontId="33" fillId="12" borderId="1" xfId="0" applyFont="1" applyFill="1" applyBorder="1" applyAlignment="1">
      <alignment horizontal="center"/>
    </xf>
    <xf numFmtId="2" fontId="33" fillId="12" borderId="1" xfId="0" applyNumberFormat="1" applyFont="1" applyFill="1" applyBorder="1" applyAlignment="1">
      <alignment horizontal="center"/>
    </xf>
    <xf numFmtId="0" fontId="15" fillId="12" borderId="1" xfId="0" applyFont="1" applyFill="1" applyBorder="1"/>
    <xf numFmtId="2" fontId="33" fillId="11" borderId="11" xfId="0" applyNumberFormat="1" applyFont="1" applyFill="1" applyBorder="1" applyAlignment="1">
      <alignment horizontal="center"/>
    </xf>
    <xf numFmtId="0" fontId="33" fillId="12" borderId="5" xfId="0" applyFont="1" applyFill="1" applyBorder="1" applyAlignment="1">
      <alignment horizontal="center"/>
    </xf>
    <xf numFmtId="0" fontId="33" fillId="12" borderId="11" xfId="0" applyFont="1" applyFill="1" applyBorder="1" applyAlignment="1">
      <alignment horizontal="center"/>
    </xf>
    <xf numFmtId="0" fontId="33" fillId="11" borderId="2" xfId="0" applyFont="1" applyFill="1" applyBorder="1" applyAlignment="1">
      <alignment horizontal="center"/>
    </xf>
    <xf numFmtId="0" fontId="33" fillId="11" borderId="20" xfId="0" applyFont="1" applyFill="1" applyBorder="1" applyAlignment="1">
      <alignment horizontal="center"/>
    </xf>
    <xf numFmtId="2" fontId="33" fillId="12" borderId="2" xfId="0" applyNumberFormat="1" applyFont="1" applyFill="1" applyBorder="1" applyAlignment="1">
      <alignment horizontal="center"/>
    </xf>
    <xf numFmtId="0" fontId="46" fillId="0" borderId="1" xfId="0" applyFont="1" applyBorder="1" applyAlignment="1">
      <alignment horizontal="center"/>
    </xf>
    <xf numFmtId="2" fontId="46" fillId="17" borderId="5" xfId="0" applyNumberFormat="1" applyFont="1" applyFill="1" applyBorder="1" applyAlignment="1">
      <alignment horizontal="center"/>
    </xf>
    <xf numFmtId="2" fontId="46" fillId="17" borderId="20" xfId="0" applyNumberFormat="1" applyFont="1" applyFill="1" applyBorder="1" applyAlignment="1">
      <alignment horizontal="center"/>
    </xf>
    <xf numFmtId="14" fontId="33" fillId="5" borderId="12" xfId="31" applyNumberFormat="1" applyFont="1" applyFill="1" applyBorder="1" applyAlignment="1">
      <alignment horizontal="center"/>
    </xf>
    <xf numFmtId="0" fontId="33" fillId="5" borderId="1" xfId="31" applyFont="1" applyFill="1" applyBorder="1" applyAlignment="1">
      <alignment horizontal="center"/>
    </xf>
    <xf numFmtId="0" fontId="33" fillId="5" borderId="2" xfId="31" applyFont="1" applyFill="1" applyBorder="1" applyAlignment="1">
      <alignment horizontal="center"/>
    </xf>
    <xf numFmtId="0" fontId="33" fillId="5" borderId="20" xfId="31" applyFont="1" applyFill="1" applyBorder="1" applyAlignment="1">
      <alignment horizontal="center"/>
    </xf>
    <xf numFmtId="2" fontId="33" fillId="5" borderId="3" xfId="31" applyNumberFormat="1" applyFont="1" applyFill="1" applyBorder="1" applyAlignment="1">
      <alignment horizontal="center"/>
    </xf>
    <xf numFmtId="2" fontId="33" fillId="5" borderId="1" xfId="31" applyNumberFormat="1" applyFont="1" applyFill="1" applyBorder="1" applyAlignment="1">
      <alignment horizontal="center"/>
    </xf>
    <xf numFmtId="0" fontId="33" fillId="6" borderId="5" xfId="31" applyFont="1" applyFill="1" applyBorder="1" applyAlignment="1">
      <alignment horizontal="center"/>
    </xf>
    <xf numFmtId="0" fontId="33" fillId="6" borderId="1" xfId="31" applyFont="1" applyFill="1" applyBorder="1" applyAlignment="1">
      <alignment horizontal="center"/>
    </xf>
    <xf numFmtId="2" fontId="33" fillId="3" borderId="1" xfId="31" applyNumberFormat="1" applyFont="1" applyFill="1" applyBorder="1" applyAlignment="1">
      <alignment horizontal="center"/>
    </xf>
    <xf numFmtId="2" fontId="33" fillId="3" borderId="3" xfId="31" applyNumberFormat="1" applyFont="1" applyFill="1" applyBorder="1" applyAlignment="1">
      <alignment horizontal="center"/>
    </xf>
    <xf numFmtId="0" fontId="33" fillId="3" borderId="1" xfId="31" applyFont="1" applyFill="1" applyBorder="1" applyAlignment="1">
      <alignment horizontal="center"/>
    </xf>
    <xf numFmtId="0" fontId="33" fillId="3" borderId="12" xfId="31" applyFont="1" applyFill="1" applyBorder="1" applyAlignment="1">
      <alignment horizontal="center"/>
    </xf>
    <xf numFmtId="0" fontId="15" fillId="3" borderId="12" xfId="31" applyFont="1" applyFill="1" applyBorder="1"/>
    <xf numFmtId="0" fontId="15" fillId="3" borderId="1" xfId="31" applyFont="1" applyFill="1" applyBorder="1"/>
    <xf numFmtId="0" fontId="15" fillId="6" borderId="11" xfId="31" applyFont="1" applyFill="1" applyBorder="1"/>
    <xf numFmtId="0" fontId="15" fillId="3" borderId="2" xfId="31" applyFont="1" applyFill="1" applyBorder="1"/>
    <xf numFmtId="0" fontId="51" fillId="0" borderId="1" xfId="31" applyBorder="1"/>
    <xf numFmtId="14" fontId="0" fillId="19" borderId="1" xfId="0" applyNumberFormat="1" applyFill="1" applyBorder="1" applyAlignment="1">
      <alignment horizontal="center"/>
    </xf>
    <xf numFmtId="0" fontId="0" fillId="19" borderId="1" xfId="0" applyFill="1" applyBorder="1" applyAlignment="1">
      <alignment horizontal="center"/>
    </xf>
    <xf numFmtId="2" fontId="0" fillId="19" borderId="1" xfId="0" applyNumberFormat="1" applyFill="1" applyBorder="1" applyAlignment="1">
      <alignment horizontal="center"/>
    </xf>
    <xf numFmtId="0" fontId="0" fillId="19" borderId="2" xfId="0" applyFill="1" applyBorder="1" applyAlignment="1">
      <alignment horizontal="center"/>
    </xf>
    <xf numFmtId="0" fontId="0" fillId="19" borderId="20" xfId="0" applyFill="1" applyBorder="1" applyAlignment="1">
      <alignment horizontal="center"/>
    </xf>
    <xf numFmtId="2" fontId="0" fillId="19" borderId="2" xfId="0" applyNumberFormat="1" applyFill="1" applyBorder="1" applyAlignment="1">
      <alignment horizontal="center"/>
    </xf>
    <xf numFmtId="2" fontId="0" fillId="19" borderId="20" xfId="0" applyNumberFormat="1" applyFill="1" applyBorder="1" applyAlignment="1">
      <alignment horizontal="center"/>
    </xf>
    <xf numFmtId="169" fontId="68" fillId="0" borderId="11" xfId="26" applyNumberFormat="1" applyFont="1" applyBorder="1" applyAlignment="1" applyProtection="1">
      <alignment horizontal="left" vertical="center" wrapText="1"/>
      <protection locked="0"/>
    </xf>
    <xf numFmtId="0" fontId="68" fillId="0" borderId="11" xfId="24" applyFont="1" applyBorder="1" applyAlignment="1" applyProtection="1">
      <alignment horizontal="left" vertical="center" wrapText="1"/>
      <protection locked="0"/>
    </xf>
    <xf numFmtId="0" fontId="68" fillId="0" borderId="11" xfId="24" applyFont="1" applyBorder="1" applyAlignment="1" applyProtection="1">
      <alignment horizontal="left" vertical="center"/>
      <protection locked="0"/>
    </xf>
    <xf numFmtId="0" fontId="12" fillId="0" borderId="15" xfId="0" applyFont="1" applyBorder="1" applyAlignment="1">
      <alignment horizontal="center"/>
    </xf>
    <xf numFmtId="0" fontId="12" fillId="0" borderId="14" xfId="0" applyFont="1" applyBorder="1" applyAlignment="1">
      <alignment horizontal="center"/>
    </xf>
    <xf numFmtId="0" fontId="12" fillId="0" borderId="17" xfId="0" applyFont="1" applyBorder="1" applyAlignment="1">
      <alignment horizontal="center"/>
    </xf>
    <xf numFmtId="0" fontId="12" fillId="0" borderId="12" xfId="0" applyFont="1" applyBorder="1" applyAlignment="1">
      <alignment horizontal="center"/>
    </xf>
    <xf numFmtId="0" fontId="12" fillId="0" borderId="1" xfId="0" applyFont="1" applyBorder="1" applyAlignment="1">
      <alignment horizontal="center"/>
    </xf>
    <xf numFmtId="0" fontId="10" fillId="0" borderId="3" xfId="0" applyFont="1" applyBorder="1" applyAlignment="1">
      <alignment horizontal="center"/>
    </xf>
    <xf numFmtId="0" fontId="10" fillId="0" borderId="1" xfId="0" applyFont="1" applyBorder="1" applyAlignment="1">
      <alignment horizontal="center"/>
    </xf>
    <xf numFmtId="0" fontId="10" fillId="0" borderId="11" xfId="0" applyFont="1" applyBorder="1" applyAlignment="1">
      <alignment horizontal="center"/>
    </xf>
    <xf numFmtId="165" fontId="13" fillId="0" borderId="12" xfId="0" applyNumberFormat="1" applyFont="1" applyBorder="1" applyAlignment="1">
      <alignment horizontal="center"/>
    </xf>
    <xf numFmtId="165" fontId="13" fillId="0" borderId="1" xfId="0" applyNumberFormat="1" applyFont="1" applyBorder="1" applyAlignment="1">
      <alignment horizontal="center"/>
    </xf>
    <xf numFmtId="0" fontId="39" fillId="2" borderId="15" xfId="0" applyFont="1" applyFill="1" applyBorder="1" applyAlignment="1">
      <alignment horizontal="center" vertical="center"/>
    </xf>
    <xf numFmtId="0" fontId="39" fillId="2" borderId="13" xfId="0" applyFont="1" applyFill="1" applyBorder="1" applyAlignment="1">
      <alignment horizontal="center" vertical="center"/>
    </xf>
    <xf numFmtId="0" fontId="39" fillId="2" borderId="26" xfId="0" applyFont="1" applyFill="1" applyBorder="1" applyAlignment="1">
      <alignment horizontal="center" vertical="center"/>
    </xf>
    <xf numFmtId="0" fontId="39" fillId="2" borderId="21" xfId="0" applyFont="1" applyFill="1" applyBorder="1" applyAlignment="1">
      <alignment horizontal="center" vertical="center"/>
    </xf>
    <xf numFmtId="0" fontId="13" fillId="4" borderId="24" xfId="0" applyFont="1" applyFill="1" applyBorder="1" applyAlignment="1">
      <alignment horizontal="center"/>
    </xf>
    <xf numFmtId="0" fontId="13" fillId="4" borderId="14" xfId="0" applyFont="1" applyFill="1" applyBorder="1" applyAlignment="1">
      <alignment horizontal="center"/>
    </xf>
    <xf numFmtId="0" fontId="43" fillId="0" borderId="15" xfId="0" applyFont="1" applyBorder="1" applyAlignment="1">
      <alignment horizontal="center"/>
    </xf>
    <xf numFmtId="0" fontId="43" fillId="0" borderId="14" xfId="0" applyFont="1" applyBorder="1" applyAlignment="1">
      <alignment horizontal="center"/>
    </xf>
    <xf numFmtId="0" fontId="43" fillId="0" borderId="17" xfId="0" applyFont="1" applyBorder="1" applyAlignment="1">
      <alignment horizontal="center"/>
    </xf>
    <xf numFmtId="0" fontId="43" fillId="0" borderId="12" xfId="0" applyFont="1" applyBorder="1" applyAlignment="1">
      <alignment horizontal="center"/>
    </xf>
    <xf numFmtId="0" fontId="43" fillId="0" borderId="1" xfId="0" applyFont="1" applyBorder="1" applyAlignment="1">
      <alignment horizontal="center"/>
    </xf>
    <xf numFmtId="0" fontId="42" fillId="0" borderId="3" xfId="0" applyFont="1" applyBorder="1" applyAlignment="1">
      <alignment horizontal="center"/>
    </xf>
    <xf numFmtId="0" fontId="42" fillId="0" borderId="1" xfId="0" applyFont="1" applyBorder="1" applyAlignment="1">
      <alignment horizontal="center"/>
    </xf>
    <xf numFmtId="0" fontId="42" fillId="0" borderId="11" xfId="0" applyFont="1" applyBorder="1" applyAlignment="1">
      <alignment horizontal="center"/>
    </xf>
    <xf numFmtId="165" fontId="45" fillId="0" borderId="12" xfId="0" applyNumberFormat="1" applyFont="1" applyBorder="1" applyAlignment="1">
      <alignment horizontal="center"/>
    </xf>
    <xf numFmtId="165" fontId="45" fillId="0" borderId="1" xfId="0" applyNumberFormat="1" applyFont="1" applyBorder="1" applyAlignment="1">
      <alignment horizontal="center"/>
    </xf>
    <xf numFmtId="0" fontId="50" fillId="2" borderId="15" xfId="0" applyFont="1" applyFill="1" applyBorder="1" applyAlignment="1">
      <alignment horizontal="center" vertical="center"/>
    </xf>
    <xf numFmtId="0" fontId="50" fillId="2" borderId="13" xfId="0" applyFont="1" applyFill="1" applyBorder="1" applyAlignment="1">
      <alignment horizontal="center" vertical="center"/>
    </xf>
    <xf numFmtId="0" fontId="50" fillId="2" borderId="26" xfId="0" applyFont="1" applyFill="1" applyBorder="1" applyAlignment="1">
      <alignment horizontal="center" vertical="center"/>
    </xf>
    <xf numFmtId="0" fontId="50" fillId="2" borderId="21" xfId="0" applyFont="1" applyFill="1" applyBorder="1" applyAlignment="1">
      <alignment horizontal="center" vertical="center"/>
    </xf>
    <xf numFmtId="0" fontId="45" fillId="4" borderId="24" xfId="0" applyFont="1" applyFill="1" applyBorder="1" applyAlignment="1">
      <alignment horizontal="center"/>
    </xf>
    <xf numFmtId="0" fontId="45" fillId="4" borderId="14" xfId="0" applyFont="1" applyFill="1" applyBorder="1" applyAlignment="1">
      <alignment horizontal="center"/>
    </xf>
    <xf numFmtId="0" fontId="12" fillId="0" borderId="14" xfId="31" applyFont="1" applyBorder="1" applyAlignment="1">
      <alignment horizontal="center"/>
    </xf>
    <xf numFmtId="0" fontId="12" fillId="0" borderId="17" xfId="31" applyFont="1" applyBorder="1" applyAlignment="1">
      <alignment horizontal="center"/>
    </xf>
    <xf numFmtId="0" fontId="12" fillId="0" borderId="1" xfId="31" applyFont="1" applyAlignment="1">
      <alignment horizontal="center"/>
    </xf>
    <xf numFmtId="0" fontId="10" fillId="0" borderId="3" xfId="31" applyFont="1" applyBorder="1" applyAlignment="1">
      <alignment horizontal="center"/>
    </xf>
    <xf numFmtId="0" fontId="10" fillId="0" borderId="1" xfId="31" applyFont="1" applyAlignment="1">
      <alignment horizontal="center"/>
    </xf>
    <xf numFmtId="0" fontId="10" fillId="0" borderId="11" xfId="31" applyFont="1" applyBorder="1" applyAlignment="1">
      <alignment horizontal="center"/>
    </xf>
    <xf numFmtId="165" fontId="13" fillId="0" borderId="1" xfId="31" applyNumberFormat="1" applyFont="1" applyAlignment="1">
      <alignment horizontal="center"/>
    </xf>
    <xf numFmtId="0" fontId="39" fillId="2" borderId="15" xfId="31" applyFont="1" applyFill="1" applyBorder="1" applyAlignment="1">
      <alignment horizontal="center" vertical="center"/>
    </xf>
    <xf numFmtId="0" fontId="39" fillId="2" borderId="13" xfId="31" applyFont="1" applyFill="1" applyBorder="1" applyAlignment="1">
      <alignment horizontal="center" vertical="center"/>
    </xf>
    <xf numFmtId="0" fontId="39" fillId="2" borderId="26" xfId="31" applyFont="1" applyFill="1" applyBorder="1" applyAlignment="1">
      <alignment horizontal="center" vertical="center"/>
    </xf>
    <xf numFmtId="0" fontId="39" fillId="2" borderId="21" xfId="31" applyFont="1" applyFill="1" applyBorder="1" applyAlignment="1">
      <alignment horizontal="center" vertical="center"/>
    </xf>
    <xf numFmtId="0" fontId="13" fillId="4" borderId="14" xfId="31" applyFont="1" applyFill="1" applyBorder="1" applyAlignment="1">
      <alignment horizontal="center"/>
    </xf>
    <xf numFmtId="0" fontId="55" fillId="0" borderId="15" xfId="28" applyFont="1" applyBorder="1" applyAlignment="1" applyProtection="1">
      <alignment horizontal="center"/>
    </xf>
    <xf numFmtId="0" fontId="55" fillId="0" borderId="14" xfId="28" applyFont="1" applyBorder="1" applyAlignment="1" applyProtection="1">
      <alignment horizontal="center"/>
    </xf>
    <xf numFmtId="0" fontId="52" fillId="0" borderId="14" xfId="24" applyFont="1" applyBorder="1" applyAlignment="1" applyProtection="1">
      <alignment horizontal="center"/>
    </xf>
    <xf numFmtId="0" fontId="52" fillId="0" borderId="17" xfId="24" applyFont="1" applyBorder="1" applyAlignment="1" applyProtection="1">
      <alignment horizontal="center"/>
    </xf>
    <xf numFmtId="1" fontId="55" fillId="0" borderId="15" xfId="6" applyNumberFormat="1" applyFont="1" applyBorder="1" applyAlignment="1" applyProtection="1">
      <alignment horizontal="center"/>
    </xf>
    <xf numFmtId="1" fontId="55" fillId="0" borderId="14" xfId="6" applyNumberFormat="1" applyFont="1" applyBorder="1" applyAlignment="1" applyProtection="1">
      <alignment horizontal="center"/>
    </xf>
    <xf numFmtId="1" fontId="55" fillId="0" borderId="17" xfId="6" applyNumberFormat="1" applyFont="1" applyBorder="1" applyAlignment="1" applyProtection="1">
      <alignment horizontal="center"/>
    </xf>
    <xf numFmtId="172" fontId="58" fillId="0" borderId="3" xfId="30" applyNumberFormat="1" applyFont="1" applyBorder="1" applyAlignment="1" applyProtection="1">
      <alignment horizontal="center"/>
    </xf>
    <xf numFmtId="172" fontId="58" fillId="0" borderId="1" xfId="30" applyNumberFormat="1" applyFont="1" applyBorder="1" applyAlignment="1" applyProtection="1">
      <alignment horizontal="center"/>
    </xf>
    <xf numFmtId="172" fontId="58" fillId="0" borderId="2" xfId="30" applyNumberFormat="1" applyFont="1" applyBorder="1" applyAlignment="1" applyProtection="1">
      <alignment horizontal="center"/>
    </xf>
    <xf numFmtId="0" fontId="58" fillId="0" borderId="3" xfId="30" applyFont="1" applyBorder="1" applyAlignment="1" applyProtection="1">
      <alignment horizontal="center"/>
    </xf>
    <xf numFmtId="0" fontId="58" fillId="0" borderId="1" xfId="30" applyFont="1" applyBorder="1" applyAlignment="1" applyProtection="1">
      <alignment horizontal="center"/>
    </xf>
    <xf numFmtId="0" fontId="58" fillId="0" borderId="2" xfId="30" applyFont="1" applyBorder="1" applyAlignment="1" applyProtection="1">
      <alignment horizontal="center"/>
    </xf>
  </cellXfs>
  <cellStyles count="35">
    <cellStyle name="??0" xfId="2" xr:uid="{00000000-0005-0000-0000-000000000000}"/>
    <cellStyle name="??0.0" xfId="11" xr:uid="{00000000-0005-0000-0000-000001000000}"/>
    <cellStyle name="?0.0" xfId="7" xr:uid="{00000000-0005-0000-0000-000002000000}"/>
    <cellStyle name="?0.00" xfId="12" xr:uid="{00000000-0005-0000-0000-000003000000}"/>
    <cellStyle name="0.00" xfId="13" xr:uid="{00000000-0005-0000-0000-000004000000}"/>
    <cellStyle name="0.000" xfId="3" xr:uid="{00000000-0005-0000-0000-000005000000}"/>
    <cellStyle name="Blank" xfId="14" xr:uid="{00000000-0005-0000-0000-000006000000}"/>
    <cellStyle name="EndYear" xfId="15" xr:uid="{00000000-0005-0000-0000-000007000000}"/>
    <cellStyle name="est. Annual Balance" xfId="16" xr:uid="{00000000-0005-0000-0000-000008000000}"/>
    <cellStyle name="est. bw(s)" xfId="17" xr:uid="{00000000-0005-0000-0000-000009000000}"/>
    <cellStyle name="hel8" xfId="5" xr:uid="{00000000-0005-0000-0000-00000A000000}"/>
    <cellStyle name="hel8 2" xfId="26" xr:uid="{00000000-0005-0000-0000-00000B000000}"/>
    <cellStyle name="hel8 blue" xfId="6" xr:uid="{00000000-0005-0000-0000-00000C000000}"/>
    <cellStyle name="hel8_PD860330" xfId="18" xr:uid="{00000000-0005-0000-0000-00000D000000}"/>
    <cellStyle name="hel8b" xfId="19" xr:uid="{00000000-0005-0000-0000-00000E000000}"/>
    <cellStyle name="hel8b_Snow Pit1" xfId="28" xr:uid="{B7BB0ACB-1C71-4DA1-8CED-C2E4DC370FFE}"/>
    <cellStyle name="hel8i" xfId="20" xr:uid="{00000000-0005-0000-0000-000010000000}"/>
    <cellStyle name="Hyperlink 2" xfId="10" xr:uid="{00000000-0005-0000-0000-000011000000}"/>
    <cellStyle name="McCall" xfId="8" xr:uid="{00000000-0005-0000-0000-000012000000}"/>
    <cellStyle name="Normal" xfId="0" builtinId="0"/>
    <cellStyle name="Normal 2" xfId="1" xr:uid="{00000000-0005-0000-0000-000014000000}"/>
    <cellStyle name="Normal 2 2" xfId="21" xr:uid="{00000000-0005-0000-0000-000015000000}"/>
    <cellStyle name="Normal 2 3" xfId="24" xr:uid="{00000000-0005-0000-0000-000016000000}"/>
    <cellStyle name="Normal 3" xfId="4" xr:uid="{00000000-0005-0000-0000-000017000000}"/>
    <cellStyle name="Normal 3 2" xfId="25" xr:uid="{00000000-0005-0000-0000-000018000000}"/>
    <cellStyle name="Normal 4" xfId="23" xr:uid="{00000000-0005-0000-0000-000019000000}"/>
    <cellStyle name="Normal 4 2" xfId="27" xr:uid="{80CAEF7D-5EDC-42C0-8F80-1A51F2F3FEC5}"/>
    <cellStyle name="Normal 4 3" xfId="29" xr:uid="{B462064B-F4EC-4381-A953-668D6E7BAF1C}"/>
    <cellStyle name="Normal 4 4" xfId="32" xr:uid="{36C55D4B-D460-4412-9A4C-5FB200949E70}"/>
    <cellStyle name="Normal 4 5" xfId="33" xr:uid="{30E2F0E8-F171-4299-A227-498848C7B6A2}"/>
    <cellStyle name="Normal 4 6" xfId="34" xr:uid="{3A61A257-1F39-48DB-8B19-9E8C2391161E}"/>
    <cellStyle name="Normal 5" xfId="31" xr:uid="{655553F0-066D-486C-BDD0-E61B85A5728B}"/>
    <cellStyle name="Normal_C-snowpits" xfId="30" xr:uid="{44AEEA3F-10DD-4270-874B-5FA29C2110A5}"/>
    <cellStyle name="OldStuff" xfId="22" xr:uid="{00000000-0005-0000-0000-00001B000000}"/>
    <cellStyle name="Probes" xfId="9" xr:uid="{00000000-0005-0000-0000-00001C000000}"/>
  </cellStyles>
  <dxfs count="2">
    <dxf>
      <font>
        <b/>
        <i val="0"/>
        <color rgb="FFC00000"/>
      </font>
    </dxf>
    <dxf>
      <font>
        <b/>
        <i val="0"/>
        <color rgb="FF0000FF"/>
      </font>
    </dxf>
  </dxfs>
  <tableStyles count="0" defaultTableStyle="TableStyleMedium9" defaultPivotStyle="PivotStyleMedium4"/>
  <colors>
    <mruColors>
      <color rgb="FF66CCFF"/>
      <color rgb="FF3399FF"/>
      <color rgb="FF0066FF"/>
      <color rgb="FFFFCC00"/>
      <color rgb="FFF7964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Stratigraphic </a:t>
            </a:r>
            <a:r>
              <a:rPr lang="en-US" baseline="0"/>
              <a:t>Balance Gradients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'GUI Input'!$E$2:$E$8</c:f>
              <c:numCache>
                <c:formatCode>General</c:formatCode>
                <c:ptCount val="7"/>
                <c:pt idx="0">
                  <c:v>1454</c:v>
                </c:pt>
                <c:pt idx="1">
                  <c:v>1546</c:v>
                </c:pt>
                <c:pt idx="2">
                  <c:v>1693</c:v>
                </c:pt>
                <c:pt idx="3">
                  <c:v>1854</c:v>
                </c:pt>
                <c:pt idx="4">
                  <c:v>1869</c:v>
                </c:pt>
                <c:pt idx="5">
                  <c:v>1878</c:v>
                </c:pt>
                <c:pt idx="6">
                  <c:v>2073</c:v>
                </c:pt>
              </c:numCache>
            </c:numRef>
          </c:xVal>
          <c:yVal>
            <c:numRef>
              <c:f>'GUI Input'!$G$2:$G$8</c:f>
              <c:numCache>
                <c:formatCode>0.00</c:formatCode>
                <c:ptCount val="7"/>
                <c:pt idx="0" formatCode="#,##0.00">
                  <c:v>-3.1140000000000003</c:v>
                </c:pt>
                <c:pt idx="1">
                  <c:v>-2.6594999999999995</c:v>
                </c:pt>
                <c:pt idx="2">
                  <c:v>-0.81450000000000067</c:v>
                </c:pt>
                <c:pt idx="3" formatCode="#,##0.00">
                  <c:v>0.50490000000000002</c:v>
                </c:pt>
                <c:pt idx="4" formatCode="#,##0.00">
                  <c:v>1.1798999999999997</c:v>
                </c:pt>
                <c:pt idx="5" formatCode="#,##0.00">
                  <c:v>7.2800000000000004E-2</c:v>
                </c:pt>
                <c:pt idx="6">
                  <c:v>1.9608000000000005</c:v>
                </c:pt>
              </c:numCache>
            </c:numRef>
          </c:yVal>
          <c:smooth val="0"/>
          <c:extLst>
            <c:ext xmlns:c16="http://schemas.microsoft.com/office/drawing/2014/chart" uri="{C3380CC4-5D6E-409C-BE32-E72D297353CC}">
              <c16:uniqueId val="{00000001-052B-45DA-9701-3E30121851ED}"/>
            </c:ext>
          </c:extLst>
        </c:ser>
        <c:ser>
          <c:idx val="1"/>
          <c:order val="1"/>
          <c:spPr>
            <a:ln w="25400" cap="rnd">
              <a:noFill/>
              <a:round/>
            </a:ln>
            <a:effectLst/>
          </c:spPr>
          <c:marker>
            <c:symbol val="circle"/>
            <c:size val="5"/>
            <c:spPr>
              <a:solidFill>
                <a:schemeClr val="accent2"/>
              </a:solidFill>
              <a:ln w="9525">
                <a:solidFill>
                  <a:schemeClr val="accent2"/>
                </a:solidFill>
              </a:ln>
              <a:effectLst/>
            </c:spPr>
          </c:marker>
          <c:xVal>
            <c:numRef>
              <c:f>'GUI Input'!$E$2:$E$8</c:f>
              <c:numCache>
                <c:formatCode>General</c:formatCode>
                <c:ptCount val="7"/>
                <c:pt idx="0">
                  <c:v>1454</c:v>
                </c:pt>
                <c:pt idx="1">
                  <c:v>1546</c:v>
                </c:pt>
                <c:pt idx="2">
                  <c:v>1693</c:v>
                </c:pt>
                <c:pt idx="3">
                  <c:v>1854</c:v>
                </c:pt>
                <c:pt idx="4">
                  <c:v>1869</c:v>
                </c:pt>
                <c:pt idx="5">
                  <c:v>1878</c:v>
                </c:pt>
                <c:pt idx="6">
                  <c:v>2073</c:v>
                </c:pt>
              </c:numCache>
            </c:numRef>
          </c:xVal>
          <c:yVal>
            <c:numRef>
              <c:f>'GUI Input'!$G$2:$G$8</c:f>
              <c:numCache>
                <c:formatCode>0.00</c:formatCode>
                <c:ptCount val="7"/>
                <c:pt idx="0" formatCode="#,##0.00">
                  <c:v>-3.1140000000000003</c:v>
                </c:pt>
                <c:pt idx="1">
                  <c:v>-2.6594999999999995</c:v>
                </c:pt>
                <c:pt idx="2">
                  <c:v>-0.81450000000000067</c:v>
                </c:pt>
                <c:pt idx="3" formatCode="#,##0.00">
                  <c:v>0.50490000000000002</c:v>
                </c:pt>
                <c:pt idx="4" formatCode="#,##0.00">
                  <c:v>1.1798999999999997</c:v>
                </c:pt>
                <c:pt idx="5" formatCode="#,##0.00">
                  <c:v>7.2800000000000004E-2</c:v>
                </c:pt>
                <c:pt idx="6">
                  <c:v>1.9608000000000005</c:v>
                </c:pt>
              </c:numCache>
            </c:numRef>
          </c:yVal>
          <c:smooth val="0"/>
          <c:extLst xmlns:c15="http://schemas.microsoft.com/office/drawing/2012/chart">
            <c:ext xmlns:c16="http://schemas.microsoft.com/office/drawing/2014/chart" uri="{C3380CC4-5D6E-409C-BE32-E72D297353CC}">
              <c16:uniqueId val="{00000002-052B-45DA-9701-3E30121851ED}"/>
            </c:ext>
          </c:extLst>
        </c:ser>
        <c:dLbls>
          <c:showLegendKey val="0"/>
          <c:showVal val="0"/>
          <c:showCatName val="0"/>
          <c:showSerName val="0"/>
          <c:showPercent val="0"/>
          <c:showBubbleSize val="0"/>
        </c:dLbls>
        <c:axId val="259304264"/>
        <c:axId val="195280152"/>
        <c:extLst/>
      </c:scatterChart>
      <c:valAx>
        <c:axId val="259304264"/>
        <c:scaling>
          <c:orientation val="minMax"/>
          <c:max val="2200"/>
          <c:min val="12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Elevation (m)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80152"/>
        <c:crosses val="autoZero"/>
        <c:crossBetween val="midCat"/>
      </c:valAx>
      <c:valAx>
        <c:axId val="195280152"/>
        <c:scaling>
          <c:orientation val="minMax"/>
          <c:min val="-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balance</a:t>
                </a:r>
                <a:r>
                  <a:rPr lang="en-US" baseline="0"/>
                  <a:t> (m w.e.)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3042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tx>
            <c:v>pit</c:v>
          </c:tx>
          <c:spPr>
            <a:ln w="12700">
              <a:solidFill>
                <a:schemeClr val="tx1"/>
              </a:solidFill>
            </a:ln>
          </c:spPr>
          <c:marker>
            <c:symbol val="circle"/>
            <c:size val="5"/>
            <c:spPr>
              <a:solidFill>
                <a:schemeClr val="tx1"/>
              </a:solidFill>
              <a:ln>
                <a:noFill/>
              </a:ln>
            </c:spPr>
          </c:marker>
          <c:xVal>
            <c:numRef>
              <c:f>'20230415_Pitcore_D'!$P$13:$P$22</c:f>
              <c:numCache>
                <c:formatCode>0.00</c:formatCode>
                <c:ptCount val="10"/>
                <c:pt idx="0">
                  <c:v>7.2463768115942032E-2</c:v>
                </c:pt>
                <c:pt idx="1">
                  <c:v>0.11904761904761904</c:v>
                </c:pt>
                <c:pt idx="2">
                  <c:v>0.17080745341614906</c:v>
                </c:pt>
                <c:pt idx="3">
                  <c:v>0.23291925465838509</c:v>
                </c:pt>
                <c:pt idx="4">
                  <c:v>0.21739130434782608</c:v>
                </c:pt>
                <c:pt idx="5">
                  <c:v>0.33643892339544512</c:v>
                </c:pt>
                <c:pt idx="6">
                  <c:v>0.30538302277432711</c:v>
                </c:pt>
                <c:pt idx="7">
                  <c:v>0.37267080745341613</c:v>
                </c:pt>
              </c:numCache>
            </c:numRef>
          </c:xVal>
          <c:yVal>
            <c:numRef>
              <c:f>'20230415_Pitcore_D'!$C$13:$C$22</c:f>
              <c:numCache>
                <c:formatCode>??0</c:formatCode>
                <c:ptCount val="10"/>
                <c:pt idx="0">
                  <c:v>10</c:v>
                </c:pt>
                <c:pt idx="1">
                  <c:v>20</c:v>
                </c:pt>
                <c:pt idx="2">
                  <c:v>30</c:v>
                </c:pt>
                <c:pt idx="3">
                  <c:v>40</c:v>
                </c:pt>
                <c:pt idx="4">
                  <c:v>50</c:v>
                </c:pt>
                <c:pt idx="5">
                  <c:v>60</c:v>
                </c:pt>
                <c:pt idx="6">
                  <c:v>70</c:v>
                </c:pt>
                <c:pt idx="7">
                  <c:v>80</c:v>
                </c:pt>
              </c:numCache>
            </c:numRef>
          </c:yVal>
          <c:smooth val="1"/>
          <c:extLst>
            <c:ext xmlns:c16="http://schemas.microsoft.com/office/drawing/2014/chart" uri="{C3380CC4-5D6E-409C-BE32-E72D297353CC}">
              <c16:uniqueId val="{00000000-5413-492B-928B-1B8BE690ACDD}"/>
            </c:ext>
          </c:extLst>
        </c:ser>
        <c:ser>
          <c:idx val="1"/>
          <c:order val="1"/>
          <c:tx>
            <c:v>core</c:v>
          </c:tx>
          <c:xVal>
            <c:numRef>
              <c:f>'20230415_Pitcore_D'!$P$25:$P$54</c:f>
              <c:numCache>
                <c:formatCode>0.00</c:formatCode>
                <c:ptCount val="30"/>
                <c:pt idx="1">
                  <c:v>0.42687646874227742</c:v>
                </c:pt>
                <c:pt idx="2">
                  <c:v>0.37737227594945721</c:v>
                </c:pt>
                <c:pt idx="3">
                  <c:v>0.39800982229044307</c:v>
                </c:pt>
                <c:pt idx="4">
                  <c:v>0.40930377622210351</c:v>
                </c:pt>
                <c:pt idx="5">
                  <c:v>0.46242618122114248</c:v>
                </c:pt>
                <c:pt idx="6">
                  <c:v>0.45126335096053966</c:v>
                </c:pt>
                <c:pt idx="7">
                  <c:v>0.47501405364267335</c:v>
                </c:pt>
                <c:pt idx="8">
                  <c:v>0.46724940084274497</c:v>
                </c:pt>
                <c:pt idx="9">
                  <c:v>0.45175815726641744</c:v>
                </c:pt>
                <c:pt idx="10">
                  <c:v>0.46222521373690906</c:v>
                </c:pt>
                <c:pt idx="11">
                  <c:v>0.52026323720087631</c:v>
                </c:pt>
                <c:pt idx="12">
                  <c:v>0.51729030441687129</c:v>
                </c:pt>
                <c:pt idx="13">
                  <c:v>0.53340119773625194</c:v>
                </c:pt>
                <c:pt idx="14">
                  <c:v>0.56170411843246126</c:v>
                </c:pt>
              </c:numCache>
            </c:numRef>
          </c:xVal>
          <c:yVal>
            <c:numRef>
              <c:f>'20230415_Pitcore_D'!$C$25:$C$54</c:f>
              <c:numCache>
                <c:formatCode>??0</c:formatCode>
                <c:ptCount val="30"/>
                <c:pt idx="1">
                  <c:v>106</c:v>
                </c:pt>
                <c:pt idx="2">
                  <c:v>134</c:v>
                </c:pt>
                <c:pt idx="3">
                  <c:v>174</c:v>
                </c:pt>
                <c:pt idx="4">
                  <c:v>206</c:v>
                </c:pt>
                <c:pt idx="5">
                  <c:v>242</c:v>
                </c:pt>
                <c:pt idx="6">
                  <c:v>267</c:v>
                </c:pt>
                <c:pt idx="7">
                  <c:v>295</c:v>
                </c:pt>
                <c:pt idx="8">
                  <c:v>328</c:v>
                </c:pt>
                <c:pt idx="9">
                  <c:v>365</c:v>
                </c:pt>
                <c:pt idx="10">
                  <c:v>399</c:v>
                </c:pt>
                <c:pt idx="11">
                  <c:v>421</c:v>
                </c:pt>
                <c:pt idx="12">
                  <c:v>450</c:v>
                </c:pt>
                <c:pt idx="13">
                  <c:v>475</c:v>
                </c:pt>
                <c:pt idx="14">
                  <c:v>504</c:v>
                </c:pt>
              </c:numCache>
            </c:numRef>
          </c:yVal>
          <c:smooth val="1"/>
          <c:extLst>
            <c:ext xmlns:c16="http://schemas.microsoft.com/office/drawing/2014/chart" uri="{C3380CC4-5D6E-409C-BE32-E72D297353CC}">
              <c16:uniqueId val="{00000001-5413-492B-928B-1B8BE690ACDD}"/>
            </c:ext>
          </c:extLst>
        </c:ser>
        <c:ser>
          <c:idx val="2"/>
          <c:order val="2"/>
          <c:tx>
            <c:v>firn</c:v>
          </c:tx>
          <c:xVal>
            <c:numRef>
              <c:f>'20230415_Pitcore_D'!$P$52:$P$54</c:f>
              <c:numCache>
                <c:formatCode>0.00</c:formatCode>
                <c:ptCount val="3"/>
              </c:numCache>
            </c:numRef>
          </c:xVal>
          <c:yVal>
            <c:numRef>
              <c:f>'20230415_Pitcore_D'!$C$52:$C$54</c:f>
              <c:numCache>
                <c:formatCode>??0</c:formatCode>
                <c:ptCount val="3"/>
              </c:numCache>
            </c:numRef>
          </c:yVal>
          <c:smooth val="1"/>
          <c:extLst>
            <c:ext xmlns:c16="http://schemas.microsoft.com/office/drawing/2014/chart" uri="{C3380CC4-5D6E-409C-BE32-E72D297353CC}">
              <c16:uniqueId val="{00000002-5413-492B-928B-1B8BE690ACDD}"/>
            </c:ext>
          </c:extLst>
        </c:ser>
        <c:dLbls>
          <c:showLegendKey val="0"/>
          <c:showVal val="0"/>
          <c:showCatName val="0"/>
          <c:showSerName val="0"/>
          <c:showPercent val="0"/>
          <c:showBubbleSize val="0"/>
        </c:dLbls>
        <c:axId val="169062400"/>
        <c:axId val="169064320"/>
      </c:scatterChart>
      <c:valAx>
        <c:axId val="169062400"/>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0.00" sourceLinked="1"/>
        <c:majorTickMark val="in"/>
        <c:minorTickMark val="none"/>
        <c:tickLblPos val="nextTo"/>
        <c:crossAx val="169064320"/>
        <c:crosses val="autoZero"/>
        <c:crossBetween val="midCat"/>
      </c:valAx>
      <c:valAx>
        <c:axId val="169064320"/>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0" sourceLinked="1"/>
        <c:majorTickMark val="in"/>
        <c:minorTickMark val="none"/>
        <c:tickLblPos val="nextTo"/>
        <c:crossAx val="169062400"/>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spPr>
            <a:ln w="12700">
              <a:solidFill>
                <a:schemeClr val="tx1"/>
              </a:solidFill>
            </a:ln>
          </c:spPr>
          <c:marker>
            <c:symbol val="circle"/>
            <c:size val="5"/>
            <c:spPr>
              <a:solidFill>
                <a:schemeClr val="tx1"/>
              </a:solidFill>
              <a:ln>
                <a:noFill/>
              </a:ln>
            </c:spPr>
          </c:marker>
          <c:xVal>
            <c:numRef>
              <c:f>'20230416_Pit_B'!$G$13:$G$46</c:f>
              <c:numCache>
                <c:formatCode>0.00</c:formatCode>
                <c:ptCount val="34"/>
                <c:pt idx="0">
                  <c:v>0.12939958592132506</c:v>
                </c:pt>
                <c:pt idx="1">
                  <c:v>0.16045548654244307</c:v>
                </c:pt>
                <c:pt idx="2">
                  <c:v>0.18115942028985507</c:v>
                </c:pt>
                <c:pt idx="3">
                  <c:v>0.15527950310559005</c:v>
                </c:pt>
                <c:pt idx="4">
                  <c:v>0.2277432712215321</c:v>
                </c:pt>
                <c:pt idx="5">
                  <c:v>0.28985507246376813</c:v>
                </c:pt>
                <c:pt idx="6">
                  <c:v>0.35196687370600416</c:v>
                </c:pt>
                <c:pt idx="7">
                  <c:v>0.37784679089026912</c:v>
                </c:pt>
                <c:pt idx="8">
                  <c:v>0.37784679089026912</c:v>
                </c:pt>
                <c:pt idx="9">
                  <c:v>0.40372670807453415</c:v>
                </c:pt>
                <c:pt idx="10">
                  <c:v>0.41407867494824019</c:v>
                </c:pt>
                <c:pt idx="11">
                  <c:v>0.40890269151138714</c:v>
                </c:pt>
                <c:pt idx="12">
                  <c:v>0.43478260869565216</c:v>
                </c:pt>
                <c:pt idx="13">
                  <c:v>0.42443064182194618</c:v>
                </c:pt>
                <c:pt idx="14">
                  <c:v>0.41407867494824019</c:v>
                </c:pt>
                <c:pt idx="15">
                  <c:v>0.42443064182194618</c:v>
                </c:pt>
                <c:pt idx="16">
                  <c:v>0.48654244306418221</c:v>
                </c:pt>
                <c:pt idx="17">
                  <c:v>0.41407867494824019</c:v>
                </c:pt>
                <c:pt idx="18">
                  <c:v>0.41925465838509318</c:v>
                </c:pt>
                <c:pt idx="19">
                  <c:v>0.43478260869565216</c:v>
                </c:pt>
                <c:pt idx="20">
                  <c:v>0.43995859213250516</c:v>
                </c:pt>
                <c:pt idx="21">
                  <c:v>0.39855072463768115</c:v>
                </c:pt>
                <c:pt idx="22">
                  <c:v>0.40372670807453415</c:v>
                </c:pt>
                <c:pt idx="23">
                  <c:v>0.4503105590062112</c:v>
                </c:pt>
                <c:pt idx="24">
                  <c:v>0.50207039337474124</c:v>
                </c:pt>
                <c:pt idx="25">
                  <c:v>0.50207039337474124</c:v>
                </c:pt>
                <c:pt idx="26">
                  <c:v>0.4917184265010352</c:v>
                </c:pt>
                <c:pt idx="27">
                  <c:v>0.50207039337474124</c:v>
                </c:pt>
                <c:pt idx="28">
                  <c:v>0.48654244306418221</c:v>
                </c:pt>
                <c:pt idx="29">
                  <c:v>0.45548654244306419</c:v>
                </c:pt>
                <c:pt idx="30">
                  <c:v>0.48654244306418221</c:v>
                </c:pt>
                <c:pt idx="31">
                  <c:v>0.47101449275362317</c:v>
                </c:pt>
                <c:pt idx="32">
                  <c:v>0.50207039337474124</c:v>
                </c:pt>
                <c:pt idx="33">
                  <c:v>0.59523809523809523</c:v>
                </c:pt>
              </c:numCache>
            </c:numRef>
          </c:xVal>
          <c:yVal>
            <c:numRef>
              <c:f>'20230416_Pit_B'!$C$12:$C$46</c:f>
              <c:numCache>
                <c:formatCode>??0</c:formatCode>
                <c:ptCount val="35"/>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numCache>
            </c:numRef>
          </c:yVal>
          <c:smooth val="1"/>
          <c:extLst>
            <c:ext xmlns:c16="http://schemas.microsoft.com/office/drawing/2014/chart" uri="{C3380CC4-5D6E-409C-BE32-E72D297353CC}">
              <c16:uniqueId val="{00000000-AA53-4F2C-B5C3-B674C9C6DC79}"/>
            </c:ext>
          </c:extLst>
        </c:ser>
        <c:dLbls>
          <c:showLegendKey val="0"/>
          <c:showVal val="0"/>
          <c:showCatName val="0"/>
          <c:showSerName val="0"/>
          <c:showPercent val="0"/>
          <c:showBubbleSize val="0"/>
        </c:dLbls>
        <c:axId val="134765952"/>
        <c:axId val="134805376"/>
      </c:scatterChart>
      <c:valAx>
        <c:axId val="134765952"/>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0.00" sourceLinked="1"/>
        <c:majorTickMark val="in"/>
        <c:minorTickMark val="none"/>
        <c:tickLblPos val="nextTo"/>
        <c:crossAx val="134805376"/>
        <c:crosses val="autoZero"/>
        <c:crossBetween val="midCat"/>
      </c:valAx>
      <c:valAx>
        <c:axId val="134805376"/>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0" sourceLinked="1"/>
        <c:majorTickMark val="in"/>
        <c:minorTickMark val="none"/>
        <c:tickLblPos val="nextTo"/>
        <c:crossAx val="134765952"/>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spPr>
            <a:ln w="12700">
              <a:solidFill>
                <a:schemeClr val="tx1"/>
              </a:solidFill>
            </a:ln>
          </c:spPr>
          <c:marker>
            <c:symbol val="circle"/>
            <c:size val="5"/>
            <c:spPr>
              <a:solidFill>
                <a:schemeClr val="tx1"/>
              </a:solidFill>
              <a:ln>
                <a:noFill/>
              </a:ln>
            </c:spPr>
          </c:marker>
          <c:xVal>
            <c:numRef>
              <c:f>'20230416_Pit_AB'!$G$13:$G$46</c:f>
              <c:numCache>
                <c:formatCode>0.00</c:formatCode>
                <c:ptCount val="34"/>
                <c:pt idx="0">
                  <c:v>0.17598343685300208</c:v>
                </c:pt>
                <c:pt idx="1">
                  <c:v>0.18633540372670807</c:v>
                </c:pt>
                <c:pt idx="2">
                  <c:v>0.2225672877846791</c:v>
                </c:pt>
                <c:pt idx="3">
                  <c:v>0.35196687370600416</c:v>
                </c:pt>
                <c:pt idx="4">
                  <c:v>0.34679089026915116</c:v>
                </c:pt>
                <c:pt idx="5">
                  <c:v>0.36749482401656314</c:v>
                </c:pt>
                <c:pt idx="6">
                  <c:v>0.42960662525879917</c:v>
                </c:pt>
                <c:pt idx="7">
                  <c:v>0.50724637681159424</c:v>
                </c:pt>
                <c:pt idx="8">
                  <c:v>0.46583850931677018</c:v>
                </c:pt>
                <c:pt idx="9">
                  <c:v>0.42443064182194618</c:v>
                </c:pt>
                <c:pt idx="10">
                  <c:v>0.41407867494824019</c:v>
                </c:pt>
                <c:pt idx="11">
                  <c:v>0.36749482401656314</c:v>
                </c:pt>
                <c:pt idx="12">
                  <c:v>0.43995859213250516</c:v>
                </c:pt>
                <c:pt idx="13">
                  <c:v>0.41407867494824019</c:v>
                </c:pt>
                <c:pt idx="14">
                  <c:v>0.42960662525879917</c:v>
                </c:pt>
                <c:pt idx="15">
                  <c:v>0.47619047619047616</c:v>
                </c:pt>
                <c:pt idx="16">
                  <c:v>0.42960662525879917</c:v>
                </c:pt>
                <c:pt idx="17">
                  <c:v>0.4451345755693582</c:v>
                </c:pt>
                <c:pt idx="18">
                  <c:v>0.47101449275362317</c:v>
                </c:pt>
                <c:pt idx="19">
                  <c:v>0.45548654244306419</c:v>
                </c:pt>
              </c:numCache>
            </c:numRef>
          </c:xVal>
          <c:yVal>
            <c:numRef>
              <c:f>'20230416_Pit_AB'!$C$12:$C$46</c:f>
              <c:numCache>
                <c:formatCode>??0</c:formatCode>
                <c:ptCount val="35"/>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numCache>
            </c:numRef>
          </c:yVal>
          <c:smooth val="1"/>
          <c:extLst>
            <c:ext xmlns:c16="http://schemas.microsoft.com/office/drawing/2014/chart" uri="{C3380CC4-5D6E-409C-BE32-E72D297353CC}">
              <c16:uniqueId val="{00000000-2D22-4E94-A728-C7BEA4B37D33}"/>
            </c:ext>
          </c:extLst>
        </c:ser>
        <c:dLbls>
          <c:showLegendKey val="0"/>
          <c:showVal val="0"/>
          <c:showCatName val="0"/>
          <c:showSerName val="0"/>
          <c:showPercent val="0"/>
          <c:showBubbleSize val="0"/>
        </c:dLbls>
        <c:axId val="134765952"/>
        <c:axId val="134805376"/>
      </c:scatterChart>
      <c:valAx>
        <c:axId val="134765952"/>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0.00" sourceLinked="1"/>
        <c:majorTickMark val="in"/>
        <c:minorTickMark val="none"/>
        <c:tickLblPos val="nextTo"/>
        <c:crossAx val="134805376"/>
        <c:crosses val="autoZero"/>
        <c:crossBetween val="midCat"/>
      </c:valAx>
      <c:valAx>
        <c:axId val="134805376"/>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0" sourceLinked="1"/>
        <c:majorTickMark val="in"/>
        <c:minorTickMark val="none"/>
        <c:tickLblPos val="nextTo"/>
        <c:crossAx val="134765952"/>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spPr>
            <a:ln w="12700">
              <a:solidFill>
                <a:schemeClr val="tx1"/>
              </a:solidFill>
            </a:ln>
          </c:spPr>
          <c:marker>
            <c:symbol val="circle"/>
            <c:size val="5"/>
            <c:spPr>
              <a:solidFill>
                <a:schemeClr val="tx1"/>
              </a:solidFill>
              <a:ln>
                <a:noFill/>
              </a:ln>
            </c:spPr>
          </c:marker>
          <c:xVal>
            <c:numRef>
              <c:f>'20230822_Pit_D'!$G$14:$G$19</c:f>
              <c:numCache>
                <c:formatCode>0.00</c:formatCode>
                <c:ptCount val="6"/>
                <c:pt idx="0">
                  <c:v>0.57453416149068326</c:v>
                </c:pt>
                <c:pt idx="1">
                  <c:v>0.54347826086956519</c:v>
                </c:pt>
                <c:pt idx="2">
                  <c:v>0.55900621118012417</c:v>
                </c:pt>
                <c:pt idx="3">
                  <c:v>0.5383022774327122</c:v>
                </c:pt>
                <c:pt idx="4">
                  <c:v>0.5331262939958592</c:v>
                </c:pt>
                <c:pt idx="5">
                  <c:v>0.54865424430641818</c:v>
                </c:pt>
              </c:numCache>
            </c:numRef>
          </c:xVal>
          <c:yVal>
            <c:numRef>
              <c:f>'20230822_Pit_D'!$F$14:$F$19</c:f>
              <c:numCache>
                <c:formatCode>??0</c:formatCode>
                <c:ptCount val="6"/>
                <c:pt idx="0">
                  <c:v>22.5</c:v>
                </c:pt>
                <c:pt idx="1">
                  <c:v>33.5</c:v>
                </c:pt>
                <c:pt idx="2">
                  <c:v>44.5</c:v>
                </c:pt>
                <c:pt idx="3">
                  <c:v>55.5</c:v>
                </c:pt>
                <c:pt idx="4">
                  <c:v>66.5</c:v>
                </c:pt>
                <c:pt idx="5">
                  <c:v>77</c:v>
                </c:pt>
              </c:numCache>
            </c:numRef>
          </c:yVal>
          <c:smooth val="1"/>
          <c:extLst>
            <c:ext xmlns:c16="http://schemas.microsoft.com/office/drawing/2014/chart" uri="{C3380CC4-5D6E-409C-BE32-E72D297353CC}">
              <c16:uniqueId val="{00000000-47FE-4C6C-99CE-5A12761195F4}"/>
            </c:ext>
          </c:extLst>
        </c:ser>
        <c:dLbls>
          <c:showLegendKey val="0"/>
          <c:showVal val="0"/>
          <c:showCatName val="0"/>
          <c:showSerName val="0"/>
          <c:showPercent val="0"/>
          <c:showBubbleSize val="0"/>
        </c:dLbls>
        <c:axId val="134765952"/>
        <c:axId val="134805376"/>
      </c:scatterChart>
      <c:valAx>
        <c:axId val="134765952"/>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0.00" sourceLinked="1"/>
        <c:majorTickMark val="in"/>
        <c:minorTickMark val="none"/>
        <c:tickLblPos val="nextTo"/>
        <c:crossAx val="134805376"/>
        <c:crosses val="autoZero"/>
        <c:crossBetween val="midCat"/>
      </c:valAx>
      <c:valAx>
        <c:axId val="134805376"/>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0" sourceLinked="1"/>
        <c:majorTickMark val="in"/>
        <c:minorTickMark val="none"/>
        <c:tickLblPos val="nextTo"/>
        <c:crossAx val="134765952"/>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spPr>
            <a:ln w="12700">
              <a:solidFill>
                <a:schemeClr val="tx1"/>
              </a:solidFill>
            </a:ln>
          </c:spPr>
          <c:marker>
            <c:symbol val="circle"/>
            <c:size val="5"/>
            <c:spPr>
              <a:solidFill>
                <a:schemeClr val="tx1"/>
              </a:solidFill>
              <a:ln>
                <a:noFill/>
              </a:ln>
            </c:spPr>
          </c:marker>
          <c:xVal>
            <c:numRef>
              <c:f>'20230823_Pit_T'!$G$13:$G$32</c:f>
              <c:numCache>
                <c:formatCode>0.00</c:formatCode>
                <c:ptCount val="20"/>
                <c:pt idx="0">
                  <c:v>0.58488612836438925</c:v>
                </c:pt>
                <c:pt idx="1">
                  <c:v>0.57971014492753625</c:v>
                </c:pt>
                <c:pt idx="2">
                  <c:v>0.57453416149068326</c:v>
                </c:pt>
                <c:pt idx="3">
                  <c:v>0.57453416149068326</c:v>
                </c:pt>
                <c:pt idx="4">
                  <c:v>0.56418219461697727</c:v>
                </c:pt>
                <c:pt idx="5">
                  <c:v>0.56418219461697727</c:v>
                </c:pt>
                <c:pt idx="6">
                  <c:v>0.55279503105590067</c:v>
                </c:pt>
                <c:pt idx="7">
                  <c:v>0.58488612836438925</c:v>
                </c:pt>
                <c:pt idx="8">
                  <c:v>0.56935817805383027</c:v>
                </c:pt>
                <c:pt idx="9">
                  <c:v>0.55383022774327118</c:v>
                </c:pt>
                <c:pt idx="10">
                  <c:v>0.56935817805383027</c:v>
                </c:pt>
                <c:pt idx="11">
                  <c:v>0.58488612836438925</c:v>
                </c:pt>
                <c:pt idx="12">
                  <c:v>0.56935817805383027</c:v>
                </c:pt>
                <c:pt idx="13">
                  <c:v>0.56935817805383027</c:v>
                </c:pt>
                <c:pt idx="14">
                  <c:v>0.55900621118012417</c:v>
                </c:pt>
                <c:pt idx="15">
                  <c:v>0.55900621118012417</c:v>
                </c:pt>
                <c:pt idx="16">
                  <c:v>0.60041407867494823</c:v>
                </c:pt>
                <c:pt idx="17">
                  <c:v>0.59523809523809523</c:v>
                </c:pt>
                <c:pt idx="18">
                  <c:v>0.59523809523809523</c:v>
                </c:pt>
                <c:pt idx="19">
                  <c:v>0.56418219461697727</c:v>
                </c:pt>
              </c:numCache>
            </c:numRef>
          </c:xVal>
          <c:yVal>
            <c:numRef>
              <c:f>'20230823_Pit_T'!$F$13:$F$32</c:f>
              <c:numCache>
                <c:formatCode>??0</c:formatCode>
                <c:ptCount val="20"/>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numCache>
            </c:numRef>
          </c:yVal>
          <c:smooth val="1"/>
          <c:extLst>
            <c:ext xmlns:c16="http://schemas.microsoft.com/office/drawing/2014/chart" uri="{C3380CC4-5D6E-409C-BE32-E72D297353CC}">
              <c16:uniqueId val="{00000000-672B-4A49-A6A4-FBC46AEB049C}"/>
            </c:ext>
          </c:extLst>
        </c:ser>
        <c:dLbls>
          <c:showLegendKey val="0"/>
          <c:showVal val="0"/>
          <c:showCatName val="0"/>
          <c:showSerName val="0"/>
          <c:showPercent val="0"/>
          <c:showBubbleSize val="0"/>
        </c:dLbls>
        <c:axId val="134765952"/>
        <c:axId val="134805376"/>
      </c:scatterChart>
      <c:valAx>
        <c:axId val="134765952"/>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0.00" sourceLinked="1"/>
        <c:majorTickMark val="in"/>
        <c:minorTickMark val="none"/>
        <c:tickLblPos val="nextTo"/>
        <c:crossAx val="134805376"/>
        <c:crosses val="autoZero"/>
        <c:crossBetween val="midCat"/>
      </c:valAx>
      <c:valAx>
        <c:axId val="134805376"/>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0" sourceLinked="1"/>
        <c:majorTickMark val="in"/>
        <c:minorTickMark val="none"/>
        <c:tickLblPos val="nextTo"/>
        <c:crossAx val="134765952"/>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3.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10</xdr:col>
      <xdr:colOff>342900</xdr:colOff>
      <xdr:row>4</xdr:row>
      <xdr:rowOff>11430</xdr:rowOff>
    </xdr:from>
    <xdr:to>
      <xdr:col>19</xdr:col>
      <xdr:colOff>78105</xdr:colOff>
      <xdr:row>19</xdr:row>
      <xdr:rowOff>64770</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14</xdr:col>
      <xdr:colOff>22861</xdr:colOff>
      <xdr:row>6</xdr:row>
      <xdr:rowOff>30480</xdr:rowOff>
    </xdr:from>
    <xdr:to>
      <xdr:col>21</xdr:col>
      <xdr:colOff>335281</xdr:colOff>
      <xdr:row>52</xdr:row>
      <xdr:rowOff>30480</xdr:rowOff>
    </xdr:to>
    <xdr:graphicFrame macro="">
      <xdr:nvGraphicFramePr>
        <xdr:cNvPr id="2" name="Chart 1">
          <a:extLst>
            <a:ext uri="{FF2B5EF4-FFF2-40B4-BE49-F238E27FC236}">
              <a16:creationId xmlns:a16="http://schemas.microsoft.com/office/drawing/2014/main" id="{479D5010-A7DF-41F7-BDA5-9F0A412D0D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15</xdr:col>
      <xdr:colOff>7620</xdr:colOff>
      <xdr:row>2</xdr:row>
      <xdr:rowOff>121920</xdr:rowOff>
    </xdr:from>
    <xdr:to>
      <xdr:col>21</xdr:col>
      <xdr:colOff>259080</xdr:colOff>
      <xdr:row>43</xdr:row>
      <xdr:rowOff>152400</xdr:rowOff>
    </xdr:to>
    <xdr:graphicFrame macro="">
      <xdr:nvGraphicFramePr>
        <xdr:cNvPr id="2" name="Chart 1">
          <a:extLst>
            <a:ext uri="{FF2B5EF4-FFF2-40B4-BE49-F238E27FC236}">
              <a16:creationId xmlns:a16="http://schemas.microsoft.com/office/drawing/2014/main" id="{A4B1A574-7FD4-4A44-99FD-972BE805C5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14</xdr:col>
      <xdr:colOff>182880</xdr:colOff>
      <xdr:row>10</xdr:row>
      <xdr:rowOff>76200</xdr:rowOff>
    </xdr:from>
    <xdr:to>
      <xdr:col>17</xdr:col>
      <xdr:colOff>403860</xdr:colOff>
      <xdr:row>11</xdr:row>
      <xdr:rowOff>624840</xdr:rowOff>
    </xdr:to>
    <xdr:sp macro="" textlink="">
      <xdr:nvSpPr>
        <xdr:cNvPr id="2" name="TextBox 1">
          <a:extLst>
            <a:ext uri="{FF2B5EF4-FFF2-40B4-BE49-F238E27FC236}">
              <a16:creationId xmlns:a16="http://schemas.microsoft.com/office/drawing/2014/main" id="{1FE9FFC8-8B27-E129-A893-515ACA479206}"/>
            </a:ext>
          </a:extLst>
        </xdr:cNvPr>
        <xdr:cNvSpPr txBox="1"/>
      </xdr:nvSpPr>
      <xdr:spPr>
        <a:xfrm>
          <a:off x="8732520" y="1760220"/>
          <a:ext cx="2049780"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 snowpit</a:t>
          </a:r>
          <a:r>
            <a:rPr lang="en-US" sz="1100" baseline="0"/>
            <a:t> at AU in spring 2023</a:t>
          </a:r>
        </a:p>
        <a:p>
          <a:endParaRPr lang="en-US" sz="1100" baseline="0"/>
        </a:p>
        <a:p>
          <a:r>
            <a:rPr lang="en-US" sz="1100" baseline="0"/>
            <a:t>Use density from site AB.</a:t>
          </a:r>
          <a:endParaRPr 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14</xdr:col>
      <xdr:colOff>22861</xdr:colOff>
      <xdr:row>6</xdr:row>
      <xdr:rowOff>30480</xdr:rowOff>
    </xdr:from>
    <xdr:to>
      <xdr:col>21</xdr:col>
      <xdr:colOff>335281</xdr:colOff>
      <xdr:row>52</xdr:row>
      <xdr:rowOff>30480</xdr:rowOff>
    </xdr:to>
    <xdr:graphicFrame macro="">
      <xdr:nvGraphicFramePr>
        <xdr:cNvPr id="2" name="Chart 1">
          <a:extLst>
            <a:ext uri="{FF2B5EF4-FFF2-40B4-BE49-F238E27FC236}">
              <a16:creationId xmlns:a16="http://schemas.microsoft.com/office/drawing/2014/main" id="{2C4F61E7-9B92-428F-AC74-7952024C53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14</xdr:col>
      <xdr:colOff>640081</xdr:colOff>
      <xdr:row>3</xdr:row>
      <xdr:rowOff>152400</xdr:rowOff>
    </xdr:from>
    <xdr:to>
      <xdr:col>23</xdr:col>
      <xdr:colOff>220981</xdr:colOff>
      <xdr:row>49</xdr:row>
      <xdr:rowOff>38100</xdr:rowOff>
    </xdr:to>
    <xdr:graphicFrame macro="">
      <xdr:nvGraphicFramePr>
        <xdr:cNvPr id="2" name="Chart 1">
          <a:extLst>
            <a:ext uri="{FF2B5EF4-FFF2-40B4-BE49-F238E27FC236}">
              <a16:creationId xmlns:a16="http://schemas.microsoft.com/office/drawing/2014/main" id="{256612E2-684E-4465-974B-CEEBBBC8A7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361950</xdr:colOff>
      <xdr:row>0</xdr:row>
      <xdr:rowOff>0</xdr:rowOff>
    </xdr:to>
    <xdr:sp macro="" textlink="">
      <xdr:nvSpPr>
        <xdr:cNvPr id="2053" name="Rectangle 5" hidden="1">
          <a:extLst>
            <a:ext uri="{FF2B5EF4-FFF2-40B4-BE49-F238E27FC236}">
              <a16:creationId xmlns:a16="http://schemas.microsoft.com/office/drawing/2014/main" id="{00000000-0008-0000-0100-0000050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60</xdr:row>
      <xdr:rowOff>142875</xdr:rowOff>
    </xdr:to>
    <xdr:sp macro="" textlink="">
      <xdr:nvSpPr>
        <xdr:cNvPr id="9" name="AutoShape 5">
          <a:extLst>
            <a:ext uri="{FF2B5EF4-FFF2-40B4-BE49-F238E27FC236}">
              <a16:creationId xmlns:a16="http://schemas.microsoft.com/office/drawing/2014/main" id="{00000000-0008-0000-0100-000009000000}"/>
            </a:ext>
          </a:extLst>
        </xdr:cNvPr>
        <xdr:cNvSpPr>
          <a:spLocks noChangeArrowheads="1"/>
        </xdr:cNvSpPr>
      </xdr:nvSpPr>
      <xdr:spPr bwMode="auto">
        <a:xfrm>
          <a:off x="0" y="0"/>
          <a:ext cx="13719810" cy="1120711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60</xdr:row>
      <xdr:rowOff>142875</xdr:rowOff>
    </xdr:to>
    <xdr:sp macro="" textlink="">
      <xdr:nvSpPr>
        <xdr:cNvPr id="10" name="AutoShape 5">
          <a:extLst>
            <a:ext uri="{FF2B5EF4-FFF2-40B4-BE49-F238E27FC236}">
              <a16:creationId xmlns:a16="http://schemas.microsoft.com/office/drawing/2014/main" id="{00000000-0008-0000-0100-00000A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60</xdr:row>
      <xdr:rowOff>142875</xdr:rowOff>
    </xdr:to>
    <xdr:sp macro="" textlink="">
      <xdr:nvSpPr>
        <xdr:cNvPr id="11" name="AutoShape 5">
          <a:extLst>
            <a:ext uri="{FF2B5EF4-FFF2-40B4-BE49-F238E27FC236}">
              <a16:creationId xmlns:a16="http://schemas.microsoft.com/office/drawing/2014/main" id="{00000000-0008-0000-0100-00000B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61</xdr:row>
      <xdr:rowOff>142875</xdr:rowOff>
    </xdr:to>
    <xdr:sp macro="" textlink="">
      <xdr:nvSpPr>
        <xdr:cNvPr id="12" name="AutoShape 5">
          <a:extLst>
            <a:ext uri="{FF2B5EF4-FFF2-40B4-BE49-F238E27FC236}">
              <a16:creationId xmlns:a16="http://schemas.microsoft.com/office/drawing/2014/main" id="{00000000-0008-0000-0100-00000C000000}"/>
            </a:ext>
          </a:extLst>
        </xdr:cNvPr>
        <xdr:cNvSpPr>
          <a:spLocks noChangeArrowheads="1"/>
        </xdr:cNvSpPr>
      </xdr:nvSpPr>
      <xdr:spPr bwMode="auto">
        <a:xfrm>
          <a:off x="0" y="0"/>
          <a:ext cx="13719810" cy="1140523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61</xdr:row>
      <xdr:rowOff>142875</xdr:rowOff>
    </xdr:to>
    <xdr:sp macro="" textlink="">
      <xdr:nvSpPr>
        <xdr:cNvPr id="13" name="AutoShape 5">
          <a:extLst>
            <a:ext uri="{FF2B5EF4-FFF2-40B4-BE49-F238E27FC236}">
              <a16:creationId xmlns:a16="http://schemas.microsoft.com/office/drawing/2014/main" id="{00000000-0008-0000-0100-00000D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61</xdr:row>
      <xdr:rowOff>142875</xdr:rowOff>
    </xdr:to>
    <xdr:sp macro="" textlink="">
      <xdr:nvSpPr>
        <xdr:cNvPr id="14" name="AutoShape 5">
          <a:extLst>
            <a:ext uri="{FF2B5EF4-FFF2-40B4-BE49-F238E27FC236}">
              <a16:creationId xmlns:a16="http://schemas.microsoft.com/office/drawing/2014/main" id="{00000000-0008-0000-0100-00000E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0</xdr:rowOff>
    </xdr:from>
    <xdr:to>
      <xdr:col>15</xdr:col>
      <xdr:colOff>571500</xdr:colOff>
      <xdr:row>2</xdr:row>
      <xdr:rowOff>0</xdr:rowOff>
    </xdr:to>
    <xdr:sp macro="" textlink="">
      <xdr:nvSpPr>
        <xdr:cNvPr id="1030" name="Rectangle 6" hidden="1">
          <a:extLst>
            <a:ext uri="{FF2B5EF4-FFF2-40B4-BE49-F238E27FC236}">
              <a16:creationId xmlns:a16="http://schemas.microsoft.com/office/drawing/2014/main" id="{00000000-0008-0000-0200-00000604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56</xdr:row>
      <xdr:rowOff>142875</xdr:rowOff>
    </xdr:to>
    <xdr:sp macro="" textlink="">
      <xdr:nvSpPr>
        <xdr:cNvPr id="9" name="AutoShape 5">
          <a:extLst>
            <a:ext uri="{FF2B5EF4-FFF2-40B4-BE49-F238E27FC236}">
              <a16:creationId xmlns:a16="http://schemas.microsoft.com/office/drawing/2014/main" id="{00000000-0008-0000-0200-000009000000}"/>
            </a:ext>
          </a:extLst>
        </xdr:cNvPr>
        <xdr:cNvSpPr>
          <a:spLocks noChangeArrowheads="1"/>
        </xdr:cNvSpPr>
      </xdr:nvSpPr>
      <xdr:spPr bwMode="auto">
        <a:xfrm>
          <a:off x="0" y="0"/>
          <a:ext cx="13719810" cy="1120711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56</xdr:row>
      <xdr:rowOff>142875</xdr:rowOff>
    </xdr:to>
    <xdr:sp macro="" textlink="">
      <xdr:nvSpPr>
        <xdr:cNvPr id="10" name="AutoShape 5">
          <a:extLst>
            <a:ext uri="{FF2B5EF4-FFF2-40B4-BE49-F238E27FC236}">
              <a16:creationId xmlns:a16="http://schemas.microsoft.com/office/drawing/2014/main" id="{00000000-0008-0000-0200-00000A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56</xdr:row>
      <xdr:rowOff>142875</xdr:rowOff>
    </xdr:to>
    <xdr:sp macro="" textlink="">
      <xdr:nvSpPr>
        <xdr:cNvPr id="11" name="AutoShape 5">
          <a:extLst>
            <a:ext uri="{FF2B5EF4-FFF2-40B4-BE49-F238E27FC236}">
              <a16:creationId xmlns:a16="http://schemas.microsoft.com/office/drawing/2014/main" id="{00000000-0008-0000-0200-00000B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57</xdr:row>
      <xdr:rowOff>142875</xdr:rowOff>
    </xdr:to>
    <xdr:sp macro="" textlink="">
      <xdr:nvSpPr>
        <xdr:cNvPr id="12" name="AutoShape 5">
          <a:extLst>
            <a:ext uri="{FF2B5EF4-FFF2-40B4-BE49-F238E27FC236}">
              <a16:creationId xmlns:a16="http://schemas.microsoft.com/office/drawing/2014/main" id="{00000000-0008-0000-0200-00000C000000}"/>
            </a:ext>
          </a:extLst>
        </xdr:cNvPr>
        <xdr:cNvSpPr>
          <a:spLocks noChangeArrowheads="1"/>
        </xdr:cNvSpPr>
      </xdr:nvSpPr>
      <xdr:spPr bwMode="auto">
        <a:xfrm>
          <a:off x="0" y="0"/>
          <a:ext cx="13719810" cy="1140523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57</xdr:row>
      <xdr:rowOff>142875</xdr:rowOff>
    </xdr:to>
    <xdr:sp macro="" textlink="">
      <xdr:nvSpPr>
        <xdr:cNvPr id="13" name="AutoShape 5">
          <a:extLst>
            <a:ext uri="{FF2B5EF4-FFF2-40B4-BE49-F238E27FC236}">
              <a16:creationId xmlns:a16="http://schemas.microsoft.com/office/drawing/2014/main" id="{00000000-0008-0000-0200-00000D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57</xdr:row>
      <xdr:rowOff>142875</xdr:rowOff>
    </xdr:to>
    <xdr:sp macro="" textlink="">
      <xdr:nvSpPr>
        <xdr:cNvPr id="14" name="AutoShape 5">
          <a:extLst>
            <a:ext uri="{FF2B5EF4-FFF2-40B4-BE49-F238E27FC236}">
              <a16:creationId xmlns:a16="http://schemas.microsoft.com/office/drawing/2014/main" id="{00000000-0008-0000-0200-00000E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466725</xdr:colOff>
      <xdr:row>0</xdr:row>
      <xdr:rowOff>0</xdr:rowOff>
    </xdr:to>
    <xdr:sp macro="" textlink="">
      <xdr:nvSpPr>
        <xdr:cNvPr id="3080" name="Rectangle 8" hidden="1">
          <a:extLst>
            <a:ext uri="{FF2B5EF4-FFF2-40B4-BE49-F238E27FC236}">
              <a16:creationId xmlns:a16="http://schemas.microsoft.com/office/drawing/2014/main" id="{00000000-0008-0000-0300-0000080C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60</xdr:row>
      <xdr:rowOff>142875</xdr:rowOff>
    </xdr:to>
    <xdr:sp macro="" textlink="">
      <xdr:nvSpPr>
        <xdr:cNvPr id="9" name="AutoShape 5">
          <a:extLst>
            <a:ext uri="{FF2B5EF4-FFF2-40B4-BE49-F238E27FC236}">
              <a16:creationId xmlns:a16="http://schemas.microsoft.com/office/drawing/2014/main" id="{00000000-0008-0000-0300-000009000000}"/>
            </a:ext>
          </a:extLst>
        </xdr:cNvPr>
        <xdr:cNvSpPr>
          <a:spLocks noChangeArrowheads="1"/>
        </xdr:cNvSpPr>
      </xdr:nvSpPr>
      <xdr:spPr bwMode="auto">
        <a:xfrm>
          <a:off x="0" y="0"/>
          <a:ext cx="13719810" cy="1120711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60</xdr:row>
      <xdr:rowOff>142875</xdr:rowOff>
    </xdr:to>
    <xdr:sp macro="" textlink="">
      <xdr:nvSpPr>
        <xdr:cNvPr id="10" name="AutoShape 5">
          <a:extLst>
            <a:ext uri="{FF2B5EF4-FFF2-40B4-BE49-F238E27FC236}">
              <a16:creationId xmlns:a16="http://schemas.microsoft.com/office/drawing/2014/main" id="{00000000-0008-0000-0300-00000A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60</xdr:row>
      <xdr:rowOff>142875</xdr:rowOff>
    </xdr:to>
    <xdr:sp macro="" textlink="">
      <xdr:nvSpPr>
        <xdr:cNvPr id="11" name="AutoShape 5">
          <a:extLst>
            <a:ext uri="{FF2B5EF4-FFF2-40B4-BE49-F238E27FC236}">
              <a16:creationId xmlns:a16="http://schemas.microsoft.com/office/drawing/2014/main" id="{00000000-0008-0000-0300-00000B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61</xdr:row>
      <xdr:rowOff>142875</xdr:rowOff>
    </xdr:to>
    <xdr:sp macro="" textlink="">
      <xdr:nvSpPr>
        <xdr:cNvPr id="12" name="AutoShape 5">
          <a:extLst>
            <a:ext uri="{FF2B5EF4-FFF2-40B4-BE49-F238E27FC236}">
              <a16:creationId xmlns:a16="http://schemas.microsoft.com/office/drawing/2014/main" id="{00000000-0008-0000-0300-00000C000000}"/>
            </a:ext>
          </a:extLst>
        </xdr:cNvPr>
        <xdr:cNvSpPr>
          <a:spLocks noChangeArrowheads="1"/>
        </xdr:cNvSpPr>
      </xdr:nvSpPr>
      <xdr:spPr bwMode="auto">
        <a:xfrm>
          <a:off x="0" y="0"/>
          <a:ext cx="13719810" cy="1140523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61</xdr:row>
      <xdr:rowOff>142875</xdr:rowOff>
    </xdr:to>
    <xdr:sp macro="" textlink="">
      <xdr:nvSpPr>
        <xdr:cNvPr id="13" name="AutoShape 5">
          <a:extLst>
            <a:ext uri="{FF2B5EF4-FFF2-40B4-BE49-F238E27FC236}">
              <a16:creationId xmlns:a16="http://schemas.microsoft.com/office/drawing/2014/main" id="{00000000-0008-0000-0300-00000D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61</xdr:row>
      <xdr:rowOff>142875</xdr:rowOff>
    </xdr:to>
    <xdr:sp macro="" textlink="">
      <xdr:nvSpPr>
        <xdr:cNvPr id="14" name="AutoShape 5">
          <a:extLst>
            <a:ext uri="{FF2B5EF4-FFF2-40B4-BE49-F238E27FC236}">
              <a16:creationId xmlns:a16="http://schemas.microsoft.com/office/drawing/2014/main" id="{00000000-0008-0000-0300-00000E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xdr:row>
      <xdr:rowOff>0</xdr:rowOff>
    </xdr:from>
    <xdr:to>
      <xdr:col>14</xdr:col>
      <xdr:colOff>466725</xdr:colOff>
      <xdr:row>2</xdr:row>
      <xdr:rowOff>0</xdr:rowOff>
    </xdr:to>
    <xdr:sp macro="" textlink="">
      <xdr:nvSpPr>
        <xdr:cNvPr id="4109" name="Rectangle 13" hidden="1">
          <a:extLst>
            <a:ext uri="{FF2B5EF4-FFF2-40B4-BE49-F238E27FC236}">
              <a16:creationId xmlns:a16="http://schemas.microsoft.com/office/drawing/2014/main" id="{00000000-0008-0000-0400-00000D1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59</xdr:row>
      <xdr:rowOff>142875</xdr:rowOff>
    </xdr:to>
    <xdr:sp macro="" textlink="">
      <xdr:nvSpPr>
        <xdr:cNvPr id="9" name="AutoShape 5">
          <a:extLst>
            <a:ext uri="{FF2B5EF4-FFF2-40B4-BE49-F238E27FC236}">
              <a16:creationId xmlns:a16="http://schemas.microsoft.com/office/drawing/2014/main" id="{00000000-0008-0000-0400-000009000000}"/>
            </a:ext>
          </a:extLst>
        </xdr:cNvPr>
        <xdr:cNvSpPr>
          <a:spLocks noChangeArrowheads="1"/>
        </xdr:cNvSpPr>
      </xdr:nvSpPr>
      <xdr:spPr bwMode="auto">
        <a:xfrm>
          <a:off x="0" y="0"/>
          <a:ext cx="13719810" cy="1120711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59</xdr:row>
      <xdr:rowOff>142875</xdr:rowOff>
    </xdr:to>
    <xdr:sp macro="" textlink="">
      <xdr:nvSpPr>
        <xdr:cNvPr id="10" name="AutoShape 5">
          <a:extLst>
            <a:ext uri="{FF2B5EF4-FFF2-40B4-BE49-F238E27FC236}">
              <a16:creationId xmlns:a16="http://schemas.microsoft.com/office/drawing/2014/main" id="{00000000-0008-0000-0400-00000A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59</xdr:row>
      <xdr:rowOff>142875</xdr:rowOff>
    </xdr:to>
    <xdr:sp macro="" textlink="">
      <xdr:nvSpPr>
        <xdr:cNvPr id="11" name="AutoShape 5">
          <a:extLst>
            <a:ext uri="{FF2B5EF4-FFF2-40B4-BE49-F238E27FC236}">
              <a16:creationId xmlns:a16="http://schemas.microsoft.com/office/drawing/2014/main" id="{00000000-0008-0000-0400-00000B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60</xdr:row>
      <xdr:rowOff>142875</xdr:rowOff>
    </xdr:to>
    <xdr:sp macro="" textlink="">
      <xdr:nvSpPr>
        <xdr:cNvPr id="12" name="AutoShape 5">
          <a:extLst>
            <a:ext uri="{FF2B5EF4-FFF2-40B4-BE49-F238E27FC236}">
              <a16:creationId xmlns:a16="http://schemas.microsoft.com/office/drawing/2014/main" id="{00000000-0008-0000-0400-00000C000000}"/>
            </a:ext>
          </a:extLst>
        </xdr:cNvPr>
        <xdr:cNvSpPr>
          <a:spLocks noChangeArrowheads="1"/>
        </xdr:cNvSpPr>
      </xdr:nvSpPr>
      <xdr:spPr bwMode="auto">
        <a:xfrm>
          <a:off x="0" y="0"/>
          <a:ext cx="13719810" cy="1140523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60</xdr:row>
      <xdr:rowOff>142875</xdr:rowOff>
    </xdr:to>
    <xdr:sp macro="" textlink="">
      <xdr:nvSpPr>
        <xdr:cNvPr id="13" name="AutoShape 5">
          <a:extLst>
            <a:ext uri="{FF2B5EF4-FFF2-40B4-BE49-F238E27FC236}">
              <a16:creationId xmlns:a16="http://schemas.microsoft.com/office/drawing/2014/main" id="{00000000-0008-0000-0400-00000D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60</xdr:row>
      <xdr:rowOff>142875</xdr:rowOff>
    </xdr:to>
    <xdr:sp macro="" textlink="">
      <xdr:nvSpPr>
        <xdr:cNvPr id="14" name="AutoShape 5">
          <a:extLst>
            <a:ext uri="{FF2B5EF4-FFF2-40B4-BE49-F238E27FC236}">
              <a16:creationId xmlns:a16="http://schemas.microsoft.com/office/drawing/2014/main" id="{00000000-0008-0000-0400-00000E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59</xdr:row>
      <xdr:rowOff>142875</xdr:rowOff>
    </xdr:to>
    <xdr:sp macro="" textlink="">
      <xdr:nvSpPr>
        <xdr:cNvPr id="15" name="AutoShape 5">
          <a:extLst>
            <a:ext uri="{FF2B5EF4-FFF2-40B4-BE49-F238E27FC236}">
              <a16:creationId xmlns:a16="http://schemas.microsoft.com/office/drawing/2014/main" id="{0F8E1B39-33F1-4F56-8B98-7F483225B11A}"/>
            </a:ext>
          </a:extLst>
        </xdr:cNvPr>
        <xdr:cNvSpPr>
          <a:spLocks noChangeArrowheads="1"/>
        </xdr:cNvSpPr>
      </xdr:nvSpPr>
      <xdr:spPr bwMode="auto">
        <a:xfrm>
          <a:off x="0" y="0"/>
          <a:ext cx="13963650" cy="159924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59</xdr:row>
      <xdr:rowOff>142875</xdr:rowOff>
    </xdr:to>
    <xdr:sp macro="" textlink="">
      <xdr:nvSpPr>
        <xdr:cNvPr id="16" name="AutoShape 5">
          <a:extLst>
            <a:ext uri="{FF2B5EF4-FFF2-40B4-BE49-F238E27FC236}">
              <a16:creationId xmlns:a16="http://schemas.microsoft.com/office/drawing/2014/main" id="{6DDEE4F3-1D94-4A90-997D-54BB690DEBAC}"/>
            </a:ext>
          </a:extLst>
        </xdr:cNvPr>
        <xdr:cNvSpPr>
          <a:spLocks noChangeArrowheads="1"/>
        </xdr:cNvSpPr>
      </xdr:nvSpPr>
      <xdr:spPr bwMode="auto">
        <a:xfrm>
          <a:off x="0" y="0"/>
          <a:ext cx="13963650" cy="159924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59</xdr:row>
      <xdr:rowOff>142875</xdr:rowOff>
    </xdr:to>
    <xdr:sp macro="" textlink="">
      <xdr:nvSpPr>
        <xdr:cNvPr id="17" name="AutoShape 5">
          <a:extLst>
            <a:ext uri="{FF2B5EF4-FFF2-40B4-BE49-F238E27FC236}">
              <a16:creationId xmlns:a16="http://schemas.microsoft.com/office/drawing/2014/main" id="{FFC7497D-6545-4648-BF23-EFA7A544E26D}"/>
            </a:ext>
          </a:extLst>
        </xdr:cNvPr>
        <xdr:cNvSpPr>
          <a:spLocks noChangeArrowheads="1"/>
        </xdr:cNvSpPr>
      </xdr:nvSpPr>
      <xdr:spPr bwMode="auto">
        <a:xfrm>
          <a:off x="0" y="0"/>
          <a:ext cx="13963650" cy="159924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60</xdr:row>
      <xdr:rowOff>142875</xdr:rowOff>
    </xdr:to>
    <xdr:sp macro="" textlink="">
      <xdr:nvSpPr>
        <xdr:cNvPr id="18" name="AutoShape 5">
          <a:extLst>
            <a:ext uri="{FF2B5EF4-FFF2-40B4-BE49-F238E27FC236}">
              <a16:creationId xmlns:a16="http://schemas.microsoft.com/office/drawing/2014/main" id="{C5974907-87AC-4375-8A68-2E03C2E8D0BA}"/>
            </a:ext>
          </a:extLst>
        </xdr:cNvPr>
        <xdr:cNvSpPr>
          <a:spLocks noChangeArrowheads="1"/>
        </xdr:cNvSpPr>
      </xdr:nvSpPr>
      <xdr:spPr bwMode="auto">
        <a:xfrm>
          <a:off x="0" y="0"/>
          <a:ext cx="13963650" cy="16195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60</xdr:row>
      <xdr:rowOff>142875</xdr:rowOff>
    </xdr:to>
    <xdr:sp macro="" textlink="">
      <xdr:nvSpPr>
        <xdr:cNvPr id="19" name="AutoShape 5">
          <a:extLst>
            <a:ext uri="{FF2B5EF4-FFF2-40B4-BE49-F238E27FC236}">
              <a16:creationId xmlns:a16="http://schemas.microsoft.com/office/drawing/2014/main" id="{DBA77266-AB5C-4907-8156-1D8A778C7870}"/>
            </a:ext>
          </a:extLst>
        </xdr:cNvPr>
        <xdr:cNvSpPr>
          <a:spLocks noChangeArrowheads="1"/>
        </xdr:cNvSpPr>
      </xdr:nvSpPr>
      <xdr:spPr bwMode="auto">
        <a:xfrm>
          <a:off x="0" y="0"/>
          <a:ext cx="13963650" cy="161956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60</xdr:row>
      <xdr:rowOff>142875</xdr:rowOff>
    </xdr:to>
    <xdr:sp macro="" textlink="">
      <xdr:nvSpPr>
        <xdr:cNvPr id="20" name="AutoShape 5">
          <a:extLst>
            <a:ext uri="{FF2B5EF4-FFF2-40B4-BE49-F238E27FC236}">
              <a16:creationId xmlns:a16="http://schemas.microsoft.com/office/drawing/2014/main" id="{13C4FAFE-A92D-40F6-B260-469F845B4FA6}"/>
            </a:ext>
          </a:extLst>
        </xdr:cNvPr>
        <xdr:cNvSpPr>
          <a:spLocks noChangeArrowheads="1"/>
        </xdr:cNvSpPr>
      </xdr:nvSpPr>
      <xdr:spPr bwMode="auto">
        <a:xfrm>
          <a:off x="0" y="0"/>
          <a:ext cx="13963650" cy="161956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9</xdr:col>
      <xdr:colOff>1104900</xdr:colOff>
      <xdr:row>27</xdr:row>
      <xdr:rowOff>114300</xdr:rowOff>
    </xdr:from>
    <xdr:to>
      <xdr:col>11</xdr:col>
      <xdr:colOff>990600</xdr:colOff>
      <xdr:row>31</xdr:row>
      <xdr:rowOff>142875</xdr:rowOff>
    </xdr:to>
    <xdr:sp macro="" textlink="">
      <xdr:nvSpPr>
        <xdr:cNvPr id="2" name="TextBox 1">
          <a:extLst>
            <a:ext uri="{FF2B5EF4-FFF2-40B4-BE49-F238E27FC236}">
              <a16:creationId xmlns:a16="http://schemas.microsoft.com/office/drawing/2014/main" id="{21A5036C-0966-C64B-9A8F-FEE00C1865E4}"/>
            </a:ext>
          </a:extLst>
        </xdr:cNvPr>
        <xdr:cNvSpPr txBox="1"/>
      </xdr:nvSpPr>
      <xdr:spPr>
        <a:xfrm>
          <a:off x="11725275" y="4791075"/>
          <a:ext cx="212407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Winter balance calculated from snowpit exclusively; no stakes were found.</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466725</xdr:colOff>
      <xdr:row>0</xdr:row>
      <xdr:rowOff>0</xdr:rowOff>
    </xdr:to>
    <xdr:sp macro="" textlink="">
      <xdr:nvSpPr>
        <xdr:cNvPr id="6156" name="Rectangle 12" hidden="1">
          <a:extLst>
            <a:ext uri="{FF2B5EF4-FFF2-40B4-BE49-F238E27FC236}">
              <a16:creationId xmlns:a16="http://schemas.microsoft.com/office/drawing/2014/main" id="{00000000-0008-0000-0500-00000C1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66</xdr:row>
      <xdr:rowOff>142875</xdr:rowOff>
    </xdr:to>
    <xdr:sp macro="" textlink="">
      <xdr:nvSpPr>
        <xdr:cNvPr id="9" name="AutoShape 5">
          <a:extLst>
            <a:ext uri="{FF2B5EF4-FFF2-40B4-BE49-F238E27FC236}">
              <a16:creationId xmlns:a16="http://schemas.microsoft.com/office/drawing/2014/main" id="{00000000-0008-0000-0500-000009000000}"/>
            </a:ext>
          </a:extLst>
        </xdr:cNvPr>
        <xdr:cNvSpPr>
          <a:spLocks noChangeArrowheads="1"/>
        </xdr:cNvSpPr>
      </xdr:nvSpPr>
      <xdr:spPr bwMode="auto">
        <a:xfrm>
          <a:off x="0" y="0"/>
          <a:ext cx="13719810" cy="1120711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66</xdr:row>
      <xdr:rowOff>142875</xdr:rowOff>
    </xdr:to>
    <xdr:sp macro="" textlink="">
      <xdr:nvSpPr>
        <xdr:cNvPr id="10" name="AutoShape 5">
          <a:extLst>
            <a:ext uri="{FF2B5EF4-FFF2-40B4-BE49-F238E27FC236}">
              <a16:creationId xmlns:a16="http://schemas.microsoft.com/office/drawing/2014/main" id="{00000000-0008-0000-0500-00000A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66</xdr:row>
      <xdr:rowOff>142875</xdr:rowOff>
    </xdr:to>
    <xdr:sp macro="" textlink="">
      <xdr:nvSpPr>
        <xdr:cNvPr id="11" name="AutoShape 5">
          <a:extLst>
            <a:ext uri="{FF2B5EF4-FFF2-40B4-BE49-F238E27FC236}">
              <a16:creationId xmlns:a16="http://schemas.microsoft.com/office/drawing/2014/main" id="{00000000-0008-0000-0500-00000B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67</xdr:row>
      <xdr:rowOff>142875</xdr:rowOff>
    </xdr:to>
    <xdr:sp macro="" textlink="">
      <xdr:nvSpPr>
        <xdr:cNvPr id="12" name="AutoShape 5">
          <a:extLst>
            <a:ext uri="{FF2B5EF4-FFF2-40B4-BE49-F238E27FC236}">
              <a16:creationId xmlns:a16="http://schemas.microsoft.com/office/drawing/2014/main" id="{00000000-0008-0000-0500-00000C000000}"/>
            </a:ext>
          </a:extLst>
        </xdr:cNvPr>
        <xdr:cNvSpPr>
          <a:spLocks noChangeArrowheads="1"/>
        </xdr:cNvSpPr>
      </xdr:nvSpPr>
      <xdr:spPr bwMode="auto">
        <a:xfrm>
          <a:off x="0" y="0"/>
          <a:ext cx="13719810" cy="1140523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67</xdr:row>
      <xdr:rowOff>142875</xdr:rowOff>
    </xdr:to>
    <xdr:sp macro="" textlink="">
      <xdr:nvSpPr>
        <xdr:cNvPr id="13" name="AutoShape 5">
          <a:extLst>
            <a:ext uri="{FF2B5EF4-FFF2-40B4-BE49-F238E27FC236}">
              <a16:creationId xmlns:a16="http://schemas.microsoft.com/office/drawing/2014/main" id="{00000000-0008-0000-0500-00000D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67</xdr:row>
      <xdr:rowOff>142875</xdr:rowOff>
    </xdr:to>
    <xdr:sp macro="" textlink="">
      <xdr:nvSpPr>
        <xdr:cNvPr id="14" name="AutoShape 5">
          <a:extLst>
            <a:ext uri="{FF2B5EF4-FFF2-40B4-BE49-F238E27FC236}">
              <a16:creationId xmlns:a16="http://schemas.microsoft.com/office/drawing/2014/main" id="{00000000-0008-0000-0500-00000E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314325</xdr:colOff>
      <xdr:row>0</xdr:row>
      <xdr:rowOff>0</xdr:rowOff>
    </xdr:to>
    <xdr:sp macro="" textlink="">
      <xdr:nvSpPr>
        <xdr:cNvPr id="7185" name="Rectangle 17" hidden="1">
          <a:extLst>
            <a:ext uri="{FF2B5EF4-FFF2-40B4-BE49-F238E27FC236}">
              <a16:creationId xmlns:a16="http://schemas.microsoft.com/office/drawing/2014/main" id="{00000000-0008-0000-0600-0000111C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79</xdr:row>
      <xdr:rowOff>142875</xdr:rowOff>
    </xdr:to>
    <xdr:sp macro="" textlink="">
      <xdr:nvSpPr>
        <xdr:cNvPr id="9" name="AutoShape 5">
          <a:extLst>
            <a:ext uri="{FF2B5EF4-FFF2-40B4-BE49-F238E27FC236}">
              <a16:creationId xmlns:a16="http://schemas.microsoft.com/office/drawing/2014/main" id="{00000000-0008-0000-0600-000009000000}"/>
            </a:ext>
          </a:extLst>
        </xdr:cNvPr>
        <xdr:cNvSpPr>
          <a:spLocks noChangeArrowheads="1"/>
        </xdr:cNvSpPr>
      </xdr:nvSpPr>
      <xdr:spPr bwMode="auto">
        <a:xfrm>
          <a:off x="0" y="0"/>
          <a:ext cx="13719810" cy="1120711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79</xdr:row>
      <xdr:rowOff>142875</xdr:rowOff>
    </xdr:to>
    <xdr:sp macro="" textlink="">
      <xdr:nvSpPr>
        <xdr:cNvPr id="10" name="AutoShape 5">
          <a:extLst>
            <a:ext uri="{FF2B5EF4-FFF2-40B4-BE49-F238E27FC236}">
              <a16:creationId xmlns:a16="http://schemas.microsoft.com/office/drawing/2014/main" id="{00000000-0008-0000-0600-00000A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79</xdr:row>
      <xdr:rowOff>142875</xdr:rowOff>
    </xdr:to>
    <xdr:sp macro="" textlink="">
      <xdr:nvSpPr>
        <xdr:cNvPr id="11" name="AutoShape 5">
          <a:extLst>
            <a:ext uri="{FF2B5EF4-FFF2-40B4-BE49-F238E27FC236}">
              <a16:creationId xmlns:a16="http://schemas.microsoft.com/office/drawing/2014/main" id="{00000000-0008-0000-0600-00000B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80</xdr:row>
      <xdr:rowOff>142875</xdr:rowOff>
    </xdr:to>
    <xdr:sp macro="" textlink="">
      <xdr:nvSpPr>
        <xdr:cNvPr id="12" name="AutoShape 5">
          <a:extLst>
            <a:ext uri="{FF2B5EF4-FFF2-40B4-BE49-F238E27FC236}">
              <a16:creationId xmlns:a16="http://schemas.microsoft.com/office/drawing/2014/main" id="{00000000-0008-0000-0600-00000C000000}"/>
            </a:ext>
          </a:extLst>
        </xdr:cNvPr>
        <xdr:cNvSpPr>
          <a:spLocks noChangeArrowheads="1"/>
        </xdr:cNvSpPr>
      </xdr:nvSpPr>
      <xdr:spPr bwMode="auto">
        <a:xfrm>
          <a:off x="0" y="0"/>
          <a:ext cx="13719810" cy="1140523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80</xdr:row>
      <xdr:rowOff>142875</xdr:rowOff>
    </xdr:to>
    <xdr:sp macro="" textlink="">
      <xdr:nvSpPr>
        <xdr:cNvPr id="13" name="AutoShape 5">
          <a:extLst>
            <a:ext uri="{FF2B5EF4-FFF2-40B4-BE49-F238E27FC236}">
              <a16:creationId xmlns:a16="http://schemas.microsoft.com/office/drawing/2014/main" id="{00000000-0008-0000-0600-00000D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80</xdr:row>
      <xdr:rowOff>142875</xdr:rowOff>
    </xdr:to>
    <xdr:sp macro="" textlink="">
      <xdr:nvSpPr>
        <xdr:cNvPr id="14" name="AutoShape 5">
          <a:extLst>
            <a:ext uri="{FF2B5EF4-FFF2-40B4-BE49-F238E27FC236}">
              <a16:creationId xmlns:a16="http://schemas.microsoft.com/office/drawing/2014/main" id="{00000000-0008-0000-0600-00000E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361950</xdr:colOff>
      <xdr:row>57</xdr:row>
      <xdr:rowOff>142875</xdr:rowOff>
    </xdr:to>
    <xdr:sp macro="" textlink="">
      <xdr:nvSpPr>
        <xdr:cNvPr id="2" name="AutoShape 5">
          <a:extLst>
            <a:ext uri="{FF2B5EF4-FFF2-40B4-BE49-F238E27FC236}">
              <a16:creationId xmlns:a16="http://schemas.microsoft.com/office/drawing/2014/main" id="{72B2CE6C-1DA4-4A7E-8190-0132AAF7B13C}"/>
            </a:ext>
          </a:extLst>
        </xdr:cNvPr>
        <xdr:cNvSpPr>
          <a:spLocks noChangeArrowheads="1"/>
        </xdr:cNvSpPr>
      </xdr:nvSpPr>
      <xdr:spPr bwMode="auto">
        <a:xfrm>
          <a:off x="0" y="0"/>
          <a:ext cx="13344525" cy="112585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57</xdr:row>
      <xdr:rowOff>142875</xdr:rowOff>
    </xdr:to>
    <xdr:sp macro="" textlink="">
      <xdr:nvSpPr>
        <xdr:cNvPr id="3" name="AutoShape 5">
          <a:extLst>
            <a:ext uri="{FF2B5EF4-FFF2-40B4-BE49-F238E27FC236}">
              <a16:creationId xmlns:a16="http://schemas.microsoft.com/office/drawing/2014/main" id="{7C7A88FB-1C56-4EDD-9FC6-10D0578B0C19}"/>
            </a:ext>
          </a:extLst>
        </xdr:cNvPr>
        <xdr:cNvSpPr>
          <a:spLocks noChangeArrowheads="1"/>
        </xdr:cNvSpPr>
      </xdr:nvSpPr>
      <xdr:spPr bwMode="auto">
        <a:xfrm>
          <a:off x="0" y="0"/>
          <a:ext cx="13344525" cy="1125855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57</xdr:row>
      <xdr:rowOff>142875</xdr:rowOff>
    </xdr:to>
    <xdr:sp macro="" textlink="">
      <xdr:nvSpPr>
        <xdr:cNvPr id="4" name="AutoShape 5">
          <a:extLst>
            <a:ext uri="{FF2B5EF4-FFF2-40B4-BE49-F238E27FC236}">
              <a16:creationId xmlns:a16="http://schemas.microsoft.com/office/drawing/2014/main" id="{5ED82F65-126C-47AF-BE8D-41F0D34C42BE}"/>
            </a:ext>
          </a:extLst>
        </xdr:cNvPr>
        <xdr:cNvSpPr>
          <a:spLocks noChangeArrowheads="1"/>
        </xdr:cNvSpPr>
      </xdr:nvSpPr>
      <xdr:spPr bwMode="auto">
        <a:xfrm>
          <a:off x="0" y="0"/>
          <a:ext cx="13344525" cy="1125855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58</xdr:row>
      <xdr:rowOff>142875</xdr:rowOff>
    </xdr:to>
    <xdr:sp macro="" textlink="">
      <xdr:nvSpPr>
        <xdr:cNvPr id="5" name="AutoShape 5">
          <a:extLst>
            <a:ext uri="{FF2B5EF4-FFF2-40B4-BE49-F238E27FC236}">
              <a16:creationId xmlns:a16="http://schemas.microsoft.com/office/drawing/2014/main" id="{211FD8F3-A379-4301-A731-F27873F98BD1}"/>
            </a:ext>
          </a:extLst>
        </xdr:cNvPr>
        <xdr:cNvSpPr>
          <a:spLocks noChangeArrowheads="1"/>
        </xdr:cNvSpPr>
      </xdr:nvSpPr>
      <xdr:spPr bwMode="auto">
        <a:xfrm>
          <a:off x="0" y="0"/>
          <a:ext cx="13344525" cy="11458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58</xdr:row>
      <xdr:rowOff>142875</xdr:rowOff>
    </xdr:to>
    <xdr:sp macro="" textlink="">
      <xdr:nvSpPr>
        <xdr:cNvPr id="6" name="AutoShape 5">
          <a:extLst>
            <a:ext uri="{FF2B5EF4-FFF2-40B4-BE49-F238E27FC236}">
              <a16:creationId xmlns:a16="http://schemas.microsoft.com/office/drawing/2014/main" id="{B25E203A-BE3B-43D6-996A-05393012E7F5}"/>
            </a:ext>
          </a:extLst>
        </xdr:cNvPr>
        <xdr:cNvSpPr>
          <a:spLocks noChangeArrowheads="1"/>
        </xdr:cNvSpPr>
      </xdr:nvSpPr>
      <xdr:spPr bwMode="auto">
        <a:xfrm>
          <a:off x="0" y="0"/>
          <a:ext cx="13344525" cy="114585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58</xdr:row>
      <xdr:rowOff>142875</xdr:rowOff>
    </xdr:to>
    <xdr:sp macro="" textlink="">
      <xdr:nvSpPr>
        <xdr:cNvPr id="7" name="AutoShape 5">
          <a:extLst>
            <a:ext uri="{FF2B5EF4-FFF2-40B4-BE49-F238E27FC236}">
              <a16:creationId xmlns:a16="http://schemas.microsoft.com/office/drawing/2014/main" id="{8860353F-4738-4915-ACE9-2DCD3D4874B0}"/>
            </a:ext>
          </a:extLst>
        </xdr:cNvPr>
        <xdr:cNvSpPr>
          <a:spLocks noChangeArrowheads="1"/>
        </xdr:cNvSpPr>
      </xdr:nvSpPr>
      <xdr:spPr bwMode="auto">
        <a:xfrm>
          <a:off x="0" y="0"/>
          <a:ext cx="13344525" cy="11458575"/>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23</xdr:col>
      <xdr:colOff>22861</xdr:colOff>
      <xdr:row>6</xdr:row>
      <xdr:rowOff>30480</xdr:rowOff>
    </xdr:from>
    <xdr:to>
      <xdr:col>30</xdr:col>
      <xdr:colOff>335281</xdr:colOff>
      <xdr:row>52</xdr:row>
      <xdr:rowOff>30480</xdr:rowOff>
    </xdr:to>
    <xdr:graphicFrame macro="">
      <xdr:nvGraphicFramePr>
        <xdr:cNvPr id="2" name="Chart 1">
          <a:extLst>
            <a:ext uri="{FF2B5EF4-FFF2-40B4-BE49-F238E27FC236}">
              <a16:creationId xmlns:a16="http://schemas.microsoft.com/office/drawing/2014/main" id="{8CBF1F03-C572-4905-915D-9D3BF1A90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WOLVERINE\STAKEB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WOLVERINE\Wolv-C%20Snowpit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WOLVERINE\Wolv-B%20Snowpit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ke A"/>
      <sheetName val="Stake B"/>
      <sheetName val="Stake C"/>
      <sheetName val="SNOWPIT"/>
    </sheetNames>
    <sheetDataSet>
      <sheetData sheetId="0">
        <row r="103">
          <cell r="A103">
            <v>32784</v>
          </cell>
          <cell r="D103" t="str">
            <v>89T157</v>
          </cell>
          <cell r="E103" t="str">
            <v>89-A</v>
          </cell>
          <cell r="F103" t="str">
            <v>I</v>
          </cell>
          <cell r="H103">
            <v>7.9</v>
          </cell>
          <cell r="I103">
            <v>0</v>
          </cell>
          <cell r="J103">
            <v>0</v>
          </cell>
          <cell r="K103" t="str">
            <v/>
          </cell>
          <cell r="M103">
            <v>7.9</v>
          </cell>
          <cell r="N103" t="str">
            <v/>
          </cell>
          <cell r="X103" t="str">
            <v/>
          </cell>
          <cell r="Z103" t="str">
            <v/>
          </cell>
          <cell r="AA103" t="str">
            <v/>
          </cell>
          <cell r="AF103" t="str">
            <v/>
          </cell>
          <cell r="AJ103" t="str">
            <v/>
          </cell>
          <cell r="AM103" t="str">
            <v/>
          </cell>
          <cell r="AN103" t="str">
            <v/>
          </cell>
          <cell r="BG103" t="str">
            <v/>
          </cell>
          <cell r="BK103" t="str">
            <v/>
          </cell>
          <cell r="BL103" t="str">
            <v/>
          </cell>
          <cell r="BO103">
            <v>7.65</v>
          </cell>
          <cell r="BP103">
            <v>7.9</v>
          </cell>
          <cell r="BQ103">
            <v>7.9</v>
          </cell>
          <cell r="BU103" t="str">
            <v/>
          </cell>
          <cell r="BW103">
            <v>0</v>
          </cell>
          <cell r="BX103">
            <v>0</v>
          </cell>
          <cell r="BY103">
            <v>0</v>
          </cell>
          <cell r="BZ103">
            <v>0.23</v>
          </cell>
          <cell r="CA103">
            <v>0.23</v>
          </cell>
          <cell r="CB103">
            <v>0.23</v>
          </cell>
        </row>
        <row r="104">
          <cell r="A104">
            <v>32789</v>
          </cell>
          <cell r="D104" t="str">
            <v>89T160</v>
          </cell>
          <cell r="E104" t="str">
            <v>89-A</v>
          </cell>
          <cell r="F104" t="str">
            <v>I</v>
          </cell>
          <cell r="G104" t="str">
            <v>?/?</v>
          </cell>
          <cell r="H104">
            <v>7.85</v>
          </cell>
          <cell r="K104" t="str">
            <v/>
          </cell>
          <cell r="M104">
            <v>7.85</v>
          </cell>
          <cell r="N104" t="str">
            <v/>
          </cell>
          <cell r="X104" t="str">
            <v/>
          </cell>
          <cell r="Z104" t="str">
            <v/>
          </cell>
          <cell r="AA104" t="str">
            <v/>
          </cell>
          <cell r="AF104" t="str">
            <v/>
          </cell>
          <cell r="AJ104" t="str">
            <v/>
          </cell>
          <cell r="AM104" t="str">
            <v/>
          </cell>
          <cell r="AN104" t="str">
            <v/>
          </cell>
          <cell r="BG104" t="str">
            <v/>
          </cell>
          <cell r="BK104" t="str">
            <v/>
          </cell>
          <cell r="BL104" t="str">
            <v/>
          </cell>
          <cell r="BO104">
            <v>7.65</v>
          </cell>
          <cell r="BP104">
            <v>7.85</v>
          </cell>
          <cell r="BQ104">
            <v>7.85</v>
          </cell>
          <cell r="BU104" t="str">
            <v/>
          </cell>
          <cell r="BW104">
            <v>0</v>
          </cell>
          <cell r="BX104">
            <v>0</v>
          </cell>
          <cell r="BY104">
            <v>0</v>
          </cell>
          <cell r="BZ104">
            <v>0.18</v>
          </cell>
          <cell r="CA104">
            <v>0.18</v>
          </cell>
          <cell r="CB104">
            <v>0.18</v>
          </cell>
        </row>
        <row r="105">
          <cell r="A105">
            <v>32918</v>
          </cell>
          <cell r="D105" t="str">
            <v>90T53</v>
          </cell>
          <cell r="E105" t="str">
            <v>89-A</v>
          </cell>
          <cell r="F105" t="str">
            <v>S</v>
          </cell>
          <cell r="G105" t="str">
            <v>12/12</v>
          </cell>
          <cell r="H105">
            <v>9.5</v>
          </cell>
          <cell r="I105">
            <v>7.18</v>
          </cell>
          <cell r="J105">
            <v>7.15</v>
          </cell>
          <cell r="K105">
            <v>2.9999999999999361E-2</v>
          </cell>
          <cell r="M105">
            <v>9.4700000000000006</v>
          </cell>
          <cell r="N105">
            <v>1.8200000000000003</v>
          </cell>
          <cell r="X105">
            <v>1.82</v>
          </cell>
          <cell r="Z105" t="str">
            <v/>
          </cell>
          <cell r="AA105">
            <v>1</v>
          </cell>
          <cell r="AE105">
            <v>0.36</v>
          </cell>
          <cell r="AF105">
            <v>0.36</v>
          </cell>
          <cell r="AI105">
            <v>-1</v>
          </cell>
          <cell r="AJ105">
            <v>-1</v>
          </cell>
          <cell r="AM105">
            <v>7.65</v>
          </cell>
          <cell r="AN105">
            <v>7.65</v>
          </cell>
          <cell r="BG105" t="str">
            <v/>
          </cell>
          <cell r="BK105" t="str">
            <v/>
          </cell>
          <cell r="BL105" t="str">
            <v/>
          </cell>
          <cell r="BO105">
            <v>7.65</v>
          </cell>
          <cell r="BP105">
            <v>7.65</v>
          </cell>
          <cell r="BQ105">
            <v>7.65</v>
          </cell>
          <cell r="BU105">
            <v>0.66</v>
          </cell>
          <cell r="BW105">
            <v>0</v>
          </cell>
          <cell r="BX105">
            <v>0</v>
          </cell>
          <cell r="BY105">
            <v>0</v>
          </cell>
          <cell r="BZ105">
            <v>0</v>
          </cell>
          <cell r="CA105">
            <v>0.66</v>
          </cell>
          <cell r="CB105">
            <v>0</v>
          </cell>
        </row>
        <row r="106">
          <cell r="A106">
            <v>32949</v>
          </cell>
          <cell r="D106" t="str">
            <v>90T63</v>
          </cell>
          <cell r="E106" t="str">
            <v>89-A</v>
          </cell>
          <cell r="F106" t="str">
            <v>S</v>
          </cell>
          <cell r="G106" t="str">
            <v>12/12</v>
          </cell>
          <cell r="H106">
            <v>9.6</v>
          </cell>
          <cell r="K106" t="str">
            <v/>
          </cell>
          <cell r="M106">
            <v>9.6</v>
          </cell>
          <cell r="N106">
            <v>1.9499999999999993</v>
          </cell>
          <cell r="U106">
            <v>1.95</v>
          </cell>
          <cell r="V106">
            <v>3</v>
          </cell>
          <cell r="X106">
            <v>1.95</v>
          </cell>
          <cell r="AA106">
            <v>4</v>
          </cell>
          <cell r="AE106">
            <v>0.36</v>
          </cell>
          <cell r="AF106">
            <v>0.36</v>
          </cell>
          <cell r="AI106">
            <v>-1</v>
          </cell>
          <cell r="AJ106">
            <v>-1</v>
          </cell>
          <cell r="AM106">
            <v>7.65</v>
          </cell>
          <cell r="AN106">
            <v>7.65</v>
          </cell>
          <cell r="BG106" t="str">
            <v/>
          </cell>
          <cell r="BK106" t="str">
            <v/>
          </cell>
          <cell r="BL106" t="str">
            <v/>
          </cell>
          <cell r="BO106">
            <v>7.65</v>
          </cell>
          <cell r="BP106">
            <v>7.65</v>
          </cell>
          <cell r="BQ106">
            <v>7.65</v>
          </cell>
          <cell r="BU106">
            <v>0.7</v>
          </cell>
          <cell r="BW106">
            <v>0</v>
          </cell>
          <cell r="BX106">
            <v>0</v>
          </cell>
          <cell r="BY106">
            <v>0</v>
          </cell>
          <cell r="BZ106">
            <v>0</v>
          </cell>
          <cell r="CA106">
            <v>0.7</v>
          </cell>
          <cell r="CB106">
            <v>0</v>
          </cell>
        </row>
        <row r="107">
          <cell r="A107">
            <v>33026</v>
          </cell>
          <cell r="D107" t="str">
            <v>90M24</v>
          </cell>
          <cell r="E107" t="str">
            <v>89-A</v>
          </cell>
          <cell r="F107" t="str">
            <v>I</v>
          </cell>
          <cell r="G107" t="str">
            <v>12/6</v>
          </cell>
          <cell r="H107">
            <v>7.87</v>
          </cell>
          <cell r="I107">
            <v>3.26</v>
          </cell>
          <cell r="J107">
            <v>3.3</v>
          </cell>
          <cell r="K107">
            <v>-4.0000000000000036E-2</v>
          </cell>
          <cell r="M107">
            <v>7.91</v>
          </cell>
          <cell r="N107" t="str">
            <v/>
          </cell>
          <cell r="X107" t="str">
            <v/>
          </cell>
          <cell r="AA107" t="str">
            <v/>
          </cell>
          <cell r="AE107">
            <v>0.35</v>
          </cell>
          <cell r="AF107" t="str">
            <v/>
          </cell>
          <cell r="AI107">
            <v>-1</v>
          </cell>
          <cell r="AJ107" t="str">
            <v/>
          </cell>
          <cell r="AM107" t="str">
            <v/>
          </cell>
          <cell r="AN107" t="str">
            <v/>
          </cell>
          <cell r="BG107" t="str">
            <v/>
          </cell>
          <cell r="BK107" t="str">
            <v/>
          </cell>
          <cell r="BL107" t="str">
            <v/>
          </cell>
          <cell r="BO107">
            <v>7.65</v>
          </cell>
          <cell r="BP107">
            <v>7.91</v>
          </cell>
          <cell r="BQ107">
            <v>7.91</v>
          </cell>
          <cell r="BU107" t="str">
            <v/>
          </cell>
          <cell r="BW107">
            <v>0</v>
          </cell>
          <cell r="BX107">
            <v>0</v>
          </cell>
          <cell r="BY107">
            <v>0</v>
          </cell>
          <cell r="BZ107">
            <v>0.23</v>
          </cell>
          <cell r="CA107">
            <v>0.23</v>
          </cell>
          <cell r="CB107">
            <v>0.23</v>
          </cell>
        </row>
        <row r="108">
          <cell r="A108">
            <v>33123</v>
          </cell>
          <cell r="D108" t="str">
            <v>90M35</v>
          </cell>
          <cell r="E108" t="str">
            <v>89-A</v>
          </cell>
          <cell r="F108" t="str">
            <v>I</v>
          </cell>
          <cell r="G108" t="str">
            <v>9/3</v>
          </cell>
          <cell r="H108">
            <v>1.2</v>
          </cell>
          <cell r="I108">
            <v>3.29</v>
          </cell>
          <cell r="J108">
            <v>3.33</v>
          </cell>
          <cell r="K108">
            <v>-4.0000000000000036E-2</v>
          </cell>
          <cell r="M108">
            <v>1.2400000000000002</v>
          </cell>
          <cell r="N108" t="str">
            <v/>
          </cell>
          <cell r="X108" t="str">
            <v/>
          </cell>
          <cell r="AA108" t="str">
            <v/>
          </cell>
          <cell r="AF108" t="str">
            <v/>
          </cell>
          <cell r="AJ108" t="str">
            <v/>
          </cell>
          <cell r="AM108" t="str">
            <v/>
          </cell>
          <cell r="AN108" t="str">
            <v/>
          </cell>
          <cell r="BG108" t="str">
            <v/>
          </cell>
          <cell r="BK108" t="str">
            <v/>
          </cell>
          <cell r="BL108" t="str">
            <v/>
          </cell>
          <cell r="BO108">
            <v>7.65</v>
          </cell>
          <cell r="BP108">
            <v>1.2400000000000002</v>
          </cell>
          <cell r="BQ108">
            <v>1.2400000000000002</v>
          </cell>
          <cell r="BU108" t="str">
            <v/>
          </cell>
          <cell r="BW108">
            <v>0</v>
          </cell>
          <cell r="BX108">
            <v>0</v>
          </cell>
          <cell r="BY108">
            <v>0</v>
          </cell>
          <cell r="BZ108">
            <v>-5.77</v>
          </cell>
          <cell r="CA108">
            <v>-5.77</v>
          </cell>
          <cell r="CB108">
            <v>-5.77</v>
          </cell>
        </row>
        <row r="109">
          <cell r="D109" t="str">
            <v>bn 1990</v>
          </cell>
          <cell r="F109" t="str">
            <v>I</v>
          </cell>
          <cell r="M109" t="e">
            <v>#VALUE!</v>
          </cell>
          <cell r="BO109">
            <v>7.91</v>
          </cell>
          <cell r="BP109" t="e">
            <v>#VALUE!</v>
          </cell>
          <cell r="BQ109" t="e">
            <v>#VALUE!</v>
          </cell>
          <cell r="BU109" t="str">
            <v/>
          </cell>
          <cell r="BW109">
            <v>0</v>
          </cell>
          <cell r="BX109">
            <v>0</v>
          </cell>
          <cell r="BY109">
            <v>0</v>
          </cell>
          <cell r="BZ109" t="e">
            <v>#VALUE!</v>
          </cell>
          <cell r="CA109" t="e">
            <v>#VALUE!</v>
          </cell>
          <cell r="CB109" t="e">
            <v>#VALUE!</v>
          </cell>
        </row>
        <row r="110">
          <cell r="D110" t="str">
            <v>1990 HY end</v>
          </cell>
        </row>
        <row r="111">
          <cell r="K111" t="str">
            <v/>
          </cell>
          <cell r="N111" t="str">
            <v/>
          </cell>
          <cell r="X111" t="str">
            <v/>
          </cell>
          <cell r="AA111" t="str">
            <v/>
          </cell>
          <cell r="AF111" t="str">
            <v/>
          </cell>
          <cell r="AJ111" t="str">
            <v/>
          </cell>
          <cell r="AM111" t="str">
            <v/>
          </cell>
          <cell r="AN111" t="str">
            <v/>
          </cell>
          <cell r="BG111" t="str">
            <v/>
          </cell>
          <cell r="BK111" t="str">
            <v/>
          </cell>
          <cell r="BL111" t="str">
            <v/>
          </cell>
          <cell r="BP111" t="str">
            <v/>
          </cell>
          <cell r="BQ111" t="str">
            <v/>
          </cell>
          <cell r="BU111" t="str">
            <v/>
          </cell>
        </row>
        <row r="112">
          <cell r="A112">
            <v>33123</v>
          </cell>
          <cell r="D112" t="str">
            <v>90M35</v>
          </cell>
          <cell r="E112" t="str">
            <v>90-A</v>
          </cell>
          <cell r="F112" t="str">
            <v>I</v>
          </cell>
          <cell r="G112" t="str">
            <v>0/12</v>
          </cell>
          <cell r="H112">
            <v>8.1</v>
          </cell>
          <cell r="K112" t="str">
            <v/>
          </cell>
          <cell r="M112">
            <v>8.1</v>
          </cell>
          <cell r="N112" t="str">
            <v/>
          </cell>
          <cell r="X112" t="str">
            <v/>
          </cell>
          <cell r="AA112" t="str">
            <v/>
          </cell>
          <cell r="AF112" t="str">
            <v/>
          </cell>
          <cell r="AJ112" t="str">
            <v/>
          </cell>
          <cell r="AM112" t="str">
            <v/>
          </cell>
          <cell r="AN112" t="str">
            <v/>
          </cell>
          <cell r="BG112" t="str">
            <v/>
          </cell>
          <cell r="BK112" t="str">
            <v/>
          </cell>
          <cell r="BL112" t="str">
            <v/>
          </cell>
          <cell r="BO112">
            <v>8.1</v>
          </cell>
          <cell r="BP112">
            <v>8.1</v>
          </cell>
          <cell r="BQ112">
            <v>8.1</v>
          </cell>
          <cell r="BU112" t="str">
            <v/>
          </cell>
          <cell r="BW112">
            <v>0</v>
          </cell>
          <cell r="BX112">
            <v>0</v>
          </cell>
          <cell r="BY112">
            <v>0</v>
          </cell>
          <cell r="BZ112">
            <v>0</v>
          </cell>
          <cell r="CA112">
            <v>0</v>
          </cell>
          <cell r="CB112">
            <v>0</v>
          </cell>
        </row>
        <row r="113">
          <cell r="D113" t="str">
            <v>bn 1990</v>
          </cell>
          <cell r="F113" t="str">
            <v>I</v>
          </cell>
          <cell r="M113" t="e">
            <v>#VALUE!</v>
          </cell>
        </row>
        <row r="114">
          <cell r="D114" t="str">
            <v>1990 HY end</v>
          </cell>
        </row>
        <row r="115">
          <cell r="A115">
            <v>33245</v>
          </cell>
          <cell r="D115" t="str">
            <v>91M6</v>
          </cell>
          <cell r="E115" t="str">
            <v>90-A</v>
          </cell>
          <cell r="F115" t="str">
            <v>S</v>
          </cell>
          <cell r="G115" t="str">
            <v>12/12</v>
          </cell>
          <cell r="H115">
            <v>7.75</v>
          </cell>
          <cell r="I115">
            <v>3.3</v>
          </cell>
          <cell r="J115">
            <v>3.26</v>
          </cell>
          <cell r="K115">
            <v>4.0000000000000036E-2</v>
          </cell>
          <cell r="M115">
            <v>7.71</v>
          </cell>
          <cell r="N115" t="str">
            <v/>
          </cell>
          <cell r="U115">
            <v>0.12000000000000002</v>
          </cell>
          <cell r="V115">
            <v>10</v>
          </cell>
          <cell r="X115" t="e">
            <v>#VALUE!</v>
          </cell>
          <cell r="AA115">
            <v>10</v>
          </cell>
          <cell r="AE115">
            <v>0.37</v>
          </cell>
          <cell r="AF115">
            <v>0.37</v>
          </cell>
          <cell r="AI115">
            <v>-1</v>
          </cell>
          <cell r="AJ115" t="str">
            <v/>
          </cell>
          <cell r="AM115" t="e">
            <v>#VALUE!</v>
          </cell>
          <cell r="AN115" t="e">
            <v>#VALUE!</v>
          </cell>
          <cell r="BG115" t="str">
            <v/>
          </cell>
          <cell r="BK115" t="str">
            <v/>
          </cell>
          <cell r="BL115" t="str">
            <v/>
          </cell>
          <cell r="BO115" t="e">
            <v>#VALUE!</v>
          </cell>
          <cell r="BP115" t="e">
            <v>#VALUE!</v>
          </cell>
          <cell r="BQ115" t="e">
            <v>#VALUE!</v>
          </cell>
          <cell r="BU115" t="e">
            <v>#VALUE!</v>
          </cell>
          <cell r="BW115">
            <v>0</v>
          </cell>
          <cell r="BX115">
            <v>0</v>
          </cell>
          <cell r="BY115">
            <v>0</v>
          </cell>
          <cell r="BZ115">
            <v>0</v>
          </cell>
          <cell r="CA115" t="e">
            <v>#VALUE!</v>
          </cell>
          <cell r="CB115">
            <v>0</v>
          </cell>
        </row>
        <row r="116">
          <cell r="A116">
            <v>33371</v>
          </cell>
          <cell r="D116" t="str">
            <v>91M16</v>
          </cell>
          <cell r="E116" t="str">
            <v>90-A</v>
          </cell>
          <cell r="F116" t="str">
            <v>S</v>
          </cell>
          <cell r="G116" t="str">
            <v>12/9</v>
          </cell>
          <cell r="I116">
            <v>0</v>
          </cell>
          <cell r="J116">
            <v>0</v>
          </cell>
          <cell r="M116" t="str">
            <v/>
          </cell>
          <cell r="N116" t="str">
            <v/>
          </cell>
          <cell r="X116" t="str">
            <v/>
          </cell>
          <cell r="AA116" t="str">
            <v/>
          </cell>
          <cell r="AE116">
            <v>0.37</v>
          </cell>
          <cell r="AF116" t="str">
            <v/>
          </cell>
          <cell r="AI116">
            <v>-1</v>
          </cell>
          <cell r="AJ116" t="str">
            <v/>
          </cell>
          <cell r="AM116" t="str">
            <v/>
          </cell>
          <cell r="AN116" t="str">
            <v/>
          </cell>
          <cell r="BG116" t="str">
            <v/>
          </cell>
          <cell r="BK116" t="str">
            <v/>
          </cell>
          <cell r="BL116" t="str">
            <v/>
          </cell>
          <cell r="BO116" t="e">
            <v>#VALUE!</v>
          </cell>
          <cell r="BP116" t="str">
            <v/>
          </cell>
          <cell r="BQ116" t="str">
            <v/>
          </cell>
          <cell r="BU116" t="e">
            <v>#VALUE!</v>
          </cell>
          <cell r="BW116">
            <v>0</v>
          </cell>
          <cell r="BX116">
            <v>0</v>
          </cell>
          <cell r="BY116">
            <v>0</v>
          </cell>
          <cell r="BZ116">
            <v>0</v>
          </cell>
          <cell r="CA116" t="e">
            <v>#VALUE!</v>
          </cell>
          <cell r="CB116">
            <v>0</v>
          </cell>
        </row>
        <row r="117">
          <cell r="A117">
            <v>33493</v>
          </cell>
          <cell r="D117" t="str">
            <v>91M32</v>
          </cell>
          <cell r="E117" t="str">
            <v>90-A</v>
          </cell>
          <cell r="F117" t="str">
            <v>I</v>
          </cell>
          <cell r="G117" t="str">
            <v>9/6</v>
          </cell>
          <cell r="H117">
            <v>3.48</v>
          </cell>
          <cell r="I117">
            <v>3.57</v>
          </cell>
          <cell r="J117">
            <v>3.57</v>
          </cell>
          <cell r="K117" t="str">
            <v/>
          </cell>
          <cell r="M117">
            <v>3.48</v>
          </cell>
          <cell r="N117" t="str">
            <v/>
          </cell>
          <cell r="X117" t="str">
            <v/>
          </cell>
          <cell r="AA117" t="str">
            <v/>
          </cell>
          <cell r="AF117" t="str">
            <v/>
          </cell>
          <cell r="AJ117" t="str">
            <v/>
          </cell>
          <cell r="AM117" t="str">
            <v/>
          </cell>
          <cell r="AN117" t="str">
            <v/>
          </cell>
          <cell r="BG117" t="str">
            <v/>
          </cell>
          <cell r="BK117" t="str">
            <v/>
          </cell>
          <cell r="BL117" t="str">
            <v/>
          </cell>
          <cell r="BO117" t="e">
            <v>#VALUE!</v>
          </cell>
          <cell r="BP117">
            <v>3.48</v>
          </cell>
          <cell r="BQ117">
            <v>3.48</v>
          </cell>
          <cell r="BU117" t="str">
            <v/>
          </cell>
          <cell r="BW117">
            <v>0</v>
          </cell>
          <cell r="BX117">
            <v>0</v>
          </cell>
          <cell r="BY117">
            <v>0</v>
          </cell>
          <cell r="BZ117">
            <v>0</v>
          </cell>
          <cell r="CA117">
            <v>0</v>
          </cell>
          <cell r="CB117">
            <v>0</v>
          </cell>
        </row>
        <row r="118">
          <cell r="A118">
            <v>33499</v>
          </cell>
          <cell r="D118" t="str">
            <v>91M39</v>
          </cell>
          <cell r="E118" t="str">
            <v>90-A</v>
          </cell>
          <cell r="F118" t="str">
            <v>I</v>
          </cell>
          <cell r="G118" t="str">
            <v>9/6</v>
          </cell>
          <cell r="H118">
            <v>3.15</v>
          </cell>
          <cell r="K118" t="str">
            <v/>
          </cell>
          <cell r="M118">
            <v>3.15</v>
          </cell>
          <cell r="N118" t="str">
            <v/>
          </cell>
          <cell r="X118" t="str">
            <v/>
          </cell>
          <cell r="AA118" t="str">
            <v/>
          </cell>
          <cell r="AF118" t="str">
            <v/>
          </cell>
          <cell r="AJ118" t="str">
            <v/>
          </cell>
          <cell r="AM118" t="str">
            <v/>
          </cell>
          <cell r="AN118" t="str">
            <v/>
          </cell>
          <cell r="BG118" t="str">
            <v/>
          </cell>
          <cell r="BK118" t="str">
            <v/>
          </cell>
          <cell r="BL118" t="str">
            <v/>
          </cell>
          <cell r="BO118" t="e">
            <v>#VALUE!</v>
          </cell>
          <cell r="BP118">
            <v>3.15</v>
          </cell>
          <cell r="BQ118">
            <v>3.15</v>
          </cell>
          <cell r="BU118" t="str">
            <v/>
          </cell>
          <cell r="BW118">
            <v>0</v>
          </cell>
          <cell r="BX118">
            <v>0</v>
          </cell>
          <cell r="BY118">
            <v>0</v>
          </cell>
          <cell r="BZ118">
            <v>0</v>
          </cell>
          <cell r="CA118">
            <v>0</v>
          </cell>
          <cell r="CB118">
            <v>0</v>
          </cell>
        </row>
        <row r="119">
          <cell r="D119" t="str">
            <v>bn 1991</v>
          </cell>
          <cell r="F119" t="str">
            <v>I</v>
          </cell>
          <cell r="M119" t="e">
            <v>#VALUE!</v>
          </cell>
          <cell r="BO119" t="str">
            <v/>
          </cell>
          <cell r="BP119" t="e">
            <v>#VALUE!</v>
          </cell>
          <cell r="BQ119" t="e">
            <v>#VALUE!</v>
          </cell>
          <cell r="BU119" t="str">
            <v/>
          </cell>
          <cell r="BW119">
            <v>0</v>
          </cell>
          <cell r="BX119">
            <v>0</v>
          </cell>
          <cell r="BY119">
            <v>0</v>
          </cell>
          <cell r="BZ119">
            <v>0</v>
          </cell>
          <cell r="CA119">
            <v>0</v>
          </cell>
          <cell r="CB119">
            <v>0</v>
          </cell>
        </row>
        <row r="120">
          <cell r="D120" t="str">
            <v>1991 HY end</v>
          </cell>
        </row>
        <row r="121">
          <cell r="K121" t="str">
            <v/>
          </cell>
          <cell r="N121" t="str">
            <v/>
          </cell>
          <cell r="X121" t="str">
            <v/>
          </cell>
          <cell r="AA121" t="str">
            <v/>
          </cell>
          <cell r="AF121" t="str">
            <v/>
          </cell>
          <cell r="AJ121" t="str">
            <v/>
          </cell>
          <cell r="AM121" t="str">
            <v/>
          </cell>
          <cell r="AN121" t="str">
            <v/>
          </cell>
          <cell r="BG121" t="str">
            <v/>
          </cell>
          <cell r="BK121" t="str">
            <v/>
          </cell>
          <cell r="BL121" t="str">
            <v/>
          </cell>
          <cell r="BP121" t="str">
            <v/>
          </cell>
          <cell r="BQ121" t="str">
            <v/>
          </cell>
          <cell r="BU121" t="str">
            <v/>
          </cell>
        </row>
        <row r="122">
          <cell r="A122">
            <v>33499</v>
          </cell>
          <cell r="D122" t="str">
            <v>91M39</v>
          </cell>
          <cell r="E122" t="str">
            <v>91-A</v>
          </cell>
          <cell r="F122" t="str">
            <v>I</v>
          </cell>
          <cell r="G122" t="str">
            <v>0/12</v>
          </cell>
          <cell r="H122">
            <v>8.9</v>
          </cell>
          <cell r="K122" t="str">
            <v/>
          </cell>
          <cell r="M122">
            <v>8.9</v>
          </cell>
          <cell r="N122" t="str">
            <v/>
          </cell>
          <cell r="X122" t="str">
            <v/>
          </cell>
          <cell r="AA122" t="str">
            <v/>
          </cell>
          <cell r="AF122" t="str">
            <v/>
          </cell>
          <cell r="AJ122" t="str">
            <v/>
          </cell>
          <cell r="AM122" t="str">
            <v/>
          </cell>
          <cell r="AN122" t="str">
            <v/>
          </cell>
          <cell r="BG122" t="str">
            <v/>
          </cell>
          <cell r="BK122" t="str">
            <v/>
          </cell>
          <cell r="BL122" t="str">
            <v/>
          </cell>
          <cell r="BP122">
            <v>8.9</v>
          </cell>
          <cell r="BQ122">
            <v>8.9</v>
          </cell>
          <cell r="BU122" t="str">
            <v/>
          </cell>
          <cell r="BW122">
            <v>0</v>
          </cell>
          <cell r="BX122">
            <v>0</v>
          </cell>
          <cell r="BY122">
            <v>0</v>
          </cell>
          <cell r="BZ122">
            <v>0</v>
          </cell>
          <cell r="CA122">
            <v>0</v>
          </cell>
          <cell r="CB122">
            <v>0</v>
          </cell>
        </row>
        <row r="123">
          <cell r="D123" t="str">
            <v>bn 1991</v>
          </cell>
          <cell r="F123" t="str">
            <v>I</v>
          </cell>
          <cell r="M123" t="e">
            <v>#VALUE!</v>
          </cell>
        </row>
        <row r="124">
          <cell r="D124" t="str">
            <v>1991 HY end</v>
          </cell>
        </row>
        <row r="125">
          <cell r="A125">
            <v>33626</v>
          </cell>
          <cell r="D125" t="str">
            <v>92M3&amp;7</v>
          </cell>
          <cell r="E125" t="str">
            <v>91-A</v>
          </cell>
          <cell r="F125" t="str">
            <v>S</v>
          </cell>
          <cell r="I125">
            <v>3.29</v>
          </cell>
          <cell r="J125">
            <v>3.24</v>
          </cell>
          <cell r="K125">
            <v>4.9999999999999822E-2</v>
          </cell>
          <cell r="M125">
            <v>3.24</v>
          </cell>
          <cell r="N125" t="str">
            <v/>
          </cell>
          <cell r="X125" t="str">
            <v/>
          </cell>
          <cell r="AA125" t="str">
            <v/>
          </cell>
          <cell r="AE125">
            <v>0.39</v>
          </cell>
          <cell r="AF125" t="str">
            <v/>
          </cell>
          <cell r="AI125">
            <v>-1</v>
          </cell>
          <cell r="AJ125" t="str">
            <v/>
          </cell>
          <cell r="AM125" t="e">
            <v>#VALUE!</v>
          </cell>
          <cell r="AN125" t="e">
            <v>#VALUE!</v>
          </cell>
          <cell r="BG125" t="str">
            <v/>
          </cell>
          <cell r="BK125" t="str">
            <v/>
          </cell>
          <cell r="BL125" t="str">
            <v/>
          </cell>
          <cell r="BO125" t="e">
            <v>#VALUE!</v>
          </cell>
          <cell r="BP125" t="e">
            <v>#VALUE!</v>
          </cell>
          <cell r="BQ125" t="e">
            <v>#VALUE!</v>
          </cell>
          <cell r="BU125" t="e">
            <v>#VALUE!</v>
          </cell>
          <cell r="BW125">
            <v>0</v>
          </cell>
          <cell r="BX125">
            <v>0</v>
          </cell>
          <cell r="BY125">
            <v>0</v>
          </cell>
          <cell r="BZ125">
            <v>0</v>
          </cell>
          <cell r="CA125" t="e">
            <v>#VALUE!</v>
          </cell>
          <cell r="CB125">
            <v>0</v>
          </cell>
        </row>
        <row r="126">
          <cell r="A126">
            <v>33737</v>
          </cell>
          <cell r="D126" t="str">
            <v>92M12,14</v>
          </cell>
          <cell r="E126" t="str">
            <v>91-A</v>
          </cell>
          <cell r="F126" t="str">
            <v>S</v>
          </cell>
          <cell r="H126">
            <v>10.73</v>
          </cell>
          <cell r="I126">
            <v>0</v>
          </cell>
          <cell r="J126">
            <v>0</v>
          </cell>
          <cell r="K126" t="str">
            <v/>
          </cell>
          <cell r="M126">
            <v>10.73</v>
          </cell>
          <cell r="N126" t="str">
            <v/>
          </cell>
          <cell r="U126">
            <v>1.8233333333333333</v>
          </cell>
          <cell r="V126">
            <v>6</v>
          </cell>
          <cell r="X126" t="e">
            <v>#VALUE!</v>
          </cell>
          <cell r="AA126">
            <v>6</v>
          </cell>
          <cell r="AE126">
            <v>0.39</v>
          </cell>
          <cell r="AF126">
            <v>0.39</v>
          </cell>
          <cell r="AI126">
            <v>-1</v>
          </cell>
          <cell r="AJ126" t="str">
            <v/>
          </cell>
          <cell r="AM126" t="e">
            <v>#VALUE!</v>
          </cell>
          <cell r="AN126" t="e">
            <v>#VALUE!</v>
          </cell>
          <cell r="BG126" t="str">
            <v/>
          </cell>
          <cell r="BK126" t="str">
            <v/>
          </cell>
          <cell r="BL126" t="str">
            <v/>
          </cell>
          <cell r="BO126" t="e">
            <v>#VALUE!</v>
          </cell>
          <cell r="BP126" t="e">
            <v>#VALUE!</v>
          </cell>
          <cell r="BQ126" t="e">
            <v>#VALUE!</v>
          </cell>
          <cell r="BU126" t="e">
            <v>#VALUE!</v>
          </cell>
          <cell r="BW126">
            <v>0</v>
          </cell>
          <cell r="BX126">
            <v>0</v>
          </cell>
          <cell r="BY126">
            <v>0</v>
          </cell>
          <cell r="BZ126">
            <v>0</v>
          </cell>
          <cell r="CA126" t="e">
            <v>#VALUE!</v>
          </cell>
          <cell r="CB126">
            <v>0</v>
          </cell>
        </row>
        <row r="127">
          <cell r="A127">
            <v>33853</v>
          </cell>
          <cell r="D127" t="str">
            <v>92M61</v>
          </cell>
          <cell r="E127" t="str">
            <v>91-A</v>
          </cell>
          <cell r="F127" t="str">
            <v>I</v>
          </cell>
          <cell r="G127" t="str">
            <v>12/9</v>
          </cell>
          <cell r="I127">
            <v>4.79</v>
          </cell>
          <cell r="J127">
            <v>4.5999999999999996</v>
          </cell>
          <cell r="K127">
            <v>0.19000000000000039</v>
          </cell>
          <cell r="M127">
            <v>4.5999999999999996</v>
          </cell>
          <cell r="N127" t="str">
            <v/>
          </cell>
          <cell r="X127" t="str">
            <v/>
          </cell>
          <cell r="AA127" t="str">
            <v/>
          </cell>
          <cell r="AF127" t="str">
            <v/>
          </cell>
          <cell r="AJ127" t="str">
            <v/>
          </cell>
          <cell r="AM127" t="str">
            <v/>
          </cell>
          <cell r="AN127" t="str">
            <v/>
          </cell>
          <cell r="BG127" t="str">
            <v/>
          </cell>
          <cell r="BK127" t="str">
            <v/>
          </cell>
          <cell r="BL127" t="str">
            <v/>
          </cell>
          <cell r="BO127" t="e">
            <v>#VALUE!</v>
          </cell>
          <cell r="BP127">
            <v>4.5999999999999996</v>
          </cell>
          <cell r="BQ127">
            <v>4.5999999999999996</v>
          </cell>
          <cell r="BU127" t="str">
            <v/>
          </cell>
          <cell r="BW127">
            <v>0</v>
          </cell>
          <cell r="BX127">
            <v>0</v>
          </cell>
          <cell r="BY127">
            <v>0</v>
          </cell>
          <cell r="BZ127">
            <v>0</v>
          </cell>
          <cell r="CA127">
            <v>0</v>
          </cell>
          <cell r="CB127">
            <v>0</v>
          </cell>
        </row>
        <row r="128">
          <cell r="D128" t="str">
            <v>bn 1992</v>
          </cell>
          <cell r="F128" t="str">
            <v>I</v>
          </cell>
          <cell r="M128">
            <v>4.54</v>
          </cell>
          <cell r="BO128" t="e">
            <v>#VALUE!</v>
          </cell>
          <cell r="BP128">
            <v>4.54</v>
          </cell>
          <cell r="BQ128">
            <v>4.54</v>
          </cell>
          <cell r="BU128" t="str">
            <v/>
          </cell>
          <cell r="BW128">
            <v>0</v>
          </cell>
          <cell r="BX128">
            <v>0</v>
          </cell>
          <cell r="BY128">
            <v>0</v>
          </cell>
          <cell r="BZ128">
            <v>0</v>
          </cell>
          <cell r="CA128">
            <v>0</v>
          </cell>
          <cell r="CB128">
            <v>0</v>
          </cell>
        </row>
        <row r="129">
          <cell r="D129" t="str">
            <v>1992 HY end</v>
          </cell>
        </row>
        <row r="130">
          <cell r="A130">
            <v>34009</v>
          </cell>
          <cell r="D130" t="str">
            <v>93M5</v>
          </cell>
          <cell r="E130" t="str">
            <v>91-A</v>
          </cell>
          <cell r="F130" t="str">
            <v>S</v>
          </cell>
          <cell r="I130">
            <v>4.47</v>
          </cell>
          <cell r="J130">
            <v>4.3899999999999997</v>
          </cell>
          <cell r="K130">
            <v>8.0000000000000071E-2</v>
          </cell>
          <cell r="M130">
            <v>4.3899999999999997</v>
          </cell>
          <cell r="N130" t="str">
            <v/>
          </cell>
          <cell r="U130">
            <v>-0.15000000000000036</v>
          </cell>
          <cell r="V130">
            <v>1</v>
          </cell>
          <cell r="X130" t="e">
            <v>#VALUE!</v>
          </cell>
          <cell r="AA130">
            <v>1</v>
          </cell>
          <cell r="AE130">
            <v>0.39</v>
          </cell>
          <cell r="AF130">
            <v>0.39</v>
          </cell>
          <cell r="AI130">
            <v>-1</v>
          </cell>
          <cell r="AJ130" t="str">
            <v/>
          </cell>
          <cell r="AM130" t="e">
            <v>#VALUE!</v>
          </cell>
          <cell r="AN130" t="e">
            <v>#VALUE!</v>
          </cell>
          <cell r="BG130" t="str">
            <v/>
          </cell>
          <cell r="BK130" t="str">
            <v/>
          </cell>
          <cell r="BL130" t="str">
            <v/>
          </cell>
          <cell r="BO130" t="e">
            <v>#VALUE!</v>
          </cell>
          <cell r="BP130" t="e">
            <v>#VALUE!</v>
          </cell>
          <cell r="BQ130" t="e">
            <v>#VALUE!</v>
          </cell>
          <cell r="BU130" t="e">
            <v>#VALUE!</v>
          </cell>
          <cell r="BW130">
            <v>0</v>
          </cell>
          <cell r="BX130">
            <v>0</v>
          </cell>
          <cell r="BY130">
            <v>0</v>
          </cell>
          <cell r="BZ130">
            <v>0</v>
          </cell>
          <cell r="CA130" t="e">
            <v>#VALUE!</v>
          </cell>
          <cell r="CB130">
            <v>0</v>
          </cell>
        </row>
        <row r="131">
          <cell r="A131">
            <v>34105</v>
          </cell>
          <cell r="D131" t="str">
            <v>93M7</v>
          </cell>
          <cell r="E131" t="str">
            <v>91-A</v>
          </cell>
          <cell r="F131" t="str">
            <v>S</v>
          </cell>
          <cell r="G131" t="str">
            <v>13.?/12</v>
          </cell>
          <cell r="I131">
            <v>4.9000000000000004</v>
          </cell>
          <cell r="J131">
            <v>4.8499999999999996</v>
          </cell>
          <cell r="K131">
            <v>5.0000000000000711E-2</v>
          </cell>
          <cell r="M131">
            <v>4.8499999999999996</v>
          </cell>
          <cell r="N131" t="str">
            <v/>
          </cell>
          <cell r="X131" t="str">
            <v/>
          </cell>
          <cell r="AA131" t="str">
            <v/>
          </cell>
          <cell r="AE131">
            <v>0.39</v>
          </cell>
          <cell r="AF131" t="str">
            <v/>
          </cell>
          <cell r="AI131">
            <v>-1</v>
          </cell>
          <cell r="AJ131" t="str">
            <v/>
          </cell>
          <cell r="AM131" t="e">
            <v>#VALUE!</v>
          </cell>
          <cell r="AN131" t="e">
            <v>#VALUE!</v>
          </cell>
          <cell r="BG131" t="str">
            <v/>
          </cell>
          <cell r="BK131" t="str">
            <v/>
          </cell>
          <cell r="BL131" t="str">
            <v/>
          </cell>
          <cell r="BO131" t="e">
            <v>#VALUE!</v>
          </cell>
          <cell r="BP131" t="e">
            <v>#VALUE!</v>
          </cell>
          <cell r="BQ131" t="e">
            <v>#VALUE!</v>
          </cell>
          <cell r="BU131" t="e">
            <v>#VALUE!</v>
          </cell>
          <cell r="BW131">
            <v>0</v>
          </cell>
          <cell r="BX131">
            <v>0</v>
          </cell>
          <cell r="BY131">
            <v>0</v>
          </cell>
          <cell r="BZ131">
            <v>0</v>
          </cell>
          <cell r="CA131" t="e">
            <v>#VALUE!</v>
          </cell>
          <cell r="CB131">
            <v>0</v>
          </cell>
        </row>
        <row r="132">
          <cell r="A132">
            <v>34222</v>
          </cell>
          <cell r="D132" t="str">
            <v>93M32</v>
          </cell>
          <cell r="E132" t="str">
            <v>91-A</v>
          </cell>
          <cell r="F132" t="str">
            <v>I</v>
          </cell>
          <cell r="G132" t="str">
            <v>?/0</v>
          </cell>
          <cell r="H132" t="str">
            <v>STAKE MELTED OUT</v>
          </cell>
          <cell r="K132" t="str">
            <v/>
          </cell>
          <cell r="M132" t="str">
            <v>&lt;0</v>
          </cell>
          <cell r="N132" t="str">
            <v/>
          </cell>
          <cell r="X132" t="str">
            <v/>
          </cell>
          <cell r="AA132" t="str">
            <v/>
          </cell>
          <cell r="AF132" t="str">
            <v/>
          </cell>
          <cell r="AJ132" t="str">
            <v/>
          </cell>
          <cell r="AM132" t="str">
            <v/>
          </cell>
          <cell r="AN132" t="str">
            <v/>
          </cell>
          <cell r="BG132" t="str">
            <v/>
          </cell>
          <cell r="BK132" t="str">
            <v/>
          </cell>
          <cell r="BL132" t="str">
            <v/>
          </cell>
          <cell r="BO132" t="e">
            <v>#VALUE!</v>
          </cell>
          <cell r="BP132" t="str">
            <v>&lt;0</v>
          </cell>
          <cell r="BQ132">
            <v>0</v>
          </cell>
          <cell r="BU132" t="str">
            <v/>
          </cell>
          <cell r="BW132">
            <v>0</v>
          </cell>
          <cell r="BX132">
            <v>0</v>
          </cell>
          <cell r="BY132">
            <v>0</v>
          </cell>
          <cell r="BZ132">
            <v>0</v>
          </cell>
          <cell r="CA132">
            <v>0</v>
          </cell>
          <cell r="CB132">
            <v>0</v>
          </cell>
        </row>
        <row r="133">
          <cell r="K133" t="str">
            <v/>
          </cell>
          <cell r="N133" t="str">
            <v/>
          </cell>
          <cell r="X133" t="str">
            <v/>
          </cell>
          <cell r="AA133" t="str">
            <v/>
          </cell>
          <cell r="AF133" t="str">
            <v/>
          </cell>
          <cell r="AJ133" t="str">
            <v/>
          </cell>
          <cell r="AM133" t="str">
            <v/>
          </cell>
          <cell r="AN133" t="str">
            <v/>
          </cell>
          <cell r="BG133" t="str">
            <v/>
          </cell>
          <cell r="BK133" t="str">
            <v/>
          </cell>
          <cell r="BL133" t="str">
            <v/>
          </cell>
          <cell r="BP133" t="str">
            <v/>
          </cell>
          <cell r="BQ133" t="str">
            <v/>
          </cell>
          <cell r="BU133" t="str">
            <v/>
          </cell>
        </row>
        <row r="134">
          <cell r="A134">
            <v>33854</v>
          </cell>
          <cell r="D134" t="str">
            <v>92M63</v>
          </cell>
          <cell r="E134" t="str">
            <v>92-A</v>
          </cell>
          <cell r="F134" t="str">
            <v>I</v>
          </cell>
          <cell r="G134" t="str">
            <v>0/12</v>
          </cell>
          <cell r="H134">
            <v>8</v>
          </cell>
          <cell r="I134">
            <v>0</v>
          </cell>
          <cell r="J134">
            <v>0</v>
          </cell>
          <cell r="K134" t="str">
            <v/>
          </cell>
          <cell r="M134">
            <v>8</v>
          </cell>
          <cell r="N134" t="str">
            <v/>
          </cell>
          <cell r="X134" t="str">
            <v/>
          </cell>
          <cell r="AA134" t="str">
            <v/>
          </cell>
          <cell r="AF134" t="str">
            <v/>
          </cell>
          <cell r="AJ134" t="str">
            <v/>
          </cell>
          <cell r="AM134" t="str">
            <v/>
          </cell>
          <cell r="AN134" t="str">
            <v/>
          </cell>
          <cell r="BG134" t="str">
            <v/>
          </cell>
          <cell r="BK134" t="str">
            <v/>
          </cell>
          <cell r="BL134" t="str">
            <v/>
          </cell>
          <cell r="BO134" t="e">
            <v>#VALUE!</v>
          </cell>
          <cell r="BP134">
            <v>8</v>
          </cell>
          <cell r="BQ134">
            <v>8</v>
          </cell>
          <cell r="BU134" t="str">
            <v/>
          </cell>
          <cell r="BW134">
            <v>0</v>
          </cell>
          <cell r="BX134">
            <v>0</v>
          </cell>
          <cell r="BY134">
            <v>0</v>
          </cell>
          <cell r="BZ134">
            <v>0</v>
          </cell>
          <cell r="CA134">
            <v>0</v>
          </cell>
          <cell r="CB134">
            <v>0</v>
          </cell>
          <cell r="CC134" t="str">
            <v>This -2.93 agrees with B(I) for stk 91-A makes bn=-7.25</v>
          </cell>
        </row>
        <row r="135">
          <cell r="D135" t="str">
            <v>bn 1992</v>
          </cell>
          <cell r="M135">
            <v>7.94</v>
          </cell>
          <cell r="BO135" t="e">
            <v>#VALUE!</v>
          </cell>
          <cell r="BP135">
            <v>7.94</v>
          </cell>
          <cell r="BQ135">
            <v>7.94</v>
          </cell>
          <cell r="BU135" t="str">
            <v/>
          </cell>
          <cell r="BW135">
            <v>0</v>
          </cell>
          <cell r="BX135">
            <v>0</v>
          </cell>
          <cell r="BY135">
            <v>0</v>
          </cell>
          <cell r="BZ135">
            <v>0</v>
          </cell>
          <cell r="CA135">
            <v>0</v>
          </cell>
          <cell r="CB135">
            <v>0</v>
          </cell>
        </row>
        <row r="136">
          <cell r="D136" t="str">
            <v>1992 HY end</v>
          </cell>
        </row>
        <row r="137">
          <cell r="A137">
            <v>34105</v>
          </cell>
          <cell r="D137" t="str">
            <v>92M17</v>
          </cell>
          <cell r="E137" t="str">
            <v>92-A</v>
          </cell>
          <cell r="F137" t="str">
            <v>S</v>
          </cell>
          <cell r="I137">
            <v>4.57</v>
          </cell>
          <cell r="J137">
            <v>4.51</v>
          </cell>
          <cell r="K137">
            <v>6.0000000000000497E-2</v>
          </cell>
          <cell r="M137">
            <v>4.51</v>
          </cell>
          <cell r="N137" t="str">
            <v/>
          </cell>
          <cell r="U137">
            <v>-3.4300000000000006</v>
          </cell>
          <cell r="V137">
            <v>1</v>
          </cell>
          <cell r="X137" t="e">
            <v>#VALUE!</v>
          </cell>
          <cell r="AA137">
            <v>1</v>
          </cell>
          <cell r="AE137">
            <v>0.39</v>
          </cell>
          <cell r="AF137">
            <v>0.39</v>
          </cell>
          <cell r="AI137">
            <v>-1</v>
          </cell>
          <cell r="AJ137" t="str">
            <v/>
          </cell>
          <cell r="AM137" t="e">
            <v>#VALUE!</v>
          </cell>
          <cell r="AN137" t="e">
            <v>#VALUE!</v>
          </cell>
          <cell r="BG137" t="str">
            <v/>
          </cell>
          <cell r="BK137" t="str">
            <v/>
          </cell>
          <cell r="BL137" t="str">
            <v/>
          </cell>
          <cell r="BO137" t="e">
            <v>#VALUE!</v>
          </cell>
          <cell r="BP137" t="e">
            <v>#VALUE!</v>
          </cell>
          <cell r="BQ137" t="e">
            <v>#VALUE!</v>
          </cell>
          <cell r="BU137" t="e">
            <v>#VALUE!</v>
          </cell>
          <cell r="BW137">
            <v>0</v>
          </cell>
          <cell r="BX137">
            <v>0</v>
          </cell>
          <cell r="BY137">
            <v>0</v>
          </cell>
          <cell r="BZ137">
            <v>0</v>
          </cell>
          <cell r="CA137" t="e">
            <v>#VALUE!</v>
          </cell>
          <cell r="CB137">
            <v>0</v>
          </cell>
        </row>
        <row r="138">
          <cell r="A138">
            <v>34222</v>
          </cell>
          <cell r="D138" t="str">
            <v>93M32,34,37</v>
          </cell>
          <cell r="E138" t="str">
            <v>92-A</v>
          </cell>
          <cell r="F138" t="str">
            <v>I</v>
          </cell>
          <cell r="G138" t="str">
            <v>12/8</v>
          </cell>
          <cell r="H138">
            <v>3.7</v>
          </cell>
          <cell r="I138">
            <v>6.83</v>
          </cell>
          <cell r="J138">
            <v>6.53</v>
          </cell>
          <cell r="K138">
            <v>0.29999999999999982</v>
          </cell>
          <cell r="M138">
            <v>3.4000000000000004</v>
          </cell>
          <cell r="N138" t="str">
            <v/>
          </cell>
          <cell r="X138" t="str">
            <v/>
          </cell>
          <cell r="AA138" t="str">
            <v/>
          </cell>
          <cell r="AF138" t="str">
            <v/>
          </cell>
          <cell r="AJ138" t="str">
            <v/>
          </cell>
          <cell r="AM138" t="str">
            <v/>
          </cell>
          <cell r="AN138" t="str">
            <v/>
          </cell>
          <cell r="BG138" t="str">
            <v/>
          </cell>
          <cell r="BK138" t="str">
            <v/>
          </cell>
          <cell r="BL138" t="str">
            <v/>
          </cell>
          <cell r="BO138" t="e">
            <v>#VALUE!</v>
          </cell>
          <cell r="BP138">
            <v>3.4000000000000004</v>
          </cell>
          <cell r="BQ138">
            <v>3.4000000000000004</v>
          </cell>
          <cell r="BU138" t="str">
            <v/>
          </cell>
          <cell r="BW138">
            <v>0</v>
          </cell>
          <cell r="BX138">
            <v>0</v>
          </cell>
          <cell r="BY138">
            <v>0</v>
          </cell>
          <cell r="BZ138">
            <v>0</v>
          </cell>
          <cell r="CA138">
            <v>0</v>
          </cell>
          <cell r="CB138">
            <v>0</v>
          </cell>
        </row>
        <row r="139">
          <cell r="A139">
            <v>34225</v>
          </cell>
          <cell r="D139" t="str">
            <v>93M37</v>
          </cell>
          <cell r="E139" t="str">
            <v>92-A</v>
          </cell>
          <cell r="F139" t="str">
            <v>I</v>
          </cell>
          <cell r="G139" t="str">
            <v>8/8</v>
          </cell>
          <cell r="H139">
            <v>3.4</v>
          </cell>
          <cell r="K139" t="str">
            <v/>
          </cell>
          <cell r="M139">
            <v>3.4</v>
          </cell>
          <cell r="N139" t="str">
            <v/>
          </cell>
          <cell r="X139" t="str">
            <v/>
          </cell>
          <cell r="AA139" t="str">
            <v/>
          </cell>
          <cell r="AF139" t="str">
            <v/>
          </cell>
          <cell r="AJ139" t="str">
            <v/>
          </cell>
          <cell r="AM139" t="str">
            <v/>
          </cell>
          <cell r="AN139" t="str">
            <v/>
          </cell>
          <cell r="BG139" t="str">
            <v/>
          </cell>
          <cell r="BK139" t="str">
            <v/>
          </cell>
          <cell r="BL139" t="str">
            <v/>
          </cell>
          <cell r="BO139" t="e">
            <v>#VALUE!</v>
          </cell>
          <cell r="BP139">
            <v>3.4</v>
          </cell>
          <cell r="BQ139">
            <v>3.4</v>
          </cell>
          <cell r="BU139" t="str">
            <v/>
          </cell>
          <cell r="BW139">
            <v>0</v>
          </cell>
          <cell r="BX139">
            <v>0</v>
          </cell>
          <cell r="BY139">
            <v>0</v>
          </cell>
          <cell r="BZ139">
            <v>0</v>
          </cell>
          <cell r="CA139">
            <v>0</v>
          </cell>
          <cell r="CB139">
            <v>0</v>
          </cell>
        </row>
        <row r="140">
          <cell r="D140" t="str">
            <v>bn 1993</v>
          </cell>
          <cell r="F140" t="str">
            <v>I</v>
          </cell>
          <cell r="M140" t="e">
            <v>#VALUE!</v>
          </cell>
          <cell r="N140" t="str">
            <v/>
          </cell>
          <cell r="BO140" t="e">
            <v>#VALUE!</v>
          </cell>
          <cell r="BP140" t="e">
            <v>#VALUE!</v>
          </cell>
          <cell r="BQ140" t="e">
            <v>#VALUE!</v>
          </cell>
          <cell r="BU140" t="str">
            <v/>
          </cell>
          <cell r="BW140">
            <v>0</v>
          </cell>
          <cell r="BX140">
            <v>0</v>
          </cell>
          <cell r="BY140">
            <v>0</v>
          </cell>
          <cell r="BZ140">
            <v>0</v>
          </cell>
          <cell r="CA140">
            <v>0</v>
          </cell>
          <cell r="CB140">
            <v>0</v>
          </cell>
        </row>
        <row r="141">
          <cell r="D141" t="str">
            <v>1993 HY end</v>
          </cell>
        </row>
        <row r="142">
          <cell r="A142">
            <v>34370</v>
          </cell>
          <cell r="D142" t="str">
            <v>94M4</v>
          </cell>
          <cell r="E142" t="str">
            <v>92-A</v>
          </cell>
          <cell r="F142" t="str">
            <v>S</v>
          </cell>
          <cell r="I142">
            <v>4.3600000000000003</v>
          </cell>
          <cell r="J142">
            <v>3.95</v>
          </cell>
          <cell r="K142">
            <v>0.41000000000000014</v>
          </cell>
          <cell r="M142">
            <v>3.95</v>
          </cell>
          <cell r="N142" t="str">
            <v/>
          </cell>
          <cell r="X142" t="str">
            <v/>
          </cell>
          <cell r="AA142" t="str">
            <v/>
          </cell>
          <cell r="AE142">
            <v>0.38</v>
          </cell>
          <cell r="AF142" t="str">
            <v/>
          </cell>
          <cell r="AI142">
            <v>-1</v>
          </cell>
          <cell r="AJ142" t="str">
            <v/>
          </cell>
          <cell r="AM142" t="e">
            <v>#VALUE!</v>
          </cell>
          <cell r="AN142" t="e">
            <v>#VALUE!</v>
          </cell>
          <cell r="BG142" t="str">
            <v/>
          </cell>
          <cell r="BK142" t="str">
            <v/>
          </cell>
          <cell r="BL142" t="str">
            <v/>
          </cell>
          <cell r="BO142" t="e">
            <v>#VALUE!</v>
          </cell>
          <cell r="BP142" t="e">
            <v>#VALUE!</v>
          </cell>
          <cell r="BQ142" t="e">
            <v>#VALUE!</v>
          </cell>
          <cell r="BU142" t="e">
            <v>#VALUE!</v>
          </cell>
          <cell r="BW142">
            <v>0</v>
          </cell>
          <cell r="BX142">
            <v>0</v>
          </cell>
          <cell r="BY142">
            <v>0</v>
          </cell>
          <cell r="BZ142">
            <v>0</v>
          </cell>
          <cell r="CA142" t="e">
            <v>#VALUE!</v>
          </cell>
          <cell r="CB142">
            <v>0</v>
          </cell>
        </row>
        <row r="143">
          <cell r="A143">
            <v>34469</v>
          </cell>
          <cell r="D143" t="str">
            <v>94M14,16</v>
          </cell>
          <cell r="E143" t="str">
            <v>92-A</v>
          </cell>
          <cell r="F143" t="str">
            <v>S</v>
          </cell>
          <cell r="G143" t="str">
            <v>8/6?</v>
          </cell>
          <cell r="H143">
            <v>4.55</v>
          </cell>
          <cell r="I143">
            <v>0</v>
          </cell>
          <cell r="J143">
            <v>0</v>
          </cell>
          <cell r="K143" t="str">
            <v/>
          </cell>
          <cell r="M143">
            <v>4.55</v>
          </cell>
          <cell r="N143" t="str">
            <v/>
          </cell>
          <cell r="U143">
            <v>1.8199999999999998</v>
          </cell>
          <cell r="V143">
            <v>5</v>
          </cell>
          <cell r="X143" t="e">
            <v>#VALUE!</v>
          </cell>
          <cell r="AA143">
            <v>5</v>
          </cell>
          <cell r="AE143">
            <v>0.39</v>
          </cell>
          <cell r="AF143">
            <v>0.39</v>
          </cell>
          <cell r="AI143">
            <v>-1</v>
          </cell>
          <cell r="AJ143" t="str">
            <v/>
          </cell>
          <cell r="AM143" t="e">
            <v>#VALUE!</v>
          </cell>
          <cell r="AN143" t="e">
            <v>#VALUE!</v>
          </cell>
          <cell r="BG143" t="str">
            <v/>
          </cell>
          <cell r="BK143" t="str">
            <v/>
          </cell>
          <cell r="BL143" t="str">
            <v/>
          </cell>
          <cell r="BO143" t="e">
            <v>#VALUE!</v>
          </cell>
          <cell r="BP143" t="e">
            <v>#VALUE!</v>
          </cell>
          <cell r="BQ143" t="e">
            <v>#VALUE!</v>
          </cell>
          <cell r="BU143" t="e">
            <v>#VALUE!</v>
          </cell>
          <cell r="BW143">
            <v>0</v>
          </cell>
          <cell r="BX143">
            <v>0</v>
          </cell>
          <cell r="BY143">
            <v>0</v>
          </cell>
          <cell r="BZ143">
            <v>0</v>
          </cell>
          <cell r="CA143" t="e">
            <v>#VALUE!</v>
          </cell>
          <cell r="CB143">
            <v>0</v>
          </cell>
        </row>
        <row r="144">
          <cell r="K144" t="str">
            <v/>
          </cell>
          <cell r="N144" t="str">
            <v/>
          </cell>
          <cell r="X144" t="str">
            <v/>
          </cell>
          <cell r="AA144" t="str">
            <v/>
          </cell>
          <cell r="AF144" t="str">
            <v/>
          </cell>
          <cell r="AJ144" t="str">
            <v/>
          </cell>
          <cell r="AM144" t="str">
            <v/>
          </cell>
          <cell r="AN144" t="str">
            <v/>
          </cell>
          <cell r="BG144" t="str">
            <v/>
          </cell>
          <cell r="BK144" t="str">
            <v/>
          </cell>
          <cell r="BL144" t="str">
            <v/>
          </cell>
          <cell r="BP144" t="str">
            <v/>
          </cell>
          <cell r="BQ144" t="str">
            <v/>
          </cell>
          <cell r="BU144" t="str">
            <v/>
          </cell>
        </row>
        <row r="145">
          <cell r="A145">
            <v>34225</v>
          </cell>
          <cell r="D145" t="str">
            <v>93M37</v>
          </cell>
          <cell r="E145" t="str">
            <v>93-A</v>
          </cell>
          <cell r="F145" t="str">
            <v>I</v>
          </cell>
          <cell r="G145" t="str">
            <v>0/12</v>
          </cell>
          <cell r="H145">
            <v>9.1300000000000008</v>
          </cell>
          <cell r="I145">
            <v>6.83</v>
          </cell>
          <cell r="J145">
            <v>2.2599999999999998</v>
          </cell>
          <cell r="K145">
            <v>4.57</v>
          </cell>
          <cell r="M145">
            <v>4.5600000000000005</v>
          </cell>
          <cell r="N145" t="str">
            <v/>
          </cell>
          <cell r="X145" t="str">
            <v/>
          </cell>
          <cell r="AA145" t="str">
            <v/>
          </cell>
          <cell r="AF145" t="str">
            <v/>
          </cell>
          <cell r="AJ145" t="str">
            <v/>
          </cell>
          <cell r="AM145" t="str">
            <v/>
          </cell>
          <cell r="AN145" t="str">
            <v/>
          </cell>
          <cell r="BG145" t="str">
            <v/>
          </cell>
          <cell r="BK145" t="str">
            <v/>
          </cell>
          <cell r="BL145" t="str">
            <v/>
          </cell>
          <cell r="BP145">
            <v>4.5600000000000005</v>
          </cell>
          <cell r="BQ145">
            <v>4.5600000000000005</v>
          </cell>
          <cell r="BU145" t="str">
            <v/>
          </cell>
          <cell r="BW145">
            <v>0</v>
          </cell>
          <cell r="BX145">
            <v>0</v>
          </cell>
          <cell r="BY145">
            <v>0</v>
          </cell>
          <cell r="BZ145">
            <v>0</v>
          </cell>
          <cell r="CA145">
            <v>0</v>
          </cell>
          <cell r="CB145">
            <v>0</v>
          </cell>
        </row>
        <row r="146">
          <cell r="D146" t="str">
            <v>bn 1993</v>
          </cell>
          <cell r="F146" t="str">
            <v>I</v>
          </cell>
          <cell r="M146">
            <v>8.8800000000000008</v>
          </cell>
          <cell r="BP146">
            <v>8.8800000000000008</v>
          </cell>
          <cell r="BQ146">
            <v>8.8800000000000008</v>
          </cell>
          <cell r="BU146" t="str">
            <v/>
          </cell>
          <cell r="BW146">
            <v>0</v>
          </cell>
          <cell r="BX146">
            <v>0</v>
          </cell>
          <cell r="BY146">
            <v>0</v>
          </cell>
          <cell r="BZ146">
            <v>0</v>
          </cell>
          <cell r="CA146">
            <v>0</v>
          </cell>
          <cell r="CB146">
            <v>0</v>
          </cell>
        </row>
        <row r="147">
          <cell r="D147" t="str">
            <v>1993 HY end</v>
          </cell>
        </row>
        <row r="148">
          <cell r="A148">
            <v>34370</v>
          </cell>
          <cell r="D148" t="str">
            <v>94M4</v>
          </cell>
          <cell r="E148" t="str">
            <v>93-A</v>
          </cell>
          <cell r="F148" t="str">
            <v>S</v>
          </cell>
          <cell r="I148" t="str">
            <v>not observed or surveyed</v>
          </cell>
          <cell r="N148" t="str">
            <v/>
          </cell>
          <cell r="X148" t="str">
            <v/>
          </cell>
          <cell r="AA148" t="str">
            <v/>
          </cell>
          <cell r="AF148" t="str">
            <v/>
          </cell>
          <cell r="AI148">
            <v>-1</v>
          </cell>
          <cell r="AJ148" t="str">
            <v/>
          </cell>
          <cell r="AM148" t="str">
            <v/>
          </cell>
          <cell r="AN148" t="str">
            <v/>
          </cell>
          <cell r="BG148" t="str">
            <v/>
          </cell>
          <cell r="BK148" t="str">
            <v/>
          </cell>
          <cell r="BL148" t="str">
            <v/>
          </cell>
          <cell r="BU148" t="e">
            <v>#VALUE!</v>
          </cell>
          <cell r="BW148">
            <v>0</v>
          </cell>
          <cell r="BX148">
            <v>0</v>
          </cell>
          <cell r="BY148">
            <v>0</v>
          </cell>
          <cell r="BZ148">
            <v>0</v>
          </cell>
          <cell r="CA148" t="e">
            <v>#VALUE!</v>
          </cell>
          <cell r="CB148">
            <v>0</v>
          </cell>
        </row>
        <row r="149">
          <cell r="A149">
            <v>34468</v>
          </cell>
          <cell r="D149" t="str">
            <v>94M14,16</v>
          </cell>
          <cell r="E149" t="str">
            <v>93-A</v>
          </cell>
          <cell r="F149" t="str">
            <v>S</v>
          </cell>
          <cell r="G149" t="str">
            <v>9/9 or 12/12?</v>
          </cell>
          <cell r="H149">
            <v>10.7</v>
          </cell>
          <cell r="I149">
            <v>6.82</v>
          </cell>
          <cell r="J149">
            <v>6.82</v>
          </cell>
          <cell r="K149" t="str">
            <v/>
          </cell>
          <cell r="M149">
            <v>10.7</v>
          </cell>
          <cell r="U149">
            <v>1.8199999999999998</v>
          </cell>
          <cell r="V149">
            <v>5</v>
          </cell>
          <cell r="X149">
            <v>1.82</v>
          </cell>
          <cell r="AA149">
            <v>5</v>
          </cell>
          <cell r="AE149">
            <v>0.39</v>
          </cell>
          <cell r="AF149">
            <v>0.39</v>
          </cell>
          <cell r="AI149">
            <v>-1</v>
          </cell>
          <cell r="AJ149">
            <v>-1</v>
          </cell>
          <cell r="AM149">
            <v>8.8800000000000008</v>
          </cell>
          <cell r="AN149">
            <v>8.8800000000000008</v>
          </cell>
          <cell r="BG149" t="str">
            <v/>
          </cell>
          <cell r="BK149" t="str">
            <v/>
          </cell>
          <cell r="BL149" t="str">
            <v/>
          </cell>
          <cell r="BO149">
            <v>8.8800000000000008</v>
          </cell>
          <cell r="BP149">
            <v>8.8800000000000008</v>
          </cell>
          <cell r="BQ149">
            <v>8.8800000000000008</v>
          </cell>
          <cell r="BU149">
            <v>0.71</v>
          </cell>
          <cell r="BW149">
            <v>0</v>
          </cell>
          <cell r="BX149">
            <v>0</v>
          </cell>
          <cell r="BY149">
            <v>0</v>
          </cell>
          <cell r="BZ149">
            <v>0</v>
          </cell>
          <cell r="CA149">
            <v>0.71</v>
          </cell>
          <cell r="CB149">
            <v>0</v>
          </cell>
        </row>
        <row r="150">
          <cell r="A150">
            <v>34586</v>
          </cell>
          <cell r="D150" t="str">
            <v>94M27</v>
          </cell>
          <cell r="E150" t="str">
            <v>93-A</v>
          </cell>
          <cell r="F150" t="str">
            <v>I</v>
          </cell>
          <cell r="I150">
            <v>6.83</v>
          </cell>
          <cell r="J150">
            <v>2.2599999999999998</v>
          </cell>
          <cell r="K150">
            <v>4.57</v>
          </cell>
          <cell r="M150">
            <v>2.2599999999999998</v>
          </cell>
          <cell r="N150" t="str">
            <v/>
          </cell>
          <cell r="X150" t="str">
            <v/>
          </cell>
          <cell r="AA150" t="str">
            <v/>
          </cell>
          <cell r="AF150" t="str">
            <v/>
          </cell>
          <cell r="AJ150" t="str">
            <v/>
          </cell>
          <cell r="AM150" t="str">
            <v/>
          </cell>
          <cell r="AN150" t="str">
            <v/>
          </cell>
          <cell r="BG150" t="str">
            <v/>
          </cell>
          <cell r="BK150" t="str">
            <v/>
          </cell>
          <cell r="BL150" t="str">
            <v/>
          </cell>
          <cell r="BO150">
            <v>8.8800000000000008</v>
          </cell>
          <cell r="BP150">
            <v>2.2599999999999998</v>
          </cell>
          <cell r="BQ150">
            <v>2.2599999999999998</v>
          </cell>
          <cell r="BU150" t="str">
            <v/>
          </cell>
          <cell r="BW150">
            <v>0</v>
          </cell>
          <cell r="BX150">
            <v>0</v>
          </cell>
          <cell r="BY150">
            <v>0</v>
          </cell>
          <cell r="BZ150">
            <v>-5.96</v>
          </cell>
          <cell r="CA150">
            <v>-5.96</v>
          </cell>
          <cell r="CB150">
            <v>-5.96</v>
          </cell>
        </row>
        <row r="151">
          <cell r="D151" t="str">
            <v>bn 1994</v>
          </cell>
          <cell r="F151" t="str">
            <v>I</v>
          </cell>
          <cell r="M151">
            <v>0.77333333333333343</v>
          </cell>
          <cell r="BO151">
            <v>7.49</v>
          </cell>
          <cell r="BP151">
            <v>0.77333333333333343</v>
          </cell>
          <cell r="BQ151">
            <v>0.77333333333333343</v>
          </cell>
          <cell r="BU151" t="str">
            <v/>
          </cell>
          <cell r="BW151">
            <v>0</v>
          </cell>
          <cell r="BX151">
            <v>0</v>
          </cell>
          <cell r="BY151">
            <v>0</v>
          </cell>
          <cell r="BZ151">
            <v>-6.05</v>
          </cell>
          <cell r="CA151">
            <v>-6.05</v>
          </cell>
          <cell r="CB151">
            <v>-6.05</v>
          </cell>
        </row>
        <row r="152">
          <cell r="D152" t="str">
            <v>1994 HY end</v>
          </cell>
        </row>
        <row r="153">
          <cell r="A153">
            <v>34730</v>
          </cell>
          <cell r="D153" t="str">
            <v>95M3</v>
          </cell>
          <cell r="E153" t="str">
            <v>93-A</v>
          </cell>
          <cell r="F153" t="str">
            <v>S</v>
          </cell>
          <cell r="I153">
            <v>6.82</v>
          </cell>
          <cell r="J153">
            <v>6.82</v>
          </cell>
          <cell r="K153" t="str">
            <v/>
          </cell>
          <cell r="M153">
            <v>6.82</v>
          </cell>
          <cell r="N153">
            <v>3.33</v>
          </cell>
          <cell r="U153">
            <v>1.32</v>
          </cell>
          <cell r="V153">
            <v>1</v>
          </cell>
          <cell r="X153">
            <v>2.33</v>
          </cell>
          <cell r="AA153">
            <v>2</v>
          </cell>
          <cell r="AE153">
            <v>0.38</v>
          </cell>
          <cell r="AF153">
            <v>0.38</v>
          </cell>
          <cell r="AI153">
            <v>-1</v>
          </cell>
          <cell r="AJ153">
            <v>-1</v>
          </cell>
          <cell r="AM153">
            <v>4.49</v>
          </cell>
          <cell r="AN153">
            <v>4.49</v>
          </cell>
          <cell r="BG153" t="str">
            <v/>
          </cell>
          <cell r="BK153" t="str">
            <v/>
          </cell>
          <cell r="BL153" t="str">
            <v/>
          </cell>
          <cell r="BO153">
            <v>3.49</v>
          </cell>
          <cell r="BP153">
            <v>4.49</v>
          </cell>
          <cell r="BQ153">
            <v>4.49</v>
          </cell>
          <cell r="BU153">
            <v>0.89</v>
          </cell>
          <cell r="BW153">
            <v>0</v>
          </cell>
          <cell r="BX153">
            <v>0</v>
          </cell>
          <cell r="BY153">
            <v>0</v>
          </cell>
          <cell r="BZ153">
            <v>0.9</v>
          </cell>
          <cell r="CA153">
            <v>1.79</v>
          </cell>
          <cell r="CB153">
            <v>0.9</v>
          </cell>
        </row>
        <row r="154">
          <cell r="A154">
            <v>34833</v>
          </cell>
          <cell r="D154" t="str">
            <v>95M9,12</v>
          </cell>
          <cell r="E154" t="str">
            <v>93-A</v>
          </cell>
          <cell r="F154" t="str">
            <v>S</v>
          </cell>
          <cell r="I154">
            <v>1.5</v>
          </cell>
          <cell r="J154">
            <v>1.29</v>
          </cell>
          <cell r="K154">
            <v>0.20999999999999996</v>
          </cell>
          <cell r="M154">
            <v>1.29</v>
          </cell>
          <cell r="N154">
            <v>-2.2000000000000002</v>
          </cell>
          <cell r="U154">
            <v>1.952</v>
          </cell>
          <cell r="V154">
            <v>5</v>
          </cell>
          <cell r="X154">
            <v>1.26</v>
          </cell>
          <cell r="AA154">
            <v>6</v>
          </cell>
          <cell r="AE154">
            <v>0.4</v>
          </cell>
          <cell r="AF154">
            <v>0.4</v>
          </cell>
          <cell r="AJ154" t="e">
            <v>#DIV/0!</v>
          </cell>
          <cell r="AM154">
            <v>0.03</v>
          </cell>
          <cell r="AN154">
            <v>0.03</v>
          </cell>
          <cell r="BG154" t="str">
            <v/>
          </cell>
          <cell r="BK154" t="str">
            <v/>
          </cell>
          <cell r="BL154" t="str">
            <v/>
          </cell>
          <cell r="BO154">
            <v>3.49</v>
          </cell>
          <cell r="BP154">
            <v>0.03</v>
          </cell>
          <cell r="BQ154">
            <v>0.03</v>
          </cell>
          <cell r="BU154">
            <v>0.5</v>
          </cell>
          <cell r="BW154">
            <v>0</v>
          </cell>
          <cell r="BX154">
            <v>0</v>
          </cell>
          <cell r="BY154">
            <v>0</v>
          </cell>
          <cell r="BZ154">
            <v>-3.11</v>
          </cell>
          <cell r="CA154">
            <v>-2.61</v>
          </cell>
          <cell r="CB154">
            <v>-3.11</v>
          </cell>
        </row>
        <row r="155">
          <cell r="A155">
            <v>34957</v>
          </cell>
          <cell r="D155" t="str">
            <v>95M31</v>
          </cell>
          <cell r="E155" t="str">
            <v>93-A</v>
          </cell>
          <cell r="F155" t="str">
            <v>I</v>
          </cell>
          <cell r="G155" t="str">
            <v>6/0</v>
          </cell>
          <cell r="H155">
            <v>0.71</v>
          </cell>
          <cell r="K155" t="str">
            <v/>
          </cell>
          <cell r="M155">
            <v>0.71</v>
          </cell>
          <cell r="N155" t="str">
            <v/>
          </cell>
          <cell r="X155" t="str">
            <v/>
          </cell>
          <cell r="AA155" t="str">
            <v/>
          </cell>
          <cell r="AF155" t="str">
            <v/>
          </cell>
          <cell r="AJ155" t="str">
            <v/>
          </cell>
          <cell r="AM155" t="str">
            <v/>
          </cell>
          <cell r="AN155" t="str">
            <v/>
          </cell>
          <cell r="BG155" t="str">
            <v/>
          </cell>
          <cell r="BK155" t="str">
            <v/>
          </cell>
          <cell r="BL155" t="str">
            <v/>
          </cell>
          <cell r="BO155">
            <v>3.49</v>
          </cell>
          <cell r="BP155">
            <v>0.71</v>
          </cell>
          <cell r="BQ155">
            <v>0.71</v>
          </cell>
          <cell r="BU155" t="str">
            <v/>
          </cell>
          <cell r="BW155">
            <v>0</v>
          </cell>
          <cell r="BX155">
            <v>0</v>
          </cell>
          <cell r="BY155">
            <v>0</v>
          </cell>
          <cell r="BZ155">
            <v>-2.5</v>
          </cell>
          <cell r="CA155">
            <v>-2.5</v>
          </cell>
          <cell r="CB155">
            <v>-2.5</v>
          </cell>
        </row>
        <row r="156">
          <cell r="D156" t="str">
            <v>bn 1995</v>
          </cell>
        </row>
        <row r="157">
          <cell r="D157" t="str">
            <v>1995 HY end</v>
          </cell>
        </row>
        <row r="158">
          <cell r="K158" t="str">
            <v/>
          </cell>
          <cell r="N158" t="str">
            <v/>
          </cell>
          <cell r="X158" t="str">
            <v/>
          </cell>
          <cell r="AA158" t="str">
            <v/>
          </cell>
          <cell r="AF158" t="str">
            <v/>
          </cell>
          <cell r="AJ158" t="str">
            <v/>
          </cell>
          <cell r="AM158" t="str">
            <v/>
          </cell>
          <cell r="AN158" t="str">
            <v/>
          </cell>
          <cell r="BG158" t="str">
            <v/>
          </cell>
          <cell r="BK158" t="str">
            <v/>
          </cell>
          <cell r="BL158" t="str">
            <v/>
          </cell>
          <cell r="BP158" t="str">
            <v/>
          </cell>
          <cell r="BQ158" t="str">
            <v/>
          </cell>
          <cell r="BU158" t="str">
            <v/>
          </cell>
        </row>
        <row r="159">
          <cell r="A159">
            <v>34584</v>
          </cell>
          <cell r="D159" t="str">
            <v>94M25</v>
          </cell>
          <cell r="E159" t="str">
            <v>94-A</v>
          </cell>
          <cell r="F159" t="str">
            <v>I</v>
          </cell>
          <cell r="K159" t="str">
            <v/>
          </cell>
          <cell r="M159" t="str">
            <v/>
          </cell>
          <cell r="N159" t="str">
            <v/>
          </cell>
          <cell r="X159" t="str">
            <v/>
          </cell>
          <cell r="AA159" t="str">
            <v/>
          </cell>
          <cell r="AF159" t="str">
            <v/>
          </cell>
          <cell r="AJ159" t="str">
            <v/>
          </cell>
          <cell r="AM159" t="str">
            <v/>
          </cell>
          <cell r="AN159" t="str">
            <v/>
          </cell>
          <cell r="BG159" t="str">
            <v/>
          </cell>
          <cell r="BK159" t="str">
            <v/>
          </cell>
          <cell r="BL159" t="str">
            <v/>
          </cell>
          <cell r="BP159" t="str">
            <v/>
          </cell>
          <cell r="BQ159" t="str">
            <v/>
          </cell>
          <cell r="BU159" t="str">
            <v/>
          </cell>
          <cell r="BW159">
            <v>0</v>
          </cell>
          <cell r="BX159">
            <v>0</v>
          </cell>
          <cell r="BY159">
            <v>0</v>
          </cell>
          <cell r="BZ159">
            <v>0</v>
          </cell>
          <cell r="CA159">
            <v>0</v>
          </cell>
          <cell r="CB159">
            <v>0</v>
          </cell>
        </row>
        <row r="160">
          <cell r="A160">
            <v>34586</v>
          </cell>
          <cell r="D160" t="str">
            <v>94M27</v>
          </cell>
          <cell r="E160" t="str">
            <v>94-A</v>
          </cell>
          <cell r="F160" t="str">
            <v>I</v>
          </cell>
          <cell r="I160">
            <v>3.15</v>
          </cell>
          <cell r="J160">
            <v>3.17</v>
          </cell>
          <cell r="K160">
            <v>-2.0000000000000018E-2</v>
          </cell>
          <cell r="M160">
            <v>3.17</v>
          </cell>
          <cell r="N160" t="str">
            <v/>
          </cell>
          <cell r="X160" t="str">
            <v/>
          </cell>
          <cell r="AA160" t="str">
            <v/>
          </cell>
          <cell r="AF160" t="str">
            <v/>
          </cell>
          <cell r="AJ160" t="str">
            <v/>
          </cell>
          <cell r="AM160" t="str">
            <v/>
          </cell>
          <cell r="AN160" t="str">
            <v/>
          </cell>
          <cell r="BG160" t="str">
            <v/>
          </cell>
          <cell r="BK160" t="str">
            <v/>
          </cell>
          <cell r="BL160" t="str">
            <v/>
          </cell>
          <cell r="BO160">
            <v>15.58</v>
          </cell>
          <cell r="BP160">
            <v>3.17</v>
          </cell>
          <cell r="BQ160">
            <v>3.17</v>
          </cell>
          <cell r="BU160" t="str">
            <v/>
          </cell>
          <cell r="BW160">
            <v>0</v>
          </cell>
          <cell r="BX160">
            <v>0</v>
          </cell>
          <cell r="BY160">
            <v>0</v>
          </cell>
          <cell r="BZ160">
            <v>-11.17</v>
          </cell>
          <cell r="CA160">
            <v>-11.17</v>
          </cell>
          <cell r="CB160">
            <v>-11.17</v>
          </cell>
        </row>
        <row r="161">
          <cell r="D161" t="str">
            <v>bn 1994</v>
          </cell>
          <cell r="F161" t="str">
            <v>I</v>
          </cell>
          <cell r="M161" t="e">
            <v>#VALUE!</v>
          </cell>
          <cell r="BP161" t="e">
            <v>#VALUE!</v>
          </cell>
          <cell r="BQ161" t="e">
            <v>#VALUE!</v>
          </cell>
          <cell r="BU161" t="str">
            <v/>
          </cell>
          <cell r="BW161">
            <v>0</v>
          </cell>
          <cell r="BX161">
            <v>0</v>
          </cell>
          <cell r="BY161">
            <v>0</v>
          </cell>
          <cell r="BZ161">
            <v>0</v>
          </cell>
          <cell r="CA161">
            <v>0</v>
          </cell>
          <cell r="CB161">
            <v>0</v>
          </cell>
        </row>
        <row r="162">
          <cell r="D162" t="str">
            <v>1994 HY end</v>
          </cell>
        </row>
        <row r="163">
          <cell r="A163">
            <v>34730</v>
          </cell>
          <cell r="D163" t="str">
            <v>95M3</v>
          </cell>
          <cell r="E163" t="str">
            <v>94-A</v>
          </cell>
          <cell r="F163" t="str">
            <v>S</v>
          </cell>
          <cell r="I163">
            <v>1.96</v>
          </cell>
          <cell r="J163">
            <v>1.98</v>
          </cell>
          <cell r="K163">
            <v>-2.0000000000000018E-2</v>
          </cell>
          <cell r="M163">
            <v>1.98</v>
          </cell>
          <cell r="N163">
            <v>-7.4599999999999991</v>
          </cell>
          <cell r="U163">
            <v>1.32</v>
          </cell>
          <cell r="V163">
            <v>1</v>
          </cell>
          <cell r="X163">
            <v>-3.07</v>
          </cell>
          <cell r="AA163">
            <v>2</v>
          </cell>
          <cell r="AE163">
            <v>0.38</v>
          </cell>
          <cell r="AF163">
            <v>0.38</v>
          </cell>
          <cell r="AI163">
            <v>-1</v>
          </cell>
          <cell r="AJ163">
            <v>-1</v>
          </cell>
          <cell r="AM163">
            <v>5.05</v>
          </cell>
          <cell r="AN163">
            <v>5.05</v>
          </cell>
          <cell r="BG163" t="str">
            <v/>
          </cell>
          <cell r="BK163" t="str">
            <v/>
          </cell>
          <cell r="BL163" t="str">
            <v/>
          </cell>
          <cell r="BO163">
            <v>9.44</v>
          </cell>
          <cell r="BP163">
            <v>5.05</v>
          </cell>
          <cell r="BQ163">
            <v>5.05</v>
          </cell>
          <cell r="BU163">
            <v>-1.17</v>
          </cell>
          <cell r="BW163">
            <v>0</v>
          </cell>
          <cell r="BX163">
            <v>0</v>
          </cell>
          <cell r="BY163">
            <v>0</v>
          </cell>
          <cell r="BZ163">
            <v>-3.95</v>
          </cell>
          <cell r="CA163">
            <v>-5.12</v>
          </cell>
          <cell r="CB163">
            <v>-3.95</v>
          </cell>
        </row>
        <row r="164">
          <cell r="A164">
            <v>34831</v>
          </cell>
          <cell r="D164" t="str">
            <v>95M9,12</v>
          </cell>
          <cell r="E164" t="str">
            <v>94-A</v>
          </cell>
          <cell r="F164" t="str">
            <v>S</v>
          </cell>
          <cell r="G164" t="str">
            <v>12/12</v>
          </cell>
          <cell r="H164">
            <v>11.43</v>
          </cell>
          <cell r="I164" t="str">
            <v>No Data</v>
          </cell>
          <cell r="J164" t="str">
            <v>No Data</v>
          </cell>
          <cell r="K164" t="e">
            <v>#VALUE!</v>
          </cell>
          <cell r="M164" t="e">
            <v>#VALUE!</v>
          </cell>
          <cell r="N164" t="e">
            <v>#VALUE!</v>
          </cell>
          <cell r="U164">
            <v>1.952</v>
          </cell>
          <cell r="V164">
            <v>5</v>
          </cell>
          <cell r="X164" t="e">
            <v>#VALUE!</v>
          </cell>
          <cell r="AA164">
            <v>5</v>
          </cell>
          <cell r="AE164">
            <v>0.4</v>
          </cell>
          <cell r="AF164">
            <v>0.4</v>
          </cell>
          <cell r="AJ164" t="str">
            <v/>
          </cell>
          <cell r="AM164" t="str">
            <v/>
          </cell>
          <cell r="AN164" t="str">
            <v/>
          </cell>
          <cell r="BG164" t="str">
            <v/>
          </cell>
          <cell r="BK164" t="str">
            <v/>
          </cell>
          <cell r="BL164" t="str">
            <v/>
          </cell>
          <cell r="BO164">
            <v>9.44</v>
          </cell>
          <cell r="BP164" t="str">
            <v/>
          </cell>
          <cell r="BQ164" t="str">
            <v/>
          </cell>
          <cell r="BU164" t="e">
            <v>#VALUE!</v>
          </cell>
          <cell r="BW164">
            <v>0</v>
          </cell>
          <cell r="BX164">
            <v>0</v>
          </cell>
          <cell r="BY164">
            <v>0</v>
          </cell>
          <cell r="BZ164" t="e">
            <v>#VALUE!</v>
          </cell>
          <cell r="CA164" t="e">
            <v>#VALUE!</v>
          </cell>
          <cell r="CB164" t="e">
            <v>#VALUE!</v>
          </cell>
        </row>
        <row r="165">
          <cell r="A165">
            <v>34956</v>
          </cell>
          <cell r="D165" t="str">
            <v>95M26</v>
          </cell>
          <cell r="E165" t="str">
            <v>94-A</v>
          </cell>
          <cell r="F165" t="str">
            <v>I</v>
          </cell>
          <cell r="G165" t="str">
            <v>6/9</v>
          </cell>
          <cell r="H165">
            <v>5.09</v>
          </cell>
          <cell r="I165">
            <v>0</v>
          </cell>
          <cell r="J165">
            <v>0</v>
          </cell>
          <cell r="K165" t="str">
            <v/>
          </cell>
          <cell r="M165">
            <v>5.09</v>
          </cell>
          <cell r="N165" t="str">
            <v/>
          </cell>
          <cell r="X165" t="str">
            <v/>
          </cell>
          <cell r="AA165" t="str">
            <v/>
          </cell>
          <cell r="AF165" t="str">
            <v/>
          </cell>
          <cell r="AJ165" t="str">
            <v/>
          </cell>
          <cell r="AM165" t="str">
            <v/>
          </cell>
          <cell r="AN165" t="str">
            <v/>
          </cell>
          <cell r="BG165" t="str">
            <v/>
          </cell>
          <cell r="BK165" t="str">
            <v/>
          </cell>
          <cell r="BL165" t="str">
            <v/>
          </cell>
          <cell r="BO165">
            <v>9.44</v>
          </cell>
          <cell r="BP165">
            <v>5.09</v>
          </cell>
          <cell r="BQ165">
            <v>5.09</v>
          </cell>
          <cell r="BU165" t="str">
            <v/>
          </cell>
          <cell r="BW165">
            <v>0</v>
          </cell>
          <cell r="BX165">
            <v>0</v>
          </cell>
          <cell r="BY165">
            <v>0</v>
          </cell>
          <cell r="BZ165">
            <v>-3.92</v>
          </cell>
          <cell r="CA165">
            <v>-3.92</v>
          </cell>
          <cell r="CB165">
            <v>-3.92</v>
          </cell>
        </row>
        <row r="166">
          <cell r="F166" t="str">
            <v>I</v>
          </cell>
          <cell r="M166">
            <v>4.1499999999999995</v>
          </cell>
          <cell r="BO166">
            <v>9.44</v>
          </cell>
          <cell r="BP166">
            <v>4.1499999999999995</v>
          </cell>
          <cell r="BQ166">
            <v>4.1499999999999995</v>
          </cell>
          <cell r="BU166" t="str">
            <v/>
          </cell>
          <cell r="BW166">
            <v>0</v>
          </cell>
          <cell r="BX166">
            <v>0</v>
          </cell>
          <cell r="BY166">
            <v>0</v>
          </cell>
          <cell r="BZ166">
            <v>-4.76</v>
          </cell>
          <cell r="CA166">
            <v>-4.76</v>
          </cell>
          <cell r="CB166">
            <v>-4.76</v>
          </cell>
        </row>
        <row r="167">
          <cell r="M167">
            <v>4.16</v>
          </cell>
          <cell r="N167" t="str">
            <v/>
          </cell>
          <cell r="X167" t="str">
            <v/>
          </cell>
        </row>
        <row r="168">
          <cell r="F168" t="str">
            <v>S</v>
          </cell>
          <cell r="G168" t="str">
            <v>9/9</v>
          </cell>
          <cell r="H168">
            <v>5.0999999999999996</v>
          </cell>
          <cell r="I168">
            <v>4.8499999999999996</v>
          </cell>
          <cell r="J168">
            <v>4.8499999999999996</v>
          </cell>
          <cell r="K168" t="str">
            <v/>
          </cell>
          <cell r="M168">
            <v>5.0999999999999996</v>
          </cell>
          <cell r="N168">
            <v>0.94999999999999929</v>
          </cell>
          <cell r="S168">
            <v>0.9</v>
          </cell>
          <cell r="T168">
            <v>4</v>
          </cell>
          <cell r="U168">
            <v>0.96</v>
          </cell>
          <cell r="V168">
            <v>20</v>
          </cell>
          <cell r="X168">
            <v>0.95</v>
          </cell>
          <cell r="AA168">
            <v>25</v>
          </cell>
          <cell r="AD168">
            <v>0.35199999999999998</v>
          </cell>
          <cell r="AF168">
            <v>0.35199999999999998</v>
          </cell>
          <cell r="AJ168" t="e">
            <v>#DIV/0!</v>
          </cell>
          <cell r="AM168">
            <v>4.1500000000000004</v>
          </cell>
          <cell r="AN168">
            <v>4.1500000000000004</v>
          </cell>
          <cell r="BG168" t="str">
            <v/>
          </cell>
          <cell r="BK168" t="str">
            <v/>
          </cell>
          <cell r="BL168" t="str">
            <v/>
          </cell>
          <cell r="BO168">
            <v>4.1500000000000004</v>
          </cell>
          <cell r="BP168">
            <v>4.1500000000000004</v>
          </cell>
          <cell r="BQ168">
            <v>4.1500000000000004</v>
          </cell>
          <cell r="BU168">
            <v>0.33</v>
          </cell>
          <cell r="BW168">
            <v>0</v>
          </cell>
          <cell r="BX168">
            <v>0</v>
          </cell>
          <cell r="BY168">
            <v>0</v>
          </cell>
          <cell r="BZ168">
            <v>0</v>
          </cell>
          <cell r="CA168">
            <v>0.33</v>
          </cell>
          <cell r="CB168">
            <v>0</v>
          </cell>
        </row>
        <row r="169">
          <cell r="F169" t="str">
            <v>I</v>
          </cell>
          <cell r="G169" t="str">
            <v>9/3</v>
          </cell>
          <cell r="H169">
            <v>4.1500000000000004</v>
          </cell>
          <cell r="I169">
            <v>2.61</v>
          </cell>
          <cell r="J169">
            <v>2.64</v>
          </cell>
          <cell r="K169">
            <v>-3.0000000000000249E-2</v>
          </cell>
          <cell r="M169">
            <v>4.1800000000000006</v>
          </cell>
        </row>
        <row r="170">
          <cell r="K170" t="str">
            <v/>
          </cell>
          <cell r="N170" t="str">
            <v/>
          </cell>
          <cell r="X170" t="str">
            <v/>
          </cell>
          <cell r="AA170" t="str">
            <v/>
          </cell>
          <cell r="AF170" t="str">
            <v/>
          </cell>
          <cell r="AJ170" t="str">
            <v/>
          </cell>
          <cell r="AM170" t="str">
            <v/>
          </cell>
          <cell r="AN170" t="str">
            <v/>
          </cell>
          <cell r="BG170" t="str">
            <v/>
          </cell>
          <cell r="BK170" t="str">
            <v/>
          </cell>
          <cell r="BL170" t="str">
            <v/>
          </cell>
          <cell r="BP170" t="str">
            <v/>
          </cell>
          <cell r="BQ170" t="str">
            <v/>
          </cell>
          <cell r="BU170" t="str">
            <v/>
          </cell>
        </row>
        <row r="171">
          <cell r="F171" t="str">
            <v>I</v>
          </cell>
          <cell r="G171" t="str">
            <v>0/12</v>
          </cell>
          <cell r="H171">
            <v>9.1999999999999993</v>
          </cell>
          <cell r="I171">
            <v>7.98</v>
          </cell>
          <cell r="J171">
            <v>7.96</v>
          </cell>
          <cell r="K171">
            <v>2.0000000000000462E-2</v>
          </cell>
          <cell r="M171">
            <v>9.18</v>
          </cell>
          <cell r="N171" t="str">
            <v/>
          </cell>
          <cell r="X171" t="str">
            <v/>
          </cell>
          <cell r="AA171" t="str">
            <v/>
          </cell>
          <cell r="AF171" t="str">
            <v/>
          </cell>
          <cell r="AJ171" t="str">
            <v/>
          </cell>
          <cell r="AM171" t="str">
            <v/>
          </cell>
          <cell r="AN171" t="str">
            <v/>
          </cell>
          <cell r="BG171" t="str">
            <v/>
          </cell>
          <cell r="BK171" t="str">
            <v/>
          </cell>
          <cell r="BL171" t="str">
            <v/>
          </cell>
          <cell r="BO171">
            <v>9.0499999999999989</v>
          </cell>
          <cell r="BP171">
            <v>9.18</v>
          </cell>
          <cell r="BQ171">
            <v>9.18</v>
          </cell>
          <cell r="BU171" t="str">
            <v/>
          </cell>
          <cell r="BW171">
            <v>0</v>
          </cell>
          <cell r="BX171">
            <v>0</v>
          </cell>
          <cell r="BY171">
            <v>0</v>
          </cell>
          <cell r="BZ171">
            <v>0.12</v>
          </cell>
          <cell r="CA171">
            <v>0.12</v>
          </cell>
          <cell r="CB171">
            <v>0.12</v>
          </cell>
        </row>
        <row r="172">
          <cell r="F172" t="str">
            <v>S</v>
          </cell>
          <cell r="G172" t="str">
            <v>12/12</v>
          </cell>
          <cell r="H172">
            <v>9.41</v>
          </cell>
          <cell r="I172">
            <v>9.4600000000000009</v>
          </cell>
          <cell r="J172">
            <v>9.41</v>
          </cell>
          <cell r="K172">
            <v>5.0000000000000711E-2</v>
          </cell>
          <cell r="M172">
            <v>9.36</v>
          </cell>
          <cell r="N172">
            <v>0.3100000000000005</v>
          </cell>
          <cell r="S172">
            <v>0.9</v>
          </cell>
          <cell r="T172">
            <v>4</v>
          </cell>
          <cell r="U172">
            <v>0.96</v>
          </cell>
          <cell r="V172">
            <v>20</v>
          </cell>
          <cell r="X172">
            <v>0.92</v>
          </cell>
          <cell r="AA172">
            <v>25</v>
          </cell>
          <cell r="AD172">
            <v>0.35199999999999998</v>
          </cell>
          <cell r="AF172">
            <v>0.35199999999999998</v>
          </cell>
          <cell r="AJ172" t="e">
            <v>#DIV/0!</v>
          </cell>
          <cell r="AM172">
            <v>8.44</v>
          </cell>
          <cell r="AN172">
            <v>8.44</v>
          </cell>
          <cell r="BG172" t="str">
            <v/>
          </cell>
          <cell r="BK172" t="str">
            <v/>
          </cell>
          <cell r="BL172" t="str">
            <v/>
          </cell>
          <cell r="BO172">
            <v>9.0499999999999989</v>
          </cell>
          <cell r="BP172">
            <v>8.44</v>
          </cell>
          <cell r="BQ172">
            <v>8.44</v>
          </cell>
          <cell r="BU172">
            <v>0.32</v>
          </cell>
          <cell r="BW172">
            <v>0</v>
          </cell>
          <cell r="BX172">
            <v>0</v>
          </cell>
          <cell r="BY172">
            <v>0</v>
          </cell>
          <cell r="BZ172">
            <v>-0.55000000000000004</v>
          </cell>
          <cell r="CA172">
            <v>-0.23000000000000004</v>
          </cell>
          <cell r="CB172">
            <v>-0.55000000000000004</v>
          </cell>
        </row>
        <row r="173">
          <cell r="F173" t="str">
            <v>I</v>
          </cell>
          <cell r="G173" t="str">
            <v>12/9</v>
          </cell>
          <cell r="H173">
            <v>8.2799999999999994</v>
          </cell>
          <cell r="I173">
            <v>7.89</v>
          </cell>
          <cell r="J173">
            <v>7.77</v>
          </cell>
          <cell r="K173">
            <v>0.12000000000000011</v>
          </cell>
          <cell r="M173">
            <v>8.16</v>
          </cell>
          <cell r="N173" t="str">
            <v/>
          </cell>
          <cell r="X173" t="str">
            <v/>
          </cell>
          <cell r="AA173" t="str">
            <v/>
          </cell>
          <cell r="AF173" t="str">
            <v/>
          </cell>
          <cell r="AJ173" t="str">
            <v/>
          </cell>
          <cell r="AM173" t="str">
            <v/>
          </cell>
          <cell r="AN173" t="str">
            <v/>
          </cell>
          <cell r="BG173" t="str">
            <v/>
          </cell>
          <cell r="BK173" t="str">
            <v/>
          </cell>
          <cell r="BL173" t="str">
            <v/>
          </cell>
          <cell r="BO173">
            <v>9.0499999999999989</v>
          </cell>
          <cell r="BP173">
            <v>8.16</v>
          </cell>
          <cell r="BQ173">
            <v>8.16</v>
          </cell>
          <cell r="BU173" t="str">
            <v/>
          </cell>
          <cell r="BW173">
            <v>0</v>
          </cell>
          <cell r="BX173">
            <v>0</v>
          </cell>
          <cell r="BY173">
            <v>0</v>
          </cell>
          <cell r="BZ173">
            <v>-0.8</v>
          </cell>
          <cell r="CA173">
            <v>-0.8</v>
          </cell>
          <cell r="CB173">
            <v>-0.8</v>
          </cell>
        </row>
        <row r="174">
          <cell r="F174" t="str">
            <v>I</v>
          </cell>
          <cell r="G174" t="str">
            <v>6/6</v>
          </cell>
          <cell r="H174">
            <v>2.5</v>
          </cell>
          <cell r="I174">
            <v>2.0499999999999998</v>
          </cell>
          <cell r="J174">
            <v>1.36</v>
          </cell>
          <cell r="K174">
            <v>0.68999999999999972</v>
          </cell>
          <cell r="M174">
            <v>1.8100000000000003</v>
          </cell>
          <cell r="N174" t="str">
            <v/>
          </cell>
          <cell r="X174" t="str">
            <v/>
          </cell>
          <cell r="AA174" t="str">
            <v/>
          </cell>
          <cell r="AF174" t="str">
            <v/>
          </cell>
          <cell r="AJ174" t="str">
            <v/>
          </cell>
          <cell r="AM174" t="str">
            <v/>
          </cell>
          <cell r="AN174" t="str">
            <v/>
          </cell>
          <cell r="BG174" t="str">
            <v/>
          </cell>
          <cell r="BK174" t="str">
            <v/>
          </cell>
          <cell r="BL174" t="str">
            <v/>
          </cell>
          <cell r="BO174">
            <v>9.0499999999999989</v>
          </cell>
          <cell r="BP174">
            <v>1.8100000000000003</v>
          </cell>
          <cell r="BQ174">
            <v>1.8100000000000003</v>
          </cell>
          <cell r="BU174" t="str">
            <v/>
          </cell>
          <cell r="BW174">
            <v>0</v>
          </cell>
          <cell r="BX174">
            <v>0</v>
          </cell>
          <cell r="BY174">
            <v>0</v>
          </cell>
          <cell r="BZ174">
            <v>-6.52</v>
          </cell>
          <cell r="CA174">
            <v>-6.52</v>
          </cell>
          <cell r="CB174">
            <v>-6.52</v>
          </cell>
        </row>
        <row r="175">
          <cell r="F175" t="str">
            <v>I</v>
          </cell>
          <cell r="M175">
            <v>2.44</v>
          </cell>
          <cell r="BO175">
            <v>9.0499999999999989</v>
          </cell>
          <cell r="BP175">
            <v>2.44</v>
          </cell>
          <cell r="BQ175">
            <v>2.44</v>
          </cell>
          <cell r="BU175" t="str">
            <v/>
          </cell>
          <cell r="BW175">
            <v>0</v>
          </cell>
          <cell r="BX175">
            <v>0</v>
          </cell>
          <cell r="BY175">
            <v>0</v>
          </cell>
          <cell r="BZ175">
            <v>-5.95</v>
          </cell>
          <cell r="CA175">
            <v>-5.95</v>
          </cell>
          <cell r="CB175">
            <v>-5.95</v>
          </cell>
        </row>
        <row r="176">
          <cell r="N176" t="str">
            <v/>
          </cell>
          <cell r="X176" t="str">
            <v/>
          </cell>
        </row>
        <row r="177">
          <cell r="F177" t="str">
            <v>S</v>
          </cell>
          <cell r="G177" t="str">
            <v>6/6</v>
          </cell>
          <cell r="H177">
            <v>3.37</v>
          </cell>
          <cell r="I177">
            <v>0</v>
          </cell>
          <cell r="J177">
            <v>0</v>
          </cell>
          <cell r="K177" t="str">
            <v/>
          </cell>
          <cell r="M177">
            <v>3.37</v>
          </cell>
          <cell r="N177">
            <v>0.93000000000000016</v>
          </cell>
          <cell r="U177">
            <v>0.93</v>
          </cell>
          <cell r="V177">
            <v>3</v>
          </cell>
          <cell r="X177">
            <v>0.93</v>
          </cell>
          <cell r="AA177">
            <v>4</v>
          </cell>
          <cell r="AF177" t="e">
            <v>#DIV/0!</v>
          </cell>
          <cell r="AJ177" t="e">
            <v>#DIV/0!</v>
          </cell>
          <cell r="AM177">
            <v>2.44</v>
          </cell>
          <cell r="AN177">
            <v>2.44</v>
          </cell>
          <cell r="BG177" t="str">
            <v/>
          </cell>
          <cell r="BK177" t="str">
            <v/>
          </cell>
          <cell r="BL177" t="str">
            <v/>
          </cell>
          <cell r="BO177">
            <v>2.44</v>
          </cell>
          <cell r="BP177">
            <v>2.44</v>
          </cell>
          <cell r="BQ177">
            <v>2.44</v>
          </cell>
          <cell r="BU177" t="e">
            <v>#DIV/0!</v>
          </cell>
          <cell r="BW177">
            <v>0</v>
          </cell>
          <cell r="BX177">
            <v>0</v>
          </cell>
          <cell r="BY177">
            <v>0</v>
          </cell>
          <cell r="BZ177">
            <v>0</v>
          </cell>
          <cell r="CA177" t="e">
            <v>#DIV/0!</v>
          </cell>
          <cell r="CB177">
            <v>0</v>
          </cell>
        </row>
        <row r="178">
          <cell r="F178" t="str">
            <v>S</v>
          </cell>
          <cell r="G178" t="str">
            <v>-</v>
          </cell>
          <cell r="H178">
            <v>3.96</v>
          </cell>
          <cell r="AJ178" t="str">
            <v/>
          </cell>
          <cell r="BO178">
            <v>2.44</v>
          </cell>
          <cell r="BP178" t="str">
            <v/>
          </cell>
          <cell r="BQ178" t="str">
            <v/>
          </cell>
        </row>
        <row r="179">
          <cell r="AJ179" t="str">
            <v/>
          </cell>
          <cell r="BP179" t="str">
            <v/>
          </cell>
          <cell r="BQ179" t="str">
            <v/>
          </cell>
        </row>
        <row r="180">
          <cell r="K180" t="str">
            <v/>
          </cell>
          <cell r="N180" t="str">
            <v/>
          </cell>
          <cell r="X180" t="str">
            <v/>
          </cell>
          <cell r="AA180" t="str">
            <v/>
          </cell>
          <cell r="AF180" t="str">
            <v/>
          </cell>
          <cell r="AJ180" t="str">
            <v/>
          </cell>
          <cell r="AM180" t="str">
            <v/>
          </cell>
          <cell r="AN180" t="str">
            <v/>
          </cell>
          <cell r="BG180" t="str">
            <v/>
          </cell>
          <cell r="BK180" t="str">
            <v/>
          </cell>
          <cell r="BL180" t="str">
            <v/>
          </cell>
          <cell r="BP180" t="str">
            <v/>
          </cell>
          <cell r="BQ180" t="str">
            <v/>
          </cell>
          <cell r="BU180" t="str">
            <v/>
          </cell>
        </row>
        <row r="181">
          <cell r="F181" t="str">
            <v>I</v>
          </cell>
          <cell r="G181" t="str">
            <v>0/9</v>
          </cell>
          <cell r="H181">
            <v>5.56</v>
          </cell>
          <cell r="I181">
            <v>0</v>
          </cell>
          <cell r="J181">
            <v>0</v>
          </cell>
          <cell r="K181" t="str">
            <v/>
          </cell>
          <cell r="M181">
            <v>5.56</v>
          </cell>
          <cell r="N181" t="str">
            <v/>
          </cell>
          <cell r="X181" t="str">
            <v/>
          </cell>
          <cell r="AA181" t="str">
            <v/>
          </cell>
          <cell r="AF181" t="str">
            <v/>
          </cell>
          <cell r="AJ181" t="str">
            <v/>
          </cell>
          <cell r="AM181" t="str">
            <v/>
          </cell>
          <cell r="AN181" t="str">
            <v/>
          </cell>
          <cell r="BG181" t="str">
            <v/>
          </cell>
          <cell r="BK181" t="str">
            <v/>
          </cell>
          <cell r="BL181" t="str">
            <v/>
          </cell>
          <cell r="BO181">
            <v>5.56</v>
          </cell>
          <cell r="BP181">
            <v>5.56</v>
          </cell>
          <cell r="BQ181">
            <v>5.56</v>
          </cell>
          <cell r="BU181" t="str">
            <v/>
          </cell>
          <cell r="BW181">
            <v>0</v>
          </cell>
          <cell r="BX181">
            <v>0</v>
          </cell>
          <cell r="BY181">
            <v>0</v>
          </cell>
          <cell r="BZ181">
            <v>0</v>
          </cell>
          <cell r="CA181">
            <v>0</v>
          </cell>
          <cell r="CB181">
            <v>0</v>
          </cell>
        </row>
        <row r="182">
          <cell r="F182" t="str">
            <v>I</v>
          </cell>
          <cell r="M182" t="e">
            <v>#VALUE!</v>
          </cell>
          <cell r="BP182" t="e">
            <v>#VALUE!</v>
          </cell>
          <cell r="BQ182" t="e">
            <v>#VALUE!</v>
          </cell>
          <cell r="BU182" t="str">
            <v/>
          </cell>
          <cell r="BW182">
            <v>0</v>
          </cell>
          <cell r="BX182">
            <v>0</v>
          </cell>
          <cell r="BY182">
            <v>0</v>
          </cell>
          <cell r="BZ182">
            <v>0</v>
          </cell>
          <cell r="CA182">
            <v>0</v>
          </cell>
          <cell r="CB182">
            <v>0</v>
          </cell>
        </row>
        <row r="183">
          <cell r="N183" t="str">
            <v/>
          </cell>
          <cell r="X183" t="str">
            <v/>
          </cell>
        </row>
        <row r="184">
          <cell r="F184" t="str">
            <v>S</v>
          </cell>
          <cell r="G184" t="str">
            <v>9/9</v>
          </cell>
          <cell r="H184">
            <v>6.46</v>
          </cell>
          <cell r="I184">
            <v>8.1</v>
          </cell>
          <cell r="J184">
            <v>8.1</v>
          </cell>
          <cell r="K184" t="str">
            <v/>
          </cell>
          <cell r="M184">
            <v>6.46</v>
          </cell>
          <cell r="N184" t="str">
            <v/>
          </cell>
          <cell r="U184">
            <v>0.93</v>
          </cell>
          <cell r="V184">
            <v>3</v>
          </cell>
          <cell r="X184" t="e">
            <v>#VALUE!</v>
          </cell>
          <cell r="AA184">
            <v>3</v>
          </cell>
          <cell r="AF184" t="e">
            <v>#DIV/0!</v>
          </cell>
          <cell r="AJ184" t="str">
            <v/>
          </cell>
          <cell r="AM184" t="e">
            <v>#VALUE!</v>
          </cell>
          <cell r="AN184" t="e">
            <v>#VALUE!</v>
          </cell>
          <cell r="BG184" t="str">
            <v/>
          </cell>
          <cell r="BK184" t="str">
            <v/>
          </cell>
          <cell r="BL184" t="str">
            <v/>
          </cell>
          <cell r="BO184" t="e">
            <v>#VALUE!</v>
          </cell>
          <cell r="BP184" t="e">
            <v>#VALUE!</v>
          </cell>
          <cell r="BQ184" t="e">
            <v>#VALUE!</v>
          </cell>
          <cell r="BU184" t="e">
            <v>#VALUE!</v>
          </cell>
          <cell r="BW184">
            <v>0</v>
          </cell>
          <cell r="BX184">
            <v>0</v>
          </cell>
          <cell r="BY184">
            <v>0</v>
          </cell>
          <cell r="BZ184">
            <v>0</v>
          </cell>
          <cell r="CA184" t="e">
            <v>#VALUE!</v>
          </cell>
          <cell r="CB184">
            <v>0</v>
          </cell>
        </row>
        <row r="185">
          <cell r="F185" t="str">
            <v>S</v>
          </cell>
          <cell r="G185" t="str">
            <v>-</v>
          </cell>
          <cell r="H185">
            <v>7.03</v>
          </cell>
          <cell r="K185" t="str">
            <v/>
          </cell>
          <cell r="M185">
            <v>7.03</v>
          </cell>
          <cell r="N185" t="str">
            <v/>
          </cell>
          <cell r="X185" t="str">
            <v/>
          </cell>
          <cell r="AA185" t="str">
            <v/>
          </cell>
          <cell r="AE185">
            <v>0.4</v>
          </cell>
          <cell r="AF185" t="str">
            <v/>
          </cell>
          <cell r="AJ185" t="str">
            <v/>
          </cell>
          <cell r="AM185" t="e">
            <v>#VALUE!</v>
          </cell>
          <cell r="AN185" t="e">
            <v>#VALUE!</v>
          </cell>
          <cell r="BG185" t="str">
            <v/>
          </cell>
          <cell r="BK185" t="str">
            <v/>
          </cell>
          <cell r="BL185" t="str">
            <v/>
          </cell>
          <cell r="BO185" t="e">
            <v>#VALUE!</v>
          </cell>
          <cell r="BP185" t="e">
            <v>#VALUE!</v>
          </cell>
          <cell r="BQ185" t="e">
            <v>#VALUE!</v>
          </cell>
          <cell r="BU185" t="e">
            <v>#VALUE!</v>
          </cell>
          <cell r="BW185">
            <v>0</v>
          </cell>
          <cell r="BX185">
            <v>0</v>
          </cell>
          <cell r="BY185">
            <v>0</v>
          </cell>
          <cell r="BZ185">
            <v>0</v>
          </cell>
          <cell r="CA185" t="e">
            <v>#VALUE!</v>
          </cell>
          <cell r="CB185">
            <v>0</v>
          </cell>
        </row>
        <row r="186">
          <cell r="F186" t="str">
            <v>I</v>
          </cell>
          <cell r="G186" t="str">
            <v>3/0</v>
          </cell>
          <cell r="H186">
            <v>0.45</v>
          </cell>
          <cell r="BO186" t="e">
            <v>#VALUE!</v>
          </cell>
        </row>
        <row r="187">
          <cell r="F187" t="str">
            <v>I</v>
          </cell>
          <cell r="M187">
            <v>0.15</v>
          </cell>
          <cell r="BO187" t="e">
            <v>#VALUE!</v>
          </cell>
          <cell r="BP187">
            <v>0.15</v>
          </cell>
          <cell r="BQ187">
            <v>0.15</v>
          </cell>
          <cell r="BU187" t="str">
            <v/>
          </cell>
          <cell r="BW187">
            <v>0</v>
          </cell>
          <cell r="BX187">
            <v>0</v>
          </cell>
          <cell r="BY187">
            <v>0</v>
          </cell>
          <cell r="BZ187">
            <v>0</v>
          </cell>
          <cell r="CA187">
            <v>0</v>
          </cell>
          <cell r="CB187">
            <v>0</v>
          </cell>
        </row>
        <row r="188">
          <cell r="N188" t="str">
            <v/>
          </cell>
          <cell r="X188" t="str">
            <v/>
          </cell>
        </row>
        <row r="191">
          <cell r="F191" t="str">
            <v>S</v>
          </cell>
          <cell r="G191" t="str">
            <v>0/12</v>
          </cell>
          <cell r="H191">
            <v>9.61</v>
          </cell>
          <cell r="I191">
            <v>3.49</v>
          </cell>
          <cell r="J191">
            <v>3</v>
          </cell>
          <cell r="K191">
            <v>0.49000000000000021</v>
          </cell>
          <cell r="M191">
            <v>9.1199999999999992</v>
          </cell>
          <cell r="N191">
            <v>0.92999999999999972</v>
          </cell>
          <cell r="U191">
            <v>0.93</v>
          </cell>
          <cell r="V191">
            <v>3</v>
          </cell>
          <cell r="X191">
            <v>0.93</v>
          </cell>
          <cell r="AA191">
            <v>4</v>
          </cell>
          <cell r="AF191" t="e">
            <v>#DIV/0!</v>
          </cell>
          <cell r="AJ191" t="e">
            <v>#DIV/0!</v>
          </cell>
          <cell r="AM191">
            <v>8.19</v>
          </cell>
          <cell r="AN191">
            <v>8.19</v>
          </cell>
          <cell r="BG191" t="str">
            <v/>
          </cell>
          <cell r="BK191" t="str">
            <v/>
          </cell>
          <cell r="BL191" t="str">
            <v/>
          </cell>
          <cell r="BO191">
            <v>8.19</v>
          </cell>
          <cell r="BP191">
            <v>8.19</v>
          </cell>
          <cell r="BQ191">
            <v>8.19</v>
          </cell>
          <cell r="BU191" t="e">
            <v>#DIV/0!</v>
          </cell>
          <cell r="BW191">
            <v>0</v>
          </cell>
          <cell r="BX191">
            <v>0</v>
          </cell>
          <cell r="BY191">
            <v>0</v>
          </cell>
          <cell r="BZ191">
            <v>0</v>
          </cell>
          <cell r="CA191" t="e">
            <v>#DIV/0!</v>
          </cell>
          <cell r="CB191">
            <v>0</v>
          </cell>
        </row>
        <row r="192">
          <cell r="F192" t="str">
            <v>S</v>
          </cell>
          <cell r="G192" t="str">
            <v>12/9</v>
          </cell>
          <cell r="H192">
            <v>10.26</v>
          </cell>
          <cell r="K192" t="str">
            <v/>
          </cell>
          <cell r="M192">
            <v>10.26</v>
          </cell>
          <cell r="N192">
            <v>1.08</v>
          </cell>
          <cell r="X192">
            <v>1.08</v>
          </cell>
          <cell r="AA192">
            <v>1</v>
          </cell>
          <cell r="AF192" t="e">
            <v>#DIV/0!</v>
          </cell>
          <cell r="AJ192" t="e">
            <v>#DIV/0!</v>
          </cell>
          <cell r="AM192">
            <v>9.18</v>
          </cell>
          <cell r="AN192">
            <v>9.18</v>
          </cell>
          <cell r="BG192" t="str">
            <v/>
          </cell>
          <cell r="BK192" t="str">
            <v/>
          </cell>
          <cell r="BL192" t="str">
            <v/>
          </cell>
          <cell r="BO192">
            <v>9.18</v>
          </cell>
          <cell r="BP192">
            <v>9.18</v>
          </cell>
          <cell r="BQ192">
            <v>9.18</v>
          </cell>
          <cell r="BU192" t="e">
            <v>#DIV/0!</v>
          </cell>
          <cell r="BW192">
            <v>0</v>
          </cell>
          <cell r="BX192">
            <v>0</v>
          </cell>
          <cell r="BY192">
            <v>0</v>
          </cell>
          <cell r="BZ192">
            <v>0</v>
          </cell>
          <cell r="CA192" t="e">
            <v>#DIV/0!</v>
          </cell>
          <cell r="CB192">
            <v>0</v>
          </cell>
        </row>
        <row r="193">
          <cell r="F193" t="str">
            <v>I</v>
          </cell>
          <cell r="G193" t="str">
            <v>9/6</v>
          </cell>
          <cell r="H193">
            <v>3.5300000000000002</v>
          </cell>
        </row>
        <row r="194">
          <cell r="F194" t="str">
            <v>I</v>
          </cell>
          <cell r="M194">
            <v>0</v>
          </cell>
          <cell r="BO194">
            <v>0</v>
          </cell>
          <cell r="BP194">
            <v>0</v>
          </cell>
          <cell r="BQ194">
            <v>0</v>
          </cell>
          <cell r="BU194" t="str">
            <v/>
          </cell>
          <cell r="BW194">
            <v>0</v>
          </cell>
          <cell r="BX194">
            <v>0</v>
          </cell>
          <cell r="BY194">
            <v>0</v>
          </cell>
          <cell r="BZ194">
            <v>0</v>
          </cell>
          <cell r="CA194">
            <v>0</v>
          </cell>
          <cell r="CB194">
            <v>0</v>
          </cell>
        </row>
        <row r="195">
          <cell r="N195" t="str">
            <v/>
          </cell>
          <cell r="X195" t="str">
            <v/>
          </cell>
        </row>
        <row r="198">
          <cell r="F198" t="str">
            <v>S</v>
          </cell>
          <cell r="G198" t="str">
            <v>6/3</v>
          </cell>
          <cell r="H198">
            <v>5.4370000000000003</v>
          </cell>
          <cell r="I198">
            <v>5.47</v>
          </cell>
          <cell r="J198">
            <v>4.96</v>
          </cell>
          <cell r="K198">
            <v>0.50999999999999979</v>
          </cell>
          <cell r="M198">
            <v>4.9270000000000005</v>
          </cell>
          <cell r="N198" t="str">
            <v/>
          </cell>
          <cell r="U198">
            <v>2.9292857142857147</v>
          </cell>
          <cell r="V198">
            <v>14</v>
          </cell>
          <cell r="X198" t="e">
            <v>#VALUE!</v>
          </cell>
        </row>
      </sheetData>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it Template"/>
      <sheetName val="Core Template"/>
      <sheetName val="SNOWPIT"/>
      <sheetName val="70.09.29"/>
      <sheetName val="76.10.20"/>
      <sheetName val="77.06.08"/>
      <sheetName val="96.01.13"/>
      <sheetName val="96.09.20"/>
      <sheetName val="97.05.19"/>
      <sheetName val="98.05.27"/>
      <sheetName val="99.05.14"/>
      <sheetName val="99.05.15"/>
      <sheetName val="99.09.24"/>
      <sheetName val="00.05.12"/>
      <sheetName val="00.05.12redone"/>
      <sheetName val="00.09.20"/>
      <sheetName val="01.05.17"/>
      <sheetName val="02.05.16"/>
      <sheetName val="02.10.02 core"/>
      <sheetName val="02.10.04 pit"/>
      <sheetName val="03.05.29"/>
      <sheetName val="03.09.14"/>
      <sheetName val="04.05.13 Pit"/>
      <sheetName val="04.05.13core"/>
      <sheetName val="2005.05.14Pit"/>
      <sheetName val="2005.05.14Core"/>
      <sheetName val="2006.05.13Pit"/>
      <sheetName val="2006.05.13Core"/>
      <sheetName val="2006.09.24Pit"/>
      <sheetName val="2007.05.10 Core"/>
      <sheetName val="2007.09.17Core"/>
      <sheetName val="2008.5.18 Core"/>
      <sheetName val="2008.5.18 Core (2)"/>
      <sheetName val="2008.9.28 Core"/>
      <sheetName val="2009.04.28 Pit"/>
      <sheetName val="2009.04.28 Core"/>
      <sheetName val="2010.05.05 Pit"/>
      <sheetName val="2010.05.05 Core"/>
      <sheetName val="2010.09.13 Core"/>
      <sheetName val="2011.04.27 Pit "/>
      <sheetName val="2011.04.27 Core"/>
    </sheetNames>
    <sheetDataSet>
      <sheetData sheetId="0"/>
      <sheetData sheetId="1"/>
      <sheetData sheetId="2">
        <row r="1">
          <cell r="Q1">
            <v>41.05</v>
          </cell>
        </row>
        <row r="9">
          <cell r="P9">
            <v>0</v>
          </cell>
          <cell r="Q9">
            <v>0</v>
          </cell>
        </row>
        <row r="10">
          <cell r="P10">
            <v>10</v>
          </cell>
          <cell r="Q10">
            <v>0</v>
          </cell>
        </row>
        <row r="11">
          <cell r="P11">
            <v>20</v>
          </cell>
          <cell r="Q11">
            <v>0</v>
          </cell>
        </row>
        <row r="12">
          <cell r="P12">
            <v>40</v>
          </cell>
          <cell r="Q12">
            <v>0</v>
          </cell>
        </row>
        <row r="13">
          <cell r="P13">
            <v>60</v>
          </cell>
          <cell r="Q13">
            <v>0</v>
          </cell>
        </row>
        <row r="14">
          <cell r="P14">
            <v>100</v>
          </cell>
          <cell r="Q14">
            <v>0</v>
          </cell>
        </row>
        <row r="15">
          <cell r="P15">
            <v>150</v>
          </cell>
          <cell r="Q15">
            <v>0</v>
          </cell>
        </row>
        <row r="16">
          <cell r="P16">
            <v>200</v>
          </cell>
          <cell r="Q16">
            <v>0</v>
          </cell>
        </row>
        <row r="17">
          <cell r="P17">
            <v>250</v>
          </cell>
          <cell r="Q17">
            <v>0</v>
          </cell>
        </row>
        <row r="18">
          <cell r="P18">
            <v>300</v>
          </cell>
          <cell r="Q18">
            <v>0</v>
          </cell>
        </row>
        <row r="19">
          <cell r="P19">
            <v>350</v>
          </cell>
          <cell r="Q19">
            <v>0</v>
          </cell>
        </row>
        <row r="20">
          <cell r="P20">
            <v>400</v>
          </cell>
          <cell r="Q20">
            <v>0</v>
          </cell>
        </row>
      </sheetData>
      <sheetData sheetId="3"/>
      <sheetData sheetId="4"/>
      <sheetData sheetId="5"/>
      <sheetData sheetId="6"/>
      <sheetData sheetId="7"/>
      <sheetData sheetId="8"/>
      <sheetData sheetId="9">
        <row r="3">
          <cell r="K3">
            <v>45.6</v>
          </cell>
        </row>
      </sheetData>
      <sheetData sheetId="10">
        <row r="3">
          <cell r="M3">
            <v>45.6</v>
          </cell>
        </row>
      </sheetData>
      <sheetData sheetId="11"/>
      <sheetData sheetId="12"/>
      <sheetData sheetId="13">
        <row r="3">
          <cell r="M3">
            <v>45.6</v>
          </cell>
        </row>
      </sheetData>
      <sheetData sheetId="14"/>
      <sheetData sheetId="15"/>
      <sheetData sheetId="16"/>
      <sheetData sheetId="17"/>
      <sheetData sheetId="18"/>
      <sheetData sheetId="19"/>
      <sheetData sheetId="20">
        <row r="35">
          <cell r="K35">
            <v>0.57713054921597162</v>
          </cell>
        </row>
      </sheetData>
      <sheetData sheetId="21"/>
      <sheetData sheetId="22"/>
      <sheetData sheetId="23">
        <row r="45">
          <cell r="G45">
            <v>0.54024015122222246</v>
          </cell>
        </row>
      </sheetData>
      <sheetData sheetId="24"/>
      <sheetData sheetId="25">
        <row r="33">
          <cell r="H33">
            <v>0.59710988796244679</v>
          </cell>
        </row>
      </sheetData>
      <sheetData sheetId="26"/>
      <sheetData sheetId="27">
        <row r="47">
          <cell r="M47">
            <v>-2.7</v>
          </cell>
        </row>
      </sheetData>
      <sheetData sheetId="28">
        <row r="13">
          <cell r="L13">
            <v>0.60899999999999999</v>
          </cell>
        </row>
      </sheetData>
      <sheetData sheetId="29">
        <row r="64">
          <cell r="I64">
            <v>0.48714429343263665</v>
          </cell>
        </row>
      </sheetData>
      <sheetData sheetId="30">
        <row r="32">
          <cell r="I32">
            <v>0.66464019559897736</v>
          </cell>
        </row>
      </sheetData>
      <sheetData sheetId="31">
        <row r="91">
          <cell r="I91">
            <v>0.55362323186368045</v>
          </cell>
        </row>
      </sheetData>
      <sheetData sheetId="32"/>
      <sheetData sheetId="33">
        <row r="12">
          <cell r="G12">
            <v>31</v>
          </cell>
        </row>
      </sheetData>
      <sheetData sheetId="34">
        <row r="28">
          <cell r="L28">
            <v>0.42199999999999999</v>
          </cell>
        </row>
      </sheetData>
      <sheetData sheetId="35"/>
      <sheetData sheetId="36">
        <row r="20">
          <cell r="Q20">
            <v>-1.7</v>
          </cell>
        </row>
      </sheetData>
      <sheetData sheetId="37">
        <row r="22">
          <cell r="R22">
            <v>0.41078164602432693</v>
          </cell>
        </row>
      </sheetData>
      <sheetData sheetId="38"/>
      <sheetData sheetId="39"/>
      <sheetData sheetId="4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nowpit Template"/>
      <sheetName val="Core Density Template"/>
      <sheetName val="SCD May 97, 1998"/>
      <sheetName val="Sipri Core 5-13-99"/>
      <sheetName val="Sipri 5-13-99"/>
      <sheetName val="Sipri 5-10-2000"/>
      <sheetName val="2001.05.16"/>
      <sheetName val="2002.05.14"/>
      <sheetName val="2004.05.12"/>
      <sheetName val="2005.05.12 Pit"/>
      <sheetName val="2006.5.12 Pit"/>
      <sheetName val="2006.5.12 Core"/>
      <sheetName val="2007.05.10 Core"/>
      <sheetName val="2008.5.18.Core"/>
      <sheetName val="2008.09.28 Pit"/>
      <sheetName val="2009.04.27 Pit"/>
      <sheetName val="2010.5.04.Core"/>
      <sheetName val="2010.05.04 Core 2"/>
      <sheetName val="2011.04.28 Pit"/>
    </sheetNames>
    <sheetDataSet>
      <sheetData sheetId="0"/>
      <sheetData sheetId="1"/>
      <sheetData sheetId="2">
        <row r="4">
          <cell r="K4">
            <v>41.05</v>
          </cell>
        </row>
      </sheetData>
      <sheetData sheetId="3"/>
      <sheetData sheetId="4"/>
      <sheetData sheetId="5">
        <row r="28">
          <cell r="K28">
            <v>0.48334576705493021</v>
          </cell>
        </row>
      </sheetData>
      <sheetData sheetId="6">
        <row r="68">
          <cell r="K68">
            <v>0.53855464348355564</v>
          </cell>
        </row>
      </sheetData>
      <sheetData sheetId="7">
        <row r="19">
          <cell r="L19">
            <v>0.55000000000000004</v>
          </cell>
        </row>
      </sheetData>
      <sheetData sheetId="8">
        <row r="9">
          <cell r="X9">
            <v>2.52</v>
          </cell>
        </row>
      </sheetData>
      <sheetData sheetId="9">
        <row r="19">
          <cell r="L19">
            <v>0.63100000000000001</v>
          </cell>
        </row>
      </sheetData>
      <sheetData sheetId="10">
        <row r="9">
          <cell r="P9">
            <v>0</v>
          </cell>
        </row>
        <row r="10">
          <cell r="P10">
            <v>20</v>
          </cell>
          <cell r="Q10">
            <v>0</v>
          </cell>
        </row>
        <row r="11">
          <cell r="P11">
            <v>40</v>
          </cell>
          <cell r="Q11">
            <v>-1.2</v>
          </cell>
        </row>
        <row r="12">
          <cell r="P12">
            <v>60</v>
          </cell>
          <cell r="Q12">
            <v>-2.6</v>
          </cell>
        </row>
        <row r="13">
          <cell r="P13">
            <v>120</v>
          </cell>
          <cell r="Q13">
            <v>-3.5</v>
          </cell>
        </row>
        <row r="14">
          <cell r="P14">
            <v>160</v>
          </cell>
          <cell r="Q14">
            <v>-4</v>
          </cell>
        </row>
        <row r="15">
          <cell r="P15">
            <v>200</v>
          </cell>
          <cell r="Q15">
            <v>-4</v>
          </cell>
        </row>
        <row r="16">
          <cell r="P16">
            <v>230</v>
          </cell>
          <cell r="Q16">
            <v>-4</v>
          </cell>
        </row>
        <row r="17">
          <cell r="P17">
            <v>243</v>
          </cell>
          <cell r="Q17">
            <v>-2.4</v>
          </cell>
        </row>
        <row r="18">
          <cell r="P18">
            <v>298</v>
          </cell>
          <cell r="Q18">
            <v>-2.4</v>
          </cell>
        </row>
        <row r="19">
          <cell r="P19">
            <v>330</v>
          </cell>
          <cell r="Q19">
            <v>-2.7</v>
          </cell>
        </row>
        <row r="20">
          <cell r="P20">
            <v>380</v>
          </cell>
          <cell r="Q20">
            <v>-2</v>
          </cell>
        </row>
        <row r="21">
          <cell r="P21">
            <v>416</v>
          </cell>
          <cell r="Q21">
            <v>-0.9</v>
          </cell>
        </row>
        <row r="22">
          <cell r="P22">
            <v>440</v>
          </cell>
          <cell r="Q22">
            <v>-0.6</v>
          </cell>
        </row>
        <row r="23">
          <cell r="P23">
            <v>477</v>
          </cell>
          <cell r="Q23">
            <v>-0.6</v>
          </cell>
        </row>
      </sheetData>
      <sheetData sheetId="11">
        <row r="31">
          <cell r="M31">
            <v>0.49883238314309786</v>
          </cell>
        </row>
      </sheetData>
      <sheetData sheetId="12">
        <row r="37">
          <cell r="T37">
            <v>0.12153188881934174</v>
          </cell>
        </row>
      </sheetData>
      <sheetData sheetId="13">
        <row r="60">
          <cell r="O60">
            <v>-1.1000000000000001</v>
          </cell>
        </row>
      </sheetData>
      <sheetData sheetId="14">
        <row r="9">
          <cell r="P9">
            <v>0</v>
          </cell>
        </row>
        <row r="10">
          <cell r="P10">
            <v>20</v>
          </cell>
          <cell r="Q10">
            <v>0</v>
          </cell>
        </row>
      </sheetData>
      <sheetData sheetId="15">
        <row r="17">
          <cell r="L17">
            <v>0.40899999999999997</v>
          </cell>
        </row>
      </sheetData>
      <sheetData sheetId="16"/>
      <sheetData sheetId="17">
        <row r="37">
          <cell r="U37">
            <v>0.47323391440778073</v>
          </cell>
        </row>
      </sheetData>
      <sheetData sheetId="18"/>
    </sheetDataSet>
  </externalBook>
</externalLink>
</file>

<file path=xl/persons/person.xml><?xml version="1.0" encoding="utf-8"?>
<personList xmlns="http://schemas.microsoft.com/office/spreadsheetml/2018/threadedcomments" xmlns:x="http://schemas.openxmlformats.org/spreadsheetml/2006/main">
  <person displayName="Otto, Daniel R" id="{36731DFA-CEA5-4825-8513-57B2AD324658}" userId="S::dotto@usgs.gov::025c054c-a2a2-44f4-8321-f8b55e414e5e" providerId="AD"/>
  <person displayName="Sass, Louis" id="{534FDC45-7D30-430B-9A4D-A6561B2F49D3}" userId="S::lsass@usgs.gov::532b36c5-14fd-4389-948c-e9e662e1f233" providerId="AD"/>
  <person displayName="Mcneil, Christopher J" id="{D8539000-E509-4238-9988-6ECD0EDB28AA}" userId="S::cmcneil@usgs.gov::31fd1366-8711-4764-bb54-c10860824430"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K8" dT="2021-06-01T18:10:03.56" personId="{36731DFA-CEA5-4825-8513-57B2AD324658}" id="{DB2ECB5E-D8DF-4C93-82D8-8536E2DD742D}">
    <text>Mean density 2020-2011</text>
  </threadedComment>
  <threadedComment ref="K8" dT="2021-06-14T19:45:19.84" personId="{D8539000-E509-4238-9988-6ECD0EDB28AA}" id="{5F613445-5F8F-4520-8AE9-33F10B9D7AA0}" parentId="{DB2ECB5E-D8DF-4C93-82D8-8536E2DD742D}">
    <text>Change from mean 0.36 to median 0.37 based on group concensus</text>
  </threadedComment>
</ThreadedComments>
</file>

<file path=xl/threadedComments/threadedComment2.xml><?xml version="1.0" encoding="utf-8"?>
<ThreadedComments xmlns="http://schemas.microsoft.com/office/spreadsheetml/2018/threadedcomments" xmlns:x="http://schemas.openxmlformats.org/spreadsheetml/2006/main">
  <threadedComment ref="K8" dT="2021-06-01T18:12:15.81" personId="{36731DFA-CEA5-4825-8513-57B2AD324658}" id="{BEF422A3-0E09-48BA-82FA-68E476B20383}">
    <text>Mean density 2015-2020</text>
  </threadedComment>
</ThreadedComments>
</file>

<file path=xl/threadedComments/threadedComment3.xml><?xml version="1.0" encoding="utf-8"?>
<ThreadedComments xmlns="http://schemas.microsoft.com/office/spreadsheetml/2018/threadedcomments" xmlns:x="http://schemas.openxmlformats.org/spreadsheetml/2006/main">
  <threadedComment ref="K8" dT="2021-06-01T18:13:33.17" personId="{36731DFA-CEA5-4825-8513-57B2AD324658}" id="{66F4ECC1-2E6F-412F-9CFA-7C15BF7136ED}">
    <text>Mean density 2015-2020</text>
  </threadedComment>
</ThreadedComments>
</file>

<file path=xl/threadedComments/threadedComment4.xml><?xml version="1.0" encoding="utf-8"?>
<ThreadedComments xmlns="http://schemas.microsoft.com/office/spreadsheetml/2018/threadedcomments" xmlns:x="http://schemas.openxmlformats.org/spreadsheetml/2006/main">
  <threadedComment ref="K9" dT="2021-06-01T18:14:33.05" personId="{36731DFA-CEA5-4825-8513-57B2AD324658}" id="{EE181FB6-59DE-46BF-9E14-8C5CE822952F}">
    <text>Mean density 2011-2020</text>
  </threadedComment>
  <threadedComment ref="J23" dT="2024-05-10T21:39:58.36" personId="{534FDC45-7D30-430B-9A4D-A6561B2F49D3}" id="{63463FB1-E219-4869-A1D1-AADF965B55DE}">
    <text>This was revised based on our finding in spring of 2024 - where it appears that the pit in fall of 2023 did not go all the way to the 2022 ss</text>
  </threadedComment>
</ThreadedComments>
</file>

<file path=xl/threadedComments/threadedComment5.xml><?xml version="1.0" encoding="utf-8"?>
<ThreadedComments xmlns="http://schemas.microsoft.com/office/spreadsheetml/2018/threadedcomments" xmlns:x="http://schemas.openxmlformats.org/spreadsheetml/2006/main">
  <threadedComment ref="I18" dT="2019-09-03T20:32:48.93" personId="{D8539000-E509-4238-9988-6ECD0EDB28AA}" id="{FBC39322-062A-46BA-B9A9-AF797EF58F46}">
    <text>While new snow was present at this site, it was highly variable and mostly only existent in local depressions in the ice. The regional surface aroudn the stake was ice, while the depression imediately surround the stake had 6cm on new snow in it.</text>
  </threadedComment>
  <threadedComment ref="I28" dT="2019-09-03T20:36:08.72" personId="{D8539000-E509-4238-9988-6ECD0EDB28AA}" id="{FEAA4210-066D-408B-8675-489929D4AF23}">
    <text>While new snow was present at this site, it was highly variable and mostly only existent in local depressions in the ice. The regional surface aroudn the stake was ice, while the depression imediately surround the stake had 9cm on new snow in it.</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3.xml"/><Relationship Id="rId1" Type="http://schemas.openxmlformats.org/officeDocument/2006/relationships/printerSettings" Target="../printerSettings/printerSettings10.bin"/><Relationship Id="rId4" Type="http://schemas.openxmlformats.org/officeDocument/2006/relationships/comments" Target="../comments1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4.xml"/><Relationship Id="rId1" Type="http://schemas.openxmlformats.org/officeDocument/2006/relationships/printerSettings" Target="../printerSettings/printerSettings11.bin"/><Relationship Id="rId4" Type="http://schemas.openxmlformats.org/officeDocument/2006/relationships/comments" Target="../comments13.x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7.bin"/><Relationship Id="rId5" Type="http://schemas.microsoft.com/office/2017/10/relationships/threadedComment" Target="../threadedComments/threadedComment5.xm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5"/>
  <sheetViews>
    <sheetView tabSelected="1" workbookViewId="0">
      <selection activeCell="E12" sqref="E12"/>
    </sheetView>
  </sheetViews>
  <sheetFormatPr defaultColWidth="8.85546875" defaultRowHeight="12.75"/>
  <cols>
    <col min="1" max="1" width="9.140625" style="11" bestFit="1" customWidth="1"/>
    <col min="2" max="2" width="9.7109375" style="11" bestFit="1" customWidth="1"/>
    <col min="3" max="4" width="11.28515625" style="11" bestFit="1" customWidth="1"/>
    <col min="5" max="5" width="9.140625" style="11" bestFit="1" customWidth="1"/>
    <col min="6" max="7" width="8.85546875" style="11"/>
    <col min="8" max="8" width="13.5703125" style="11" customWidth="1"/>
    <col min="9" max="9" width="21.5703125" style="11" customWidth="1"/>
    <col min="10" max="16384" width="8.85546875" style="11"/>
  </cols>
  <sheetData>
    <row r="1" spans="1:9">
      <c r="A1" s="1035" t="s">
        <v>96</v>
      </c>
      <c r="B1" s="1036" t="s">
        <v>97</v>
      </c>
      <c r="C1" s="1036" t="s">
        <v>98</v>
      </c>
      <c r="D1" s="1036" t="s">
        <v>99</v>
      </c>
      <c r="E1" s="1036" t="s">
        <v>100</v>
      </c>
      <c r="F1" s="1036" t="s">
        <v>1</v>
      </c>
      <c r="G1" s="1036" t="s">
        <v>2</v>
      </c>
      <c r="H1" s="1036" t="s">
        <v>101</v>
      </c>
      <c r="I1" s="1037" t="s">
        <v>102</v>
      </c>
    </row>
    <row r="2" spans="1:9">
      <c r="A2" s="1038">
        <v>2023</v>
      </c>
      <c r="B2" s="20" t="s">
        <v>5</v>
      </c>
      <c r="C2" s="99">
        <f>AU!G29</f>
        <v>45033</v>
      </c>
      <c r="D2" s="99">
        <f>AU!I29</f>
        <v>45161</v>
      </c>
      <c r="E2" s="20">
        <v>1454</v>
      </c>
      <c r="F2" s="44">
        <f>AU!C30</f>
        <v>0.59829968944099388</v>
      </c>
      <c r="G2" s="100">
        <f>AU!C32</f>
        <v>-3.1140000000000003</v>
      </c>
      <c r="H2" s="44">
        <f>AU!C34</f>
        <v>-0.3150000000000005</v>
      </c>
      <c r="I2" s="104">
        <f>AU!C35</f>
        <v>0</v>
      </c>
    </row>
    <row r="3" spans="1:9">
      <c r="A3" s="1038">
        <v>2023</v>
      </c>
      <c r="B3" s="20" t="s">
        <v>6</v>
      </c>
      <c r="C3" s="99">
        <f>AB!G25</f>
        <v>45033</v>
      </c>
      <c r="D3" s="99">
        <f>AB!I25</f>
        <v>45161</v>
      </c>
      <c r="E3" s="20">
        <v>1546</v>
      </c>
      <c r="F3" s="44">
        <f>AB!C26</f>
        <v>0.74298654244306417</v>
      </c>
      <c r="G3" s="44">
        <f>AB!C28</f>
        <v>-2.6594999999999995</v>
      </c>
      <c r="H3" s="100">
        <f>AB!C30</f>
        <v>-0.18450000000000086</v>
      </c>
      <c r="I3" s="104">
        <f>AB!C31</f>
        <v>0</v>
      </c>
    </row>
    <row r="4" spans="1:9">
      <c r="A4" s="1038">
        <v>2023</v>
      </c>
      <c r="B4" s="20" t="s">
        <v>7</v>
      </c>
      <c r="C4" s="99">
        <f>B!G29</f>
        <v>45032</v>
      </c>
      <c r="D4" s="99">
        <f>B!I29</f>
        <v>45160</v>
      </c>
      <c r="E4" s="20">
        <v>1693</v>
      </c>
      <c r="F4" s="44">
        <f>B!C30</f>
        <v>1.3978489221775665</v>
      </c>
      <c r="G4" s="44">
        <f>B!C32</f>
        <v>-0.81450000000000067</v>
      </c>
      <c r="H4" s="100">
        <f>B!C34</f>
        <v>0</v>
      </c>
      <c r="I4" s="104">
        <f>B!C35</f>
        <v>0</v>
      </c>
    </row>
    <row r="5" spans="1:9">
      <c r="A5" s="1038">
        <v>2023</v>
      </c>
      <c r="B5" s="20" t="s">
        <v>8</v>
      </c>
      <c r="C5" s="99">
        <f>D!G28</f>
        <v>45031</v>
      </c>
      <c r="D5" s="99">
        <f>D!I28</f>
        <v>45160</v>
      </c>
      <c r="E5" s="20">
        <v>1854</v>
      </c>
      <c r="F5" s="44">
        <f>D!C29</f>
        <v>1.9236</v>
      </c>
      <c r="G5" s="100">
        <f>D!C31</f>
        <v>0.50490000000000002</v>
      </c>
      <c r="H5" s="44">
        <f>D!C33</f>
        <v>0</v>
      </c>
      <c r="I5" s="104">
        <f>D!C34</f>
        <v>0</v>
      </c>
    </row>
    <row r="6" spans="1:9">
      <c r="A6" s="1038">
        <v>2023</v>
      </c>
      <c r="B6" s="20" t="s">
        <v>9</v>
      </c>
      <c r="C6" s="103" t="str">
        <f>T!G35</f>
        <v>NaN</v>
      </c>
      <c r="D6" s="99">
        <f>T!I35</f>
        <v>45161</v>
      </c>
      <c r="E6" s="20">
        <v>1869</v>
      </c>
      <c r="F6" s="100" t="s">
        <v>177</v>
      </c>
      <c r="G6" s="100">
        <f>T!C38</f>
        <v>1.1798999999999997</v>
      </c>
      <c r="H6" s="44">
        <f>T!C40</f>
        <v>0</v>
      </c>
      <c r="I6" s="104">
        <f>T!C41</f>
        <v>0</v>
      </c>
    </row>
    <row r="7" spans="1:9">
      <c r="A7" s="1038">
        <v>2023</v>
      </c>
      <c r="B7" s="20" t="s">
        <v>10</v>
      </c>
      <c r="C7" s="103" t="str">
        <f>V!G48</f>
        <v>NaN</v>
      </c>
      <c r="D7" s="99">
        <f>V!I48</f>
        <v>45160</v>
      </c>
      <c r="E7" s="20">
        <v>1878</v>
      </c>
      <c r="F7" s="100" t="s">
        <v>177</v>
      </c>
      <c r="G7" s="100">
        <f>V!C51</f>
        <v>7.2800000000000004E-2</v>
      </c>
      <c r="H7" s="100">
        <f>V!C53</f>
        <v>0</v>
      </c>
      <c r="I7" s="104">
        <f>V!C54</f>
        <v>0</v>
      </c>
    </row>
    <row r="8" spans="1:9">
      <c r="A8" s="1038">
        <v>2023</v>
      </c>
      <c r="B8" s="950" t="s">
        <v>174</v>
      </c>
      <c r="C8" s="103" t="str">
        <f>Z!G26</f>
        <v>NaN</v>
      </c>
      <c r="D8" s="99">
        <f>Z!I26</f>
        <v>45161</v>
      </c>
      <c r="E8" s="20">
        <v>2073</v>
      </c>
      <c r="F8" s="44" t="str">
        <f>Z!C27</f>
        <v>NaN</v>
      </c>
      <c r="G8" s="44">
        <f>Z!C29</f>
        <v>1.9608000000000005</v>
      </c>
      <c r="H8" s="100">
        <f>Z!C31</f>
        <v>0</v>
      </c>
      <c r="I8" s="104">
        <f>Z!C32</f>
        <v>0</v>
      </c>
    </row>
    <row r="9" spans="1:9">
      <c r="A9" s="62"/>
      <c r="B9" s="20"/>
      <c r="C9" s="20"/>
      <c r="D9" s="20"/>
      <c r="E9" s="20"/>
      <c r="F9" s="20"/>
      <c r="G9" s="20"/>
      <c r="H9" s="20"/>
      <c r="I9" s="63"/>
    </row>
    <row r="10" spans="1:9">
      <c r="A10" s="62"/>
      <c r="B10" s="20"/>
      <c r="C10" s="20"/>
      <c r="D10" s="20"/>
      <c r="E10" s="20"/>
      <c r="F10" s="20"/>
      <c r="G10" s="20"/>
      <c r="H10" s="20"/>
      <c r="I10" s="63"/>
    </row>
    <row r="11" spans="1:9">
      <c r="A11" s="62"/>
      <c r="B11" s="20"/>
      <c r="C11" s="20"/>
      <c r="D11" s="20"/>
      <c r="E11" s="20"/>
      <c r="F11" s="20"/>
      <c r="G11" s="20"/>
      <c r="H11" s="20"/>
      <c r="I11" s="63"/>
    </row>
    <row r="12" spans="1:9">
      <c r="A12" s="62"/>
      <c r="B12" s="20"/>
      <c r="C12" s="20"/>
      <c r="D12" s="20"/>
      <c r="E12" s="20"/>
      <c r="F12" s="20"/>
      <c r="G12" s="20"/>
      <c r="H12" s="20"/>
      <c r="I12" s="63"/>
    </row>
    <row r="13" spans="1:9">
      <c r="A13" s="62"/>
      <c r="B13" s="20"/>
      <c r="C13" s="20"/>
      <c r="D13" s="20"/>
      <c r="E13" s="20"/>
      <c r="F13" s="20"/>
      <c r="G13" s="20"/>
      <c r="H13" s="20"/>
      <c r="I13" s="63"/>
    </row>
    <row r="14" spans="1:9">
      <c r="A14" s="62"/>
      <c r="B14" s="20"/>
      <c r="C14" s="20"/>
      <c r="D14" s="20"/>
      <c r="E14" s="20"/>
      <c r="F14" s="20"/>
      <c r="G14" s="20"/>
      <c r="H14" s="20"/>
      <c r="I14" s="63"/>
    </row>
    <row r="15" spans="1:9" ht="13.5" thickBot="1">
      <c r="A15" s="1039"/>
      <c r="B15" s="101"/>
      <c r="C15" s="101"/>
      <c r="D15" s="101"/>
      <c r="E15" s="101"/>
      <c r="F15" s="101"/>
      <c r="G15" s="101"/>
      <c r="H15" s="101"/>
      <c r="I15" s="102"/>
    </row>
  </sheetData>
  <pageMargins left="0.7" right="0.7" top="0.75" bottom="0.75" header="0.3" footer="0.3"/>
  <pageSetup orientation="portrait" verticalDpi="0"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C1447-049D-43A1-ABEA-CF0702537D30}">
  <dimension ref="A1:Q169"/>
  <sheetViews>
    <sheetView workbookViewId="0">
      <selection activeCell="M23" sqref="M23"/>
    </sheetView>
  </sheetViews>
  <sheetFormatPr defaultColWidth="7.85546875" defaultRowHeight="11.25"/>
  <cols>
    <col min="1" max="1" width="15.7109375" style="593" bestFit="1" customWidth="1"/>
    <col min="2" max="2" width="9.5703125" style="593" bestFit="1" customWidth="1"/>
    <col min="3" max="3" width="5.140625" style="660" customWidth="1"/>
    <col min="4" max="6" width="7.7109375" style="660" customWidth="1"/>
    <col min="7" max="7" width="6.28515625" style="656" customWidth="1"/>
    <col min="8" max="8" width="6.85546875" style="659" customWidth="1"/>
    <col min="9" max="9" width="9.7109375" style="656" customWidth="1"/>
    <col min="10" max="10" width="8.7109375" style="656" bestFit="1" customWidth="1"/>
    <col min="11" max="11" width="12.5703125" style="650" customWidth="1"/>
    <col min="12" max="12" width="17.28515625" style="657" bestFit="1" customWidth="1"/>
    <col min="13" max="13" width="12.85546875" style="593" customWidth="1"/>
    <col min="14" max="14" width="11.28515625" style="593" customWidth="1"/>
    <col min="15" max="15" width="14.5703125" style="605" customWidth="1"/>
    <col min="16" max="16" width="2.42578125" style="605" customWidth="1"/>
    <col min="17" max="17" width="14" style="593" bestFit="1" customWidth="1"/>
    <col min="18" max="18" width="5.42578125" style="593" customWidth="1"/>
    <col min="19" max="27" width="5.28515625" style="593" customWidth="1"/>
    <col min="28" max="28" width="17" style="593" customWidth="1"/>
    <col min="29" max="16384" width="7.85546875" style="593"/>
  </cols>
  <sheetData>
    <row r="1" spans="1:15" s="432" customFormat="1" ht="12.75">
      <c r="A1" s="1027" t="s">
        <v>108</v>
      </c>
      <c r="B1" s="1026" t="s">
        <v>164</v>
      </c>
      <c r="C1" s="426"/>
      <c r="D1" s="1026"/>
      <c r="E1" s="427"/>
      <c r="F1" s="427"/>
      <c r="G1" s="428"/>
      <c r="H1" s="429" t="s">
        <v>188</v>
      </c>
      <c r="I1" s="430">
        <v>349</v>
      </c>
      <c r="J1" s="431"/>
      <c r="K1" s="1026"/>
      <c r="L1" s="1026"/>
      <c r="M1" s="1025"/>
      <c r="N1" s="433"/>
    </row>
    <row r="2" spans="1:15" s="432" customFormat="1" ht="12.75">
      <c r="A2" s="1019" t="s">
        <v>110</v>
      </c>
      <c r="B2" s="444" t="s">
        <v>189</v>
      </c>
      <c r="C2" s="436"/>
      <c r="D2" s="444"/>
      <c r="E2" s="437"/>
      <c r="F2" s="437"/>
      <c r="G2" s="438"/>
      <c r="H2" s="439" t="s">
        <v>187</v>
      </c>
      <c r="I2" s="1024">
        <v>349</v>
      </c>
      <c r="J2" s="441"/>
      <c r="K2" s="444"/>
      <c r="L2" s="444"/>
      <c r="M2" s="1020"/>
      <c r="N2" s="442"/>
    </row>
    <row r="3" spans="1:15" s="446" customFormat="1" ht="11.25" customHeight="1">
      <c r="A3" s="1022" t="s">
        <v>112</v>
      </c>
      <c r="B3" s="731">
        <v>45032</v>
      </c>
      <c r="C3" s="436"/>
      <c r="D3" s="437"/>
      <c r="E3" s="437"/>
      <c r="F3" s="437"/>
      <c r="G3" s="438"/>
      <c r="H3" s="443" t="s">
        <v>186</v>
      </c>
      <c r="I3" s="1021">
        <f>M53/100</f>
        <v>3.49</v>
      </c>
      <c r="J3" s="441"/>
      <c r="K3" s="444"/>
      <c r="L3" s="444"/>
      <c r="M3" s="1023"/>
      <c r="N3" s="447"/>
    </row>
    <row r="4" spans="1:15" s="432" customFormat="1" ht="12.75">
      <c r="A4" s="1022" t="s">
        <v>114</v>
      </c>
      <c r="B4" s="444" t="s">
        <v>182</v>
      </c>
      <c r="C4" s="436"/>
      <c r="D4" s="437"/>
      <c r="E4" s="437"/>
      <c r="F4" s="437"/>
      <c r="G4" s="438"/>
      <c r="H4" s="443" t="s">
        <v>185</v>
      </c>
      <c r="I4" s="1021">
        <f>J46</f>
        <v>0.40052977712824256</v>
      </c>
      <c r="J4" s="441"/>
      <c r="K4" s="444"/>
      <c r="L4" s="444"/>
      <c r="M4" s="1020"/>
      <c r="N4" s="433"/>
    </row>
    <row r="5" spans="1:15" s="452" customFormat="1" ht="12.75">
      <c r="A5" s="1019" t="s">
        <v>116</v>
      </c>
      <c r="B5" s="450" t="s">
        <v>117</v>
      </c>
      <c r="C5" s="436"/>
      <c r="D5" s="437"/>
      <c r="E5" s="437"/>
      <c r="F5" s="437"/>
      <c r="G5" s="438"/>
      <c r="H5" s="443"/>
      <c r="I5" s="1018"/>
      <c r="J5" s="441"/>
      <c r="K5" s="444"/>
      <c r="L5" s="444"/>
      <c r="M5" s="480"/>
      <c r="N5" s="451"/>
    </row>
    <row r="6" spans="1:15" s="451" customFormat="1" ht="13.5" thickBot="1">
      <c r="A6" s="1017"/>
      <c r="B6" s="1010"/>
      <c r="C6" s="1016"/>
      <c r="D6" s="1015"/>
      <c r="E6" s="1015"/>
      <c r="F6" s="1015"/>
      <c r="G6" s="1012"/>
      <c r="H6" s="1014"/>
      <c r="I6" s="1013"/>
      <c r="J6" s="1012"/>
      <c r="K6" s="1011"/>
      <c r="L6" s="1010"/>
      <c r="M6" s="1009"/>
    </row>
    <row r="7" spans="1:15" s="452" customFormat="1" ht="13.15" customHeight="1">
      <c r="A7" s="1008" t="s">
        <v>118</v>
      </c>
      <c r="B7" s="1004"/>
      <c r="C7" s="1007"/>
      <c r="D7" s="1006"/>
      <c r="E7" s="1005" t="s">
        <v>119</v>
      </c>
      <c r="F7" s="1004"/>
      <c r="G7" s="1003" t="s">
        <v>120</v>
      </c>
      <c r="H7" s="464"/>
      <c r="I7" s="1002" t="s">
        <v>121</v>
      </c>
      <c r="J7" s="1002"/>
      <c r="K7" s="465"/>
      <c r="L7" s="1129" t="s">
        <v>122</v>
      </c>
      <c r="M7" s="1130"/>
      <c r="N7" s="451"/>
      <c r="O7" s="451"/>
    </row>
    <row r="8" spans="1:15" s="482" customFormat="1" ht="11.25" customHeight="1">
      <c r="A8" s="466"/>
      <c r="B8" s="461"/>
      <c r="C8" s="467"/>
      <c r="D8" s="476"/>
      <c r="E8" s="1000"/>
      <c r="F8" s="476"/>
      <c r="G8" s="999"/>
      <c r="H8" s="478"/>
      <c r="I8" s="502"/>
      <c r="J8" s="502"/>
      <c r="K8" s="479"/>
      <c r="L8" s="480"/>
      <c r="M8" s="480"/>
      <c r="N8" s="481"/>
    </row>
    <row r="9" spans="1:15" s="492" customFormat="1">
      <c r="C9" s="484"/>
      <c r="D9" s="1001"/>
      <c r="E9" s="1000" t="s">
        <v>125</v>
      </c>
      <c r="F9" s="476"/>
      <c r="G9" s="999"/>
      <c r="H9" s="478"/>
      <c r="I9" s="605"/>
      <c r="J9" s="605"/>
      <c r="K9" s="479"/>
      <c r="L9" s="488"/>
      <c r="M9" s="489"/>
      <c r="N9" s="490"/>
      <c r="O9" s="491"/>
    </row>
    <row r="10" spans="1:15" s="492" customFormat="1">
      <c r="A10" s="493" t="s">
        <v>126</v>
      </c>
      <c r="B10" s="494" t="s">
        <v>127</v>
      </c>
      <c r="C10" s="495" t="s">
        <v>128</v>
      </c>
      <c r="D10" s="501" t="s">
        <v>138</v>
      </c>
      <c r="E10" s="499" t="s">
        <v>139</v>
      </c>
      <c r="F10" s="501" t="s">
        <v>140</v>
      </c>
      <c r="G10" s="999" t="s">
        <v>141</v>
      </c>
      <c r="H10" s="478" t="s">
        <v>142</v>
      </c>
      <c r="I10" s="502" t="s">
        <v>142</v>
      </c>
      <c r="J10" s="502" t="s">
        <v>141</v>
      </c>
      <c r="K10" s="503" t="s">
        <v>143</v>
      </c>
      <c r="L10" s="488" t="s">
        <v>144</v>
      </c>
      <c r="M10" s="488" t="s">
        <v>145</v>
      </c>
      <c r="N10" s="504"/>
    </row>
    <row r="11" spans="1:15" s="492" customFormat="1" ht="12" thickBot="1">
      <c r="A11" s="505" t="s">
        <v>146</v>
      </c>
      <c r="B11" s="506" t="s">
        <v>146</v>
      </c>
      <c r="C11" s="507" t="s">
        <v>147</v>
      </c>
      <c r="D11" s="516" t="s">
        <v>149</v>
      </c>
      <c r="E11" s="514" t="s">
        <v>147</v>
      </c>
      <c r="F11" s="516" t="s">
        <v>147</v>
      </c>
      <c r="G11" s="998" t="s">
        <v>150</v>
      </c>
      <c r="H11" s="518" t="s">
        <v>151</v>
      </c>
      <c r="I11" s="517" t="s">
        <v>151</v>
      </c>
      <c r="J11" s="517" t="s">
        <v>150</v>
      </c>
      <c r="K11" s="520"/>
      <c r="L11" s="521"/>
      <c r="M11" s="522" t="s">
        <v>147</v>
      </c>
      <c r="N11" s="504"/>
    </row>
    <row r="12" spans="1:15" s="492" customFormat="1" ht="101.25">
      <c r="A12" s="542"/>
      <c r="B12" s="543"/>
      <c r="C12" s="531">
        <v>0</v>
      </c>
      <c r="D12" s="989"/>
      <c r="E12" s="997"/>
      <c r="F12" s="996"/>
      <c r="G12" s="995"/>
      <c r="H12" s="552"/>
      <c r="I12" s="994"/>
      <c r="J12" s="993"/>
      <c r="K12" s="556" t="s">
        <v>197</v>
      </c>
      <c r="L12" s="539" t="s">
        <v>155</v>
      </c>
      <c r="M12" s="540">
        <v>349</v>
      </c>
      <c r="N12" s="541"/>
    </row>
    <row r="13" spans="1:15" s="492" customFormat="1">
      <c r="A13" s="542">
        <v>125</v>
      </c>
      <c r="B13" s="543">
        <v>0</v>
      </c>
      <c r="C13" s="531">
        <v>10</v>
      </c>
      <c r="D13" s="989">
        <v>966</v>
      </c>
      <c r="E13" s="988">
        <f>C12</f>
        <v>0</v>
      </c>
      <c r="F13" s="987">
        <f t="shared" ref="F13:F45" si="0">(C13+C14-10)/2</f>
        <v>10</v>
      </c>
      <c r="G13" s="551">
        <f t="shared" ref="G13:G46" si="1">(A13-B13)/966</f>
        <v>0.12939958592132506</v>
      </c>
      <c r="H13" s="986">
        <f t="shared" ref="H13:H46" si="2">(G13*(F13-E13))/100</f>
        <v>1.2939958592132506E-2</v>
      </c>
      <c r="I13" s="985">
        <f>SUM(H$13:H13)</f>
        <v>1.2939958592132506E-2</v>
      </c>
      <c r="J13" s="554">
        <f t="shared" ref="J13:J46" si="3">I13/F13*100</f>
        <v>0.12939958592132506</v>
      </c>
      <c r="K13" s="555"/>
      <c r="L13" s="556"/>
      <c r="M13" s="557"/>
      <c r="N13" s="504"/>
    </row>
    <row r="14" spans="1:15" s="492" customFormat="1">
      <c r="A14" s="542">
        <v>155</v>
      </c>
      <c r="B14" s="543">
        <v>0</v>
      </c>
      <c r="C14" s="531">
        <v>20</v>
      </c>
      <c r="D14" s="989">
        <v>966</v>
      </c>
      <c r="E14" s="988">
        <f t="shared" ref="E14:E46" si="4">(C13+C14-10)/2</f>
        <v>10</v>
      </c>
      <c r="F14" s="987">
        <f t="shared" si="0"/>
        <v>20</v>
      </c>
      <c r="G14" s="551">
        <f t="shared" si="1"/>
        <v>0.16045548654244307</v>
      </c>
      <c r="H14" s="986">
        <f t="shared" si="2"/>
        <v>1.6045548654244304E-2</v>
      </c>
      <c r="I14" s="985">
        <f>SUM(H$13:H14)</f>
        <v>2.8985507246376808E-2</v>
      </c>
      <c r="J14" s="554">
        <f t="shared" si="3"/>
        <v>0.14492753623188404</v>
      </c>
      <c r="K14" s="555"/>
      <c r="L14" s="556"/>
      <c r="M14" s="557"/>
      <c r="N14" s="504"/>
    </row>
    <row r="15" spans="1:15" s="492" customFormat="1">
      <c r="A15" s="542">
        <v>175</v>
      </c>
      <c r="B15" s="543">
        <v>0</v>
      </c>
      <c r="C15" s="531">
        <v>30</v>
      </c>
      <c r="D15" s="989">
        <v>966</v>
      </c>
      <c r="E15" s="988">
        <f t="shared" si="4"/>
        <v>20</v>
      </c>
      <c r="F15" s="987">
        <f t="shared" si="0"/>
        <v>30</v>
      </c>
      <c r="G15" s="551">
        <f t="shared" si="1"/>
        <v>0.18115942028985507</v>
      </c>
      <c r="H15" s="986">
        <f t="shared" si="2"/>
        <v>1.8115942028985508E-2</v>
      </c>
      <c r="I15" s="985">
        <f>SUM(H$13:H15)</f>
        <v>4.710144927536232E-2</v>
      </c>
      <c r="J15" s="554">
        <f t="shared" si="3"/>
        <v>0.1570048309178744</v>
      </c>
      <c r="K15" s="555"/>
      <c r="L15" s="556"/>
      <c r="M15" s="558"/>
      <c r="N15" s="504"/>
    </row>
    <row r="16" spans="1:15" s="492" customFormat="1">
      <c r="A16" s="559">
        <v>150</v>
      </c>
      <c r="B16" s="543">
        <v>0</v>
      </c>
      <c r="C16" s="531">
        <v>40</v>
      </c>
      <c r="D16" s="989">
        <v>966</v>
      </c>
      <c r="E16" s="988">
        <f t="shared" si="4"/>
        <v>30</v>
      </c>
      <c r="F16" s="987">
        <f t="shared" si="0"/>
        <v>40</v>
      </c>
      <c r="G16" s="551">
        <f t="shared" si="1"/>
        <v>0.15527950310559005</v>
      </c>
      <c r="H16" s="986">
        <f t="shared" si="2"/>
        <v>1.5527950310559004E-2</v>
      </c>
      <c r="I16" s="985">
        <f>SUM(H$13:H16)</f>
        <v>6.2629399585921328E-2</v>
      </c>
      <c r="J16" s="554">
        <f t="shared" si="3"/>
        <v>0.15657349896480333</v>
      </c>
      <c r="K16" s="555"/>
      <c r="L16" s="556"/>
      <c r="M16" s="557"/>
      <c r="N16" s="504"/>
    </row>
    <row r="17" spans="1:16" s="492" customFormat="1">
      <c r="A17" s="559">
        <v>220</v>
      </c>
      <c r="B17" s="543">
        <v>0</v>
      </c>
      <c r="C17" s="531">
        <v>50</v>
      </c>
      <c r="D17" s="989">
        <v>966</v>
      </c>
      <c r="E17" s="988">
        <f t="shared" si="4"/>
        <v>40</v>
      </c>
      <c r="F17" s="987">
        <f t="shared" si="0"/>
        <v>50</v>
      </c>
      <c r="G17" s="551">
        <f t="shared" si="1"/>
        <v>0.2277432712215321</v>
      </c>
      <c r="H17" s="986">
        <f t="shared" si="2"/>
        <v>2.2774327122153212E-2</v>
      </c>
      <c r="I17" s="985">
        <f>SUM(H$13:H17)</f>
        <v>8.5403726708074543E-2</v>
      </c>
      <c r="J17" s="554">
        <f t="shared" si="3"/>
        <v>0.17080745341614909</v>
      </c>
      <c r="K17" s="992" t="s">
        <v>156</v>
      </c>
      <c r="L17" s="556"/>
      <c r="M17" s="557"/>
      <c r="N17" s="490"/>
    </row>
    <row r="18" spans="1:16" s="492" customFormat="1">
      <c r="A18" s="559">
        <v>280</v>
      </c>
      <c r="B18" s="543">
        <v>0</v>
      </c>
      <c r="C18" s="531">
        <v>60</v>
      </c>
      <c r="D18" s="989">
        <v>966</v>
      </c>
      <c r="E18" s="988">
        <f t="shared" si="4"/>
        <v>50</v>
      </c>
      <c r="F18" s="987">
        <f t="shared" si="0"/>
        <v>60</v>
      </c>
      <c r="G18" s="551">
        <f t="shared" si="1"/>
        <v>0.28985507246376813</v>
      </c>
      <c r="H18" s="986">
        <f t="shared" si="2"/>
        <v>2.8985507246376812E-2</v>
      </c>
      <c r="I18" s="985">
        <f>SUM(H$13:H18)</f>
        <v>0.11438923395445136</v>
      </c>
      <c r="J18" s="554">
        <f t="shared" si="3"/>
        <v>0.19064872325741894</v>
      </c>
      <c r="K18" s="560"/>
      <c r="L18" s="556"/>
      <c r="M18" s="557"/>
      <c r="N18" s="490"/>
    </row>
    <row r="19" spans="1:16" s="492" customFormat="1" ht="10.15" customHeight="1">
      <c r="A19" s="559">
        <v>340</v>
      </c>
      <c r="B19" s="543">
        <v>0</v>
      </c>
      <c r="C19" s="531">
        <v>70</v>
      </c>
      <c r="D19" s="989">
        <v>966</v>
      </c>
      <c r="E19" s="988">
        <f t="shared" si="4"/>
        <v>60</v>
      </c>
      <c r="F19" s="987">
        <f t="shared" si="0"/>
        <v>70</v>
      </c>
      <c r="G19" s="551">
        <f t="shared" si="1"/>
        <v>0.35196687370600416</v>
      </c>
      <c r="H19" s="986">
        <f t="shared" si="2"/>
        <v>3.5196687370600416E-2</v>
      </c>
      <c r="I19" s="985">
        <f>SUM(H$13:H19)</f>
        <v>0.14958592132505177</v>
      </c>
      <c r="J19" s="554">
        <f t="shared" si="3"/>
        <v>0.21369417332150253</v>
      </c>
      <c r="K19" s="560"/>
      <c r="L19" s="556"/>
      <c r="M19" s="557"/>
      <c r="N19" s="561"/>
    </row>
    <row r="20" spans="1:16" s="492" customFormat="1">
      <c r="A20" s="559">
        <v>365</v>
      </c>
      <c r="B20" s="543">
        <v>0</v>
      </c>
      <c r="C20" s="531">
        <v>80</v>
      </c>
      <c r="D20" s="989">
        <v>966</v>
      </c>
      <c r="E20" s="988">
        <f t="shared" si="4"/>
        <v>70</v>
      </c>
      <c r="F20" s="987">
        <f t="shared" si="0"/>
        <v>80</v>
      </c>
      <c r="G20" s="551">
        <f t="shared" si="1"/>
        <v>0.37784679089026912</v>
      </c>
      <c r="H20" s="986">
        <f t="shared" si="2"/>
        <v>3.7784679089026912E-2</v>
      </c>
      <c r="I20" s="985">
        <f>SUM(H$13:H20)</f>
        <v>0.18737060041407869</v>
      </c>
      <c r="J20" s="554">
        <f t="shared" si="3"/>
        <v>0.23421325051759836</v>
      </c>
      <c r="K20" s="555"/>
      <c r="L20" s="556"/>
      <c r="M20" s="557"/>
      <c r="N20" s="562"/>
    </row>
    <row r="21" spans="1:16" s="564" customFormat="1">
      <c r="A21" s="559">
        <v>365</v>
      </c>
      <c r="B21" s="543">
        <v>0</v>
      </c>
      <c r="C21" s="531">
        <v>90</v>
      </c>
      <c r="D21" s="989">
        <v>966</v>
      </c>
      <c r="E21" s="988">
        <f t="shared" si="4"/>
        <v>80</v>
      </c>
      <c r="F21" s="987">
        <f t="shared" si="0"/>
        <v>90</v>
      </c>
      <c r="G21" s="551">
        <f t="shared" si="1"/>
        <v>0.37784679089026912</v>
      </c>
      <c r="H21" s="986">
        <f t="shared" si="2"/>
        <v>3.7784679089026912E-2</v>
      </c>
      <c r="I21" s="985">
        <f>SUM(H$13:H21)</f>
        <v>0.2251552795031056</v>
      </c>
      <c r="J21" s="554">
        <f t="shared" si="3"/>
        <v>0.25017253278122847</v>
      </c>
      <c r="K21" s="563"/>
      <c r="L21" s="556"/>
      <c r="M21" s="557"/>
      <c r="N21" s="562"/>
    </row>
    <row r="22" spans="1:16" s="564" customFormat="1">
      <c r="A22" s="559">
        <v>390</v>
      </c>
      <c r="B22" s="543">
        <v>0</v>
      </c>
      <c r="C22" s="531">
        <v>100</v>
      </c>
      <c r="D22" s="989">
        <v>966</v>
      </c>
      <c r="E22" s="988">
        <f t="shared" si="4"/>
        <v>90</v>
      </c>
      <c r="F22" s="987">
        <f t="shared" si="0"/>
        <v>100</v>
      </c>
      <c r="G22" s="551">
        <f t="shared" si="1"/>
        <v>0.40372670807453415</v>
      </c>
      <c r="H22" s="986">
        <f t="shared" si="2"/>
        <v>4.0372670807453409E-2</v>
      </c>
      <c r="I22" s="985">
        <f>SUM(H$13:H22)</f>
        <v>0.26552795031055898</v>
      </c>
      <c r="J22" s="554">
        <f t="shared" si="3"/>
        <v>0.26552795031055898</v>
      </c>
      <c r="K22" s="555"/>
      <c r="L22" s="556"/>
      <c r="M22" s="566"/>
      <c r="N22" s="562"/>
    </row>
    <row r="23" spans="1:16" s="564" customFormat="1">
      <c r="A23" s="559">
        <v>400</v>
      </c>
      <c r="B23" s="543">
        <v>0</v>
      </c>
      <c r="C23" s="531">
        <v>110</v>
      </c>
      <c r="D23" s="989">
        <v>966</v>
      </c>
      <c r="E23" s="988">
        <f t="shared" si="4"/>
        <v>100</v>
      </c>
      <c r="F23" s="987">
        <f t="shared" si="0"/>
        <v>110</v>
      </c>
      <c r="G23" s="551">
        <f t="shared" si="1"/>
        <v>0.41407867494824019</v>
      </c>
      <c r="H23" s="986">
        <f t="shared" si="2"/>
        <v>4.1407867494824016E-2</v>
      </c>
      <c r="I23" s="985">
        <f>SUM(H$13:H23)</f>
        <v>0.30693581780538298</v>
      </c>
      <c r="J23" s="554">
        <f t="shared" si="3"/>
        <v>0.27903256164125728</v>
      </c>
      <c r="K23" s="991"/>
      <c r="L23" s="556"/>
      <c r="M23" s="581"/>
      <c r="N23" s="582"/>
    </row>
    <row r="24" spans="1:16" s="564" customFormat="1">
      <c r="A24" s="559">
        <v>395</v>
      </c>
      <c r="B24" s="543">
        <v>0</v>
      </c>
      <c r="C24" s="531">
        <v>120</v>
      </c>
      <c r="D24" s="989">
        <v>966</v>
      </c>
      <c r="E24" s="988">
        <f t="shared" si="4"/>
        <v>110</v>
      </c>
      <c r="F24" s="987">
        <f t="shared" si="0"/>
        <v>120</v>
      </c>
      <c r="G24" s="551">
        <f t="shared" si="1"/>
        <v>0.40890269151138714</v>
      </c>
      <c r="H24" s="986">
        <f t="shared" si="2"/>
        <v>4.0890269151138713E-2</v>
      </c>
      <c r="I24" s="985">
        <f>SUM(H$13:H24)</f>
        <v>0.34782608695652167</v>
      </c>
      <c r="J24" s="554">
        <f t="shared" si="3"/>
        <v>0.28985507246376807</v>
      </c>
      <c r="K24" s="990" t="s">
        <v>190</v>
      </c>
      <c r="L24" s="556"/>
      <c r="M24" s="581"/>
      <c r="N24" s="582"/>
    </row>
    <row r="25" spans="1:16" s="564" customFormat="1">
      <c r="A25" s="559">
        <v>420</v>
      </c>
      <c r="B25" s="543">
        <v>0</v>
      </c>
      <c r="C25" s="531">
        <v>130</v>
      </c>
      <c r="D25" s="989">
        <v>966</v>
      </c>
      <c r="E25" s="988">
        <f t="shared" si="4"/>
        <v>120</v>
      </c>
      <c r="F25" s="987">
        <f t="shared" si="0"/>
        <v>130</v>
      </c>
      <c r="G25" s="551">
        <f t="shared" si="1"/>
        <v>0.43478260869565216</v>
      </c>
      <c r="H25" s="986">
        <f t="shared" si="2"/>
        <v>4.3478260869565216E-2</v>
      </c>
      <c r="I25" s="985">
        <f>SUM(H$13:H25)</f>
        <v>0.39130434782608692</v>
      </c>
      <c r="J25" s="554">
        <f t="shared" si="3"/>
        <v>0.30100334448160532</v>
      </c>
      <c r="K25" s="990" t="s">
        <v>191</v>
      </c>
      <c r="L25" s="556"/>
      <c r="M25" s="581"/>
      <c r="N25" s="582"/>
    </row>
    <row r="26" spans="1:16" s="564" customFormat="1">
      <c r="A26" s="559">
        <v>410</v>
      </c>
      <c r="B26" s="543">
        <v>0</v>
      </c>
      <c r="C26" s="531">
        <v>140</v>
      </c>
      <c r="D26" s="989">
        <v>966</v>
      </c>
      <c r="E26" s="988">
        <f t="shared" si="4"/>
        <v>130</v>
      </c>
      <c r="F26" s="987">
        <f t="shared" si="0"/>
        <v>140</v>
      </c>
      <c r="G26" s="551">
        <f t="shared" si="1"/>
        <v>0.42443064182194618</v>
      </c>
      <c r="H26" s="986">
        <f t="shared" si="2"/>
        <v>4.2443064182194616E-2</v>
      </c>
      <c r="I26" s="985">
        <f>SUM(H$13:H26)</f>
        <v>0.43374741200828154</v>
      </c>
      <c r="J26" s="554">
        <f t="shared" si="3"/>
        <v>0.30981958000591536</v>
      </c>
      <c r="K26" s="990"/>
      <c r="L26" s="556"/>
      <c r="M26" s="557"/>
      <c r="N26" s="582"/>
    </row>
    <row r="27" spans="1:16" s="564" customFormat="1">
      <c r="A27" s="559">
        <v>400</v>
      </c>
      <c r="B27" s="543">
        <v>0</v>
      </c>
      <c r="C27" s="531">
        <v>150</v>
      </c>
      <c r="D27" s="989">
        <v>966</v>
      </c>
      <c r="E27" s="988">
        <f t="shared" si="4"/>
        <v>140</v>
      </c>
      <c r="F27" s="987">
        <f t="shared" si="0"/>
        <v>150</v>
      </c>
      <c r="G27" s="551">
        <f t="shared" si="1"/>
        <v>0.41407867494824019</v>
      </c>
      <c r="H27" s="986">
        <f t="shared" si="2"/>
        <v>4.1407867494824016E-2</v>
      </c>
      <c r="I27" s="985">
        <f>SUM(H$13:H27)</f>
        <v>0.47515527950310554</v>
      </c>
      <c r="J27" s="554">
        <f t="shared" si="3"/>
        <v>0.31677018633540371</v>
      </c>
      <c r="K27" s="990"/>
      <c r="L27" s="556"/>
      <c r="M27" s="557"/>
      <c r="N27" s="582"/>
    </row>
    <row r="28" spans="1:16" s="564" customFormat="1">
      <c r="A28" s="559">
        <v>410</v>
      </c>
      <c r="B28" s="543">
        <v>0</v>
      </c>
      <c r="C28" s="531">
        <v>160</v>
      </c>
      <c r="D28" s="989">
        <v>966</v>
      </c>
      <c r="E28" s="988">
        <f t="shared" si="4"/>
        <v>150</v>
      </c>
      <c r="F28" s="987">
        <f t="shared" si="0"/>
        <v>160</v>
      </c>
      <c r="G28" s="551">
        <f t="shared" si="1"/>
        <v>0.42443064182194618</v>
      </c>
      <c r="H28" s="986">
        <f t="shared" si="2"/>
        <v>4.2443064182194616E-2</v>
      </c>
      <c r="I28" s="985">
        <f>SUM(H$13:H28)</f>
        <v>0.51759834368530011</v>
      </c>
      <c r="J28" s="554">
        <f t="shared" si="3"/>
        <v>0.32349896480331258</v>
      </c>
      <c r="K28" s="990"/>
      <c r="L28" s="556"/>
      <c r="M28" s="557"/>
      <c r="N28" s="582"/>
    </row>
    <row r="29" spans="1:16">
      <c r="A29" s="559">
        <v>470</v>
      </c>
      <c r="B29" s="543">
        <v>0</v>
      </c>
      <c r="C29" s="531">
        <v>170</v>
      </c>
      <c r="D29" s="989">
        <v>966</v>
      </c>
      <c r="E29" s="988">
        <f t="shared" si="4"/>
        <v>160</v>
      </c>
      <c r="F29" s="987">
        <f t="shared" si="0"/>
        <v>170</v>
      </c>
      <c r="G29" s="551">
        <f t="shared" si="1"/>
        <v>0.48654244306418221</v>
      </c>
      <c r="H29" s="986">
        <f t="shared" si="2"/>
        <v>4.8654244306418216E-2</v>
      </c>
      <c r="I29" s="985">
        <f>SUM(H$13:H29)</f>
        <v>0.56625258799171829</v>
      </c>
      <c r="J29" s="554">
        <f t="shared" si="3"/>
        <v>0.33308975764218723</v>
      </c>
      <c r="K29" s="990"/>
      <c r="L29" s="556"/>
      <c r="M29" s="557"/>
      <c r="N29" s="582"/>
      <c r="O29" s="564"/>
      <c r="P29" s="564"/>
    </row>
    <row r="30" spans="1:16">
      <c r="A30" s="559">
        <v>400</v>
      </c>
      <c r="B30" s="543">
        <v>0</v>
      </c>
      <c r="C30" s="531">
        <v>180</v>
      </c>
      <c r="D30" s="989">
        <v>966</v>
      </c>
      <c r="E30" s="988">
        <f t="shared" si="4"/>
        <v>170</v>
      </c>
      <c r="F30" s="987">
        <f t="shared" si="0"/>
        <v>180</v>
      </c>
      <c r="G30" s="551">
        <f t="shared" si="1"/>
        <v>0.41407867494824019</v>
      </c>
      <c r="H30" s="986">
        <f t="shared" si="2"/>
        <v>4.1407867494824016E-2</v>
      </c>
      <c r="I30" s="985">
        <f>SUM(H$13:H30)</f>
        <v>0.60766045548654235</v>
      </c>
      <c r="J30" s="554">
        <f t="shared" si="3"/>
        <v>0.33758914193696798</v>
      </c>
      <c r="K30" s="990"/>
      <c r="L30" s="556"/>
      <c r="M30" s="557"/>
      <c r="N30" s="582"/>
      <c r="O30" s="564"/>
      <c r="P30" s="564"/>
    </row>
    <row r="31" spans="1:16">
      <c r="A31" s="559">
        <v>405</v>
      </c>
      <c r="B31" s="543">
        <v>0</v>
      </c>
      <c r="C31" s="531">
        <v>190</v>
      </c>
      <c r="D31" s="989">
        <v>966</v>
      </c>
      <c r="E31" s="988">
        <f t="shared" si="4"/>
        <v>180</v>
      </c>
      <c r="F31" s="987">
        <f t="shared" si="0"/>
        <v>190</v>
      </c>
      <c r="G31" s="551">
        <f t="shared" si="1"/>
        <v>0.41925465838509318</v>
      </c>
      <c r="H31" s="986">
        <f t="shared" si="2"/>
        <v>4.192546583850932E-2</v>
      </c>
      <c r="I31" s="985">
        <f>SUM(H$13:H31)</f>
        <v>0.64958592132505166</v>
      </c>
      <c r="J31" s="554">
        <f t="shared" si="3"/>
        <v>0.34188732701318508</v>
      </c>
      <c r="K31" s="990"/>
      <c r="L31" s="556"/>
      <c r="M31" s="557"/>
      <c r="N31" s="582"/>
      <c r="O31" s="564"/>
      <c r="P31" s="564"/>
    </row>
    <row r="32" spans="1:16">
      <c r="A32" s="559">
        <v>420</v>
      </c>
      <c r="B32" s="543">
        <v>0</v>
      </c>
      <c r="C32" s="531">
        <v>200</v>
      </c>
      <c r="D32" s="989">
        <v>966</v>
      </c>
      <c r="E32" s="988">
        <f t="shared" si="4"/>
        <v>190</v>
      </c>
      <c r="F32" s="987">
        <f t="shared" si="0"/>
        <v>200</v>
      </c>
      <c r="G32" s="551">
        <f t="shared" si="1"/>
        <v>0.43478260869565216</v>
      </c>
      <c r="H32" s="986">
        <f t="shared" si="2"/>
        <v>4.3478260869565216E-2</v>
      </c>
      <c r="I32" s="985">
        <f>SUM(H$13:H32)</f>
        <v>0.69306418219461685</v>
      </c>
      <c r="J32" s="554">
        <f t="shared" si="3"/>
        <v>0.34653209109730843</v>
      </c>
      <c r="K32" s="565"/>
      <c r="L32" s="556"/>
      <c r="M32" s="557"/>
      <c r="N32" s="582"/>
      <c r="O32" s="564"/>
      <c r="P32" s="564"/>
    </row>
    <row r="33" spans="1:17">
      <c r="A33" s="559">
        <v>425</v>
      </c>
      <c r="B33" s="543">
        <v>0</v>
      </c>
      <c r="C33" s="531">
        <v>210</v>
      </c>
      <c r="D33" s="989">
        <v>966</v>
      </c>
      <c r="E33" s="988">
        <f t="shared" si="4"/>
        <v>200</v>
      </c>
      <c r="F33" s="987">
        <f t="shared" si="0"/>
        <v>210</v>
      </c>
      <c r="G33" s="551">
        <f t="shared" si="1"/>
        <v>0.43995859213250516</v>
      </c>
      <c r="H33" s="986">
        <f t="shared" si="2"/>
        <v>4.399585921325052E-2</v>
      </c>
      <c r="I33" s="985">
        <f>SUM(H$13:H33)</f>
        <v>0.73706004140786741</v>
      </c>
      <c r="J33" s="554">
        <f t="shared" si="3"/>
        <v>0.35098097209898449</v>
      </c>
      <c r="K33" s="565" t="s">
        <v>192</v>
      </c>
      <c r="L33" s="556"/>
      <c r="M33" s="557"/>
      <c r="N33" s="582"/>
      <c r="O33" s="564"/>
      <c r="P33" s="564"/>
    </row>
    <row r="34" spans="1:17">
      <c r="A34" s="559">
        <v>385</v>
      </c>
      <c r="B34" s="543">
        <v>0</v>
      </c>
      <c r="C34" s="531">
        <v>220</v>
      </c>
      <c r="D34" s="989">
        <v>966</v>
      </c>
      <c r="E34" s="988">
        <f t="shared" si="4"/>
        <v>210</v>
      </c>
      <c r="F34" s="987">
        <f t="shared" si="0"/>
        <v>220</v>
      </c>
      <c r="G34" s="551">
        <f t="shared" si="1"/>
        <v>0.39855072463768115</v>
      </c>
      <c r="H34" s="986">
        <f t="shared" si="2"/>
        <v>3.9855072463768113E-2</v>
      </c>
      <c r="I34" s="985">
        <f>SUM(H$13:H34)</f>
        <v>0.77691511387163548</v>
      </c>
      <c r="J34" s="554">
        <f t="shared" si="3"/>
        <v>0.35314323357801614</v>
      </c>
      <c r="K34" s="565"/>
      <c r="L34" s="556"/>
      <c r="M34" s="557"/>
      <c r="N34" s="594"/>
      <c r="O34" s="593"/>
      <c r="P34" s="593"/>
    </row>
    <row r="35" spans="1:17">
      <c r="A35" s="559">
        <v>390</v>
      </c>
      <c r="B35" s="543">
        <v>0</v>
      </c>
      <c r="C35" s="531">
        <v>230</v>
      </c>
      <c r="D35" s="989">
        <v>966</v>
      </c>
      <c r="E35" s="988">
        <f t="shared" si="4"/>
        <v>220</v>
      </c>
      <c r="F35" s="987">
        <f t="shared" si="0"/>
        <v>230</v>
      </c>
      <c r="G35" s="551">
        <f t="shared" si="1"/>
        <v>0.40372670807453415</v>
      </c>
      <c r="H35" s="986">
        <f t="shared" si="2"/>
        <v>4.0372670807453409E-2</v>
      </c>
      <c r="I35" s="985">
        <f>SUM(H$13:H35)</f>
        <v>0.81728778467908891</v>
      </c>
      <c r="J35" s="554">
        <f t="shared" si="3"/>
        <v>0.35534251507786474</v>
      </c>
      <c r="K35" s="565" t="s">
        <v>193</v>
      </c>
      <c r="L35" s="556"/>
      <c r="M35" s="557"/>
      <c r="N35" s="595"/>
      <c r="O35" s="596"/>
      <c r="P35" s="597"/>
      <c r="Q35" s="596"/>
    </row>
    <row r="36" spans="1:17">
      <c r="A36" s="559">
        <v>435</v>
      </c>
      <c r="B36" s="543">
        <v>0</v>
      </c>
      <c r="C36" s="531">
        <v>240</v>
      </c>
      <c r="D36" s="989">
        <v>966</v>
      </c>
      <c r="E36" s="988">
        <f t="shared" si="4"/>
        <v>230</v>
      </c>
      <c r="F36" s="987">
        <f t="shared" si="0"/>
        <v>240</v>
      </c>
      <c r="G36" s="551">
        <f t="shared" si="1"/>
        <v>0.4503105590062112</v>
      </c>
      <c r="H36" s="986">
        <f t="shared" si="2"/>
        <v>4.503105590062112E-2</v>
      </c>
      <c r="I36" s="985">
        <f>SUM(H$13:H36)</f>
        <v>0.86231884057970998</v>
      </c>
      <c r="J36" s="554">
        <f t="shared" si="3"/>
        <v>0.35929951690821249</v>
      </c>
      <c r="K36" s="565" t="s">
        <v>194</v>
      </c>
      <c r="L36" s="556"/>
      <c r="M36" s="557"/>
      <c r="N36" s="595"/>
      <c r="O36" s="596"/>
      <c r="P36" s="598"/>
      <c r="Q36" s="596"/>
    </row>
    <row r="37" spans="1:17">
      <c r="A37" s="559">
        <v>485</v>
      </c>
      <c r="B37" s="543">
        <v>0</v>
      </c>
      <c r="C37" s="531">
        <v>250</v>
      </c>
      <c r="D37" s="989">
        <v>966</v>
      </c>
      <c r="E37" s="988">
        <f t="shared" si="4"/>
        <v>240</v>
      </c>
      <c r="F37" s="987">
        <f t="shared" si="0"/>
        <v>250</v>
      </c>
      <c r="G37" s="551">
        <f t="shared" si="1"/>
        <v>0.50207039337474124</v>
      </c>
      <c r="H37" s="986">
        <f t="shared" si="2"/>
        <v>5.0207039337474127E-2</v>
      </c>
      <c r="I37" s="985">
        <f>SUM(H$13:H37)</f>
        <v>0.91252587991718415</v>
      </c>
      <c r="J37" s="554">
        <f t="shared" si="3"/>
        <v>0.36501035196687365</v>
      </c>
      <c r="K37" s="565"/>
      <c r="L37" s="556"/>
      <c r="M37" s="557"/>
      <c r="N37" s="599"/>
      <c r="O37" s="596"/>
      <c r="P37" s="596"/>
      <c r="Q37" s="596"/>
    </row>
    <row r="38" spans="1:17">
      <c r="A38" s="559">
        <v>485</v>
      </c>
      <c r="B38" s="543">
        <v>0</v>
      </c>
      <c r="C38" s="531">
        <v>260</v>
      </c>
      <c r="D38" s="989">
        <v>966</v>
      </c>
      <c r="E38" s="988">
        <f t="shared" si="4"/>
        <v>250</v>
      </c>
      <c r="F38" s="987">
        <f t="shared" si="0"/>
        <v>260</v>
      </c>
      <c r="G38" s="551">
        <f t="shared" si="1"/>
        <v>0.50207039337474124</v>
      </c>
      <c r="H38" s="986">
        <f t="shared" si="2"/>
        <v>5.0207039337474127E-2</v>
      </c>
      <c r="I38" s="985">
        <f>SUM(H$13:H38)</f>
        <v>0.96273291925465831</v>
      </c>
      <c r="J38" s="554">
        <f t="shared" si="3"/>
        <v>0.37028189202102241</v>
      </c>
      <c r="K38" s="565" t="s">
        <v>190</v>
      </c>
      <c r="L38" s="556"/>
      <c r="M38" s="557"/>
      <c r="N38" s="600"/>
      <c r="O38" s="601"/>
      <c r="P38" s="593"/>
    </row>
    <row r="39" spans="1:17">
      <c r="A39" s="559">
        <v>475</v>
      </c>
      <c r="B39" s="543">
        <v>0</v>
      </c>
      <c r="C39" s="531">
        <v>270</v>
      </c>
      <c r="D39" s="989">
        <v>966</v>
      </c>
      <c r="E39" s="988">
        <f t="shared" si="4"/>
        <v>260</v>
      </c>
      <c r="F39" s="987">
        <f t="shared" si="0"/>
        <v>270</v>
      </c>
      <c r="G39" s="551">
        <f t="shared" si="1"/>
        <v>0.4917184265010352</v>
      </c>
      <c r="H39" s="986">
        <f t="shared" si="2"/>
        <v>4.917184265010352E-2</v>
      </c>
      <c r="I39" s="985">
        <f>SUM(H$13:H39)</f>
        <v>1.0119047619047619</v>
      </c>
      <c r="J39" s="554">
        <f t="shared" si="3"/>
        <v>0.37477954144620806</v>
      </c>
      <c r="K39" s="565"/>
      <c r="L39" s="556"/>
      <c r="M39" s="557"/>
      <c r="N39" s="601"/>
      <c r="O39" s="601"/>
      <c r="P39" s="593"/>
    </row>
    <row r="40" spans="1:17">
      <c r="A40" s="559">
        <v>485</v>
      </c>
      <c r="B40" s="543">
        <v>0</v>
      </c>
      <c r="C40" s="531">
        <v>280</v>
      </c>
      <c r="D40" s="989">
        <v>966</v>
      </c>
      <c r="E40" s="988">
        <f t="shared" si="4"/>
        <v>270</v>
      </c>
      <c r="F40" s="987">
        <f t="shared" si="0"/>
        <v>280</v>
      </c>
      <c r="G40" s="551">
        <f t="shared" si="1"/>
        <v>0.50207039337474124</v>
      </c>
      <c r="H40" s="986">
        <f t="shared" si="2"/>
        <v>5.0207039337474127E-2</v>
      </c>
      <c r="I40" s="985">
        <f>SUM(H$13:H40)</f>
        <v>1.0621118012422359</v>
      </c>
      <c r="J40" s="554">
        <f t="shared" si="3"/>
        <v>0.37932564330079854</v>
      </c>
      <c r="K40" s="565" t="s">
        <v>195</v>
      </c>
      <c r="L40" s="556"/>
      <c r="M40" s="557"/>
      <c r="O40" s="593"/>
      <c r="P40" s="593"/>
    </row>
    <row r="41" spans="1:17">
      <c r="A41" s="559">
        <v>470</v>
      </c>
      <c r="B41" s="543">
        <v>0</v>
      </c>
      <c r="C41" s="531">
        <v>290</v>
      </c>
      <c r="D41" s="989">
        <v>966</v>
      </c>
      <c r="E41" s="988">
        <f t="shared" si="4"/>
        <v>280</v>
      </c>
      <c r="F41" s="987">
        <f t="shared" si="0"/>
        <v>290</v>
      </c>
      <c r="G41" s="551">
        <f t="shared" si="1"/>
        <v>0.48654244306418221</v>
      </c>
      <c r="H41" s="986">
        <f t="shared" si="2"/>
        <v>4.8654244306418216E-2</v>
      </c>
      <c r="I41" s="985">
        <f>SUM(H$13:H41)</f>
        <v>1.1107660455486541</v>
      </c>
      <c r="J41" s="554">
        <f t="shared" si="3"/>
        <v>0.38302277432712206</v>
      </c>
      <c r="K41" s="565"/>
      <c r="L41" s="556"/>
      <c r="M41" s="557"/>
      <c r="O41" s="593"/>
      <c r="P41" s="593"/>
    </row>
    <row r="42" spans="1:17">
      <c r="A42" s="559">
        <v>440</v>
      </c>
      <c r="B42" s="543">
        <v>0</v>
      </c>
      <c r="C42" s="531">
        <v>300</v>
      </c>
      <c r="D42" s="989">
        <v>966</v>
      </c>
      <c r="E42" s="988">
        <f t="shared" si="4"/>
        <v>290</v>
      </c>
      <c r="F42" s="987">
        <f t="shared" si="0"/>
        <v>300</v>
      </c>
      <c r="G42" s="551">
        <f t="shared" si="1"/>
        <v>0.45548654244306419</v>
      </c>
      <c r="H42" s="986">
        <f t="shared" si="2"/>
        <v>4.5548654244306423E-2</v>
      </c>
      <c r="I42" s="985">
        <f>SUM(H$13:H42)</f>
        <v>1.1563146997929605</v>
      </c>
      <c r="J42" s="554">
        <f t="shared" si="3"/>
        <v>0.38543823326432014</v>
      </c>
      <c r="K42" s="565"/>
      <c r="L42" s="556"/>
      <c r="M42" s="557"/>
      <c r="O42" s="593"/>
      <c r="P42" s="593"/>
    </row>
    <row r="43" spans="1:17">
      <c r="A43" s="559">
        <v>470</v>
      </c>
      <c r="B43" s="543">
        <v>0</v>
      </c>
      <c r="C43" s="531">
        <v>310</v>
      </c>
      <c r="D43" s="989">
        <v>966</v>
      </c>
      <c r="E43" s="988">
        <f t="shared" si="4"/>
        <v>300</v>
      </c>
      <c r="F43" s="987">
        <f t="shared" si="0"/>
        <v>310</v>
      </c>
      <c r="G43" s="551">
        <f t="shared" si="1"/>
        <v>0.48654244306418221</v>
      </c>
      <c r="H43" s="986">
        <f t="shared" si="2"/>
        <v>4.8654244306418216E-2</v>
      </c>
      <c r="I43" s="985">
        <f>SUM(H$13:H43)</f>
        <v>1.2049689440993787</v>
      </c>
      <c r="J43" s="554">
        <f t="shared" si="3"/>
        <v>0.38869965938689638</v>
      </c>
      <c r="K43" s="565"/>
      <c r="L43" s="556"/>
      <c r="M43" s="557"/>
      <c r="O43" s="593"/>
      <c r="P43" s="593"/>
    </row>
    <row r="44" spans="1:17">
      <c r="A44" s="559">
        <v>455</v>
      </c>
      <c r="B44" s="543">
        <v>0</v>
      </c>
      <c r="C44" s="531">
        <v>320</v>
      </c>
      <c r="D44" s="989">
        <v>966</v>
      </c>
      <c r="E44" s="988">
        <f t="shared" si="4"/>
        <v>310</v>
      </c>
      <c r="F44" s="987">
        <f t="shared" si="0"/>
        <v>320</v>
      </c>
      <c r="G44" s="551">
        <f t="shared" si="1"/>
        <v>0.47101449275362317</v>
      </c>
      <c r="H44" s="986">
        <f t="shared" si="2"/>
        <v>4.7101449275362313E-2</v>
      </c>
      <c r="I44" s="985">
        <f>SUM(H$13:H44)</f>
        <v>1.252070393374741</v>
      </c>
      <c r="J44" s="554">
        <f t="shared" si="3"/>
        <v>0.39127199792960654</v>
      </c>
      <c r="K44" s="565"/>
      <c r="L44" s="556"/>
      <c r="M44" s="557"/>
      <c r="O44" s="593"/>
      <c r="P44" s="593"/>
    </row>
    <row r="45" spans="1:17">
      <c r="A45" s="559">
        <v>485</v>
      </c>
      <c r="B45" s="543">
        <v>0</v>
      </c>
      <c r="C45" s="531">
        <v>330</v>
      </c>
      <c r="D45" s="989">
        <v>966</v>
      </c>
      <c r="E45" s="988">
        <f t="shared" si="4"/>
        <v>320</v>
      </c>
      <c r="F45" s="987">
        <f t="shared" si="0"/>
        <v>330</v>
      </c>
      <c r="G45" s="551">
        <f t="shared" si="1"/>
        <v>0.50207039337474124</v>
      </c>
      <c r="H45" s="986">
        <f t="shared" si="2"/>
        <v>5.0207039337474127E-2</v>
      </c>
      <c r="I45" s="985">
        <f>SUM(H$13:H45)</f>
        <v>1.3022774327122151</v>
      </c>
      <c r="J45" s="554">
        <f t="shared" si="3"/>
        <v>0.39462952506430754</v>
      </c>
      <c r="K45" s="565"/>
      <c r="L45" s="556"/>
      <c r="M45" s="557"/>
      <c r="O45" s="593"/>
      <c r="P45" s="593"/>
    </row>
    <row r="46" spans="1:17">
      <c r="A46" s="559">
        <v>575</v>
      </c>
      <c r="B46" s="543">
        <v>0</v>
      </c>
      <c r="C46" s="531">
        <v>340</v>
      </c>
      <c r="D46" s="989">
        <v>966</v>
      </c>
      <c r="E46" s="988">
        <f t="shared" si="4"/>
        <v>330</v>
      </c>
      <c r="F46" s="987">
        <f>C46</f>
        <v>340</v>
      </c>
      <c r="G46" s="551">
        <f t="shared" si="1"/>
        <v>0.59523809523809523</v>
      </c>
      <c r="H46" s="986">
        <f t="shared" si="2"/>
        <v>5.9523809523809527E-2</v>
      </c>
      <c r="I46" s="985">
        <f>SUM(H$13:H46)</f>
        <v>1.3618012422360246</v>
      </c>
      <c r="J46" s="554">
        <f t="shared" si="3"/>
        <v>0.40052977712824256</v>
      </c>
      <c r="K46" s="565"/>
      <c r="L46" s="556"/>
      <c r="M46" s="557"/>
      <c r="O46" s="593"/>
      <c r="P46" s="593"/>
    </row>
    <row r="47" spans="1:17">
      <c r="A47" s="559"/>
      <c r="B47" s="543"/>
      <c r="C47" s="531"/>
      <c r="D47" s="989"/>
      <c r="E47" s="988"/>
      <c r="F47" s="987"/>
      <c r="G47" s="551"/>
      <c r="H47" s="986"/>
      <c r="I47" s="985"/>
      <c r="J47" s="554"/>
      <c r="K47" s="565"/>
      <c r="L47" s="556"/>
      <c r="M47" s="557"/>
      <c r="O47" s="593"/>
      <c r="P47" s="593"/>
    </row>
    <row r="48" spans="1:17">
      <c r="A48" s="559"/>
      <c r="B48" s="543"/>
      <c r="C48" s="531"/>
      <c r="D48" s="989"/>
      <c r="E48" s="988"/>
      <c r="F48" s="987"/>
      <c r="G48" s="551"/>
      <c r="H48" s="986"/>
      <c r="I48" s="985"/>
      <c r="J48" s="554"/>
      <c r="K48" s="565"/>
      <c r="L48" s="556"/>
      <c r="M48" s="557"/>
      <c r="O48" s="593"/>
      <c r="P48" s="593"/>
    </row>
    <row r="49" spans="1:17">
      <c r="A49" s="559"/>
      <c r="B49" s="543"/>
      <c r="C49" s="531"/>
      <c r="D49" s="989"/>
      <c r="E49" s="988"/>
      <c r="F49" s="987"/>
      <c r="G49" s="551"/>
      <c r="H49" s="986"/>
      <c r="I49" s="985"/>
      <c r="J49" s="554"/>
      <c r="K49" s="565"/>
      <c r="L49" s="556"/>
      <c r="M49" s="557"/>
      <c r="O49" s="593"/>
      <c r="P49" s="593"/>
    </row>
    <row r="50" spans="1:17">
      <c r="A50" s="559"/>
      <c r="B50" s="543"/>
      <c r="C50" s="531"/>
      <c r="D50" s="989"/>
      <c r="E50" s="988"/>
      <c r="F50" s="987"/>
      <c r="G50" s="551"/>
      <c r="H50" s="986"/>
      <c r="I50" s="985"/>
      <c r="J50" s="554"/>
      <c r="K50" s="565"/>
      <c r="L50" s="556"/>
      <c r="M50" s="557"/>
      <c r="O50" s="593"/>
      <c r="P50" s="593"/>
    </row>
    <row r="51" spans="1:17">
      <c r="A51" s="559"/>
      <c r="B51" s="543"/>
      <c r="C51" s="531"/>
      <c r="D51" s="989"/>
      <c r="E51" s="988"/>
      <c r="F51" s="987"/>
      <c r="G51" s="551"/>
      <c r="H51" s="986"/>
      <c r="I51" s="985"/>
      <c r="J51" s="554"/>
      <c r="K51" s="565"/>
      <c r="L51" s="556"/>
      <c r="M51" s="557"/>
      <c r="O51" s="593"/>
      <c r="P51" s="593"/>
    </row>
    <row r="52" spans="1:17" ht="12" thickBot="1">
      <c r="A52" s="559"/>
      <c r="B52" s="543"/>
      <c r="C52" s="531"/>
      <c r="D52" s="989"/>
      <c r="E52" s="988"/>
      <c r="F52" s="987"/>
      <c r="G52" s="551"/>
      <c r="H52" s="986"/>
      <c r="I52" s="985"/>
      <c r="J52" s="554"/>
      <c r="K52" s="565"/>
      <c r="L52" s="556"/>
      <c r="M52" s="602"/>
      <c r="O52" s="593"/>
      <c r="P52" s="593"/>
    </row>
    <row r="53" spans="1:17">
      <c r="A53" s="559"/>
      <c r="B53" s="543"/>
      <c r="C53" s="531"/>
      <c r="D53" s="989"/>
      <c r="E53" s="988"/>
      <c r="F53" s="987"/>
      <c r="G53" s="551"/>
      <c r="H53" s="986"/>
      <c r="I53" s="985"/>
      <c r="J53" s="554"/>
      <c r="K53" s="565"/>
      <c r="L53" s="603" t="s">
        <v>158</v>
      </c>
      <c r="M53" s="604">
        <f>AVERAGE(M12:M52)</f>
        <v>349</v>
      </c>
      <c r="O53" s="593"/>
      <c r="P53" s="593"/>
    </row>
    <row r="54" spans="1:17">
      <c r="A54" s="559"/>
      <c r="B54" s="543"/>
      <c r="C54" s="531"/>
      <c r="D54" s="989"/>
      <c r="E54" s="988"/>
      <c r="F54" s="987"/>
      <c r="G54" s="551"/>
      <c r="H54" s="986"/>
      <c r="I54" s="985"/>
      <c r="J54" s="554"/>
      <c r="K54" s="565"/>
      <c r="L54" s="433" t="s">
        <v>159</v>
      </c>
      <c r="M54" s="602" t="e">
        <f>STDEV(M12:M52)</f>
        <v>#DIV/0!</v>
      </c>
      <c r="N54" s="605"/>
      <c r="P54" s="593"/>
    </row>
    <row r="55" spans="1:17">
      <c r="A55" s="606" t="s">
        <v>160</v>
      </c>
      <c r="B55" s="607"/>
      <c r="C55" s="608"/>
      <c r="D55" s="984"/>
      <c r="E55" s="983"/>
      <c r="F55" s="982"/>
      <c r="G55" s="613"/>
      <c r="H55" s="981"/>
      <c r="I55" s="980"/>
      <c r="J55" s="616"/>
      <c r="K55" s="617"/>
      <c r="L55" s="433" t="s">
        <v>161</v>
      </c>
      <c r="M55" s="602" t="e">
        <f>M54/SQRT(COUNT(M12:M51))</f>
        <v>#DIV/0!</v>
      </c>
      <c r="N55" s="600"/>
      <c r="Q55" s="605"/>
    </row>
    <row r="56" spans="1:17">
      <c r="A56" s="618"/>
      <c r="B56" s="619"/>
      <c r="C56" s="620"/>
      <c r="D56" s="979"/>
      <c r="E56" s="978"/>
      <c r="F56" s="977"/>
      <c r="G56" s="976"/>
      <c r="H56" s="626"/>
      <c r="I56" s="975"/>
      <c r="J56" s="974"/>
      <c r="K56" s="629"/>
      <c r="L56" s="433" t="s">
        <v>162</v>
      </c>
      <c r="M56" s="602">
        <f>MAX(M12:M51)</f>
        <v>349</v>
      </c>
      <c r="N56" s="600"/>
      <c r="O56" s="593"/>
      <c r="P56" s="593"/>
    </row>
    <row r="57" spans="1:17" ht="12" thickBot="1">
      <c r="A57" s="630"/>
      <c r="B57" s="631"/>
      <c r="C57" s="632"/>
      <c r="D57" s="973"/>
      <c r="E57" s="972"/>
      <c r="F57" s="971"/>
      <c r="G57" s="970"/>
      <c r="H57" s="638"/>
      <c r="I57" s="969"/>
      <c r="J57" s="968"/>
      <c r="K57" s="641"/>
      <c r="L57" s="642" t="s">
        <v>163</v>
      </c>
      <c r="M57" s="643">
        <f>MIN(M12:M51)</f>
        <v>349</v>
      </c>
      <c r="N57" s="605"/>
      <c r="O57" s="593"/>
      <c r="P57" s="593"/>
    </row>
    <row r="58" spans="1:17">
      <c r="A58" s="644"/>
      <c r="B58" s="644"/>
      <c r="C58" s="645"/>
      <c r="D58" s="646"/>
      <c r="E58" s="646"/>
      <c r="F58" s="646"/>
      <c r="G58" s="647"/>
      <c r="H58" s="648"/>
      <c r="I58" s="649"/>
      <c r="J58" s="650"/>
      <c r="K58" s="651"/>
      <c r="L58" s="652"/>
      <c r="M58" s="605"/>
      <c r="O58" s="593"/>
      <c r="P58" s="593"/>
    </row>
    <row r="59" spans="1:17">
      <c r="A59" s="605"/>
      <c r="B59" s="605"/>
      <c r="C59" s="654"/>
      <c r="D59" s="654"/>
      <c r="E59" s="654"/>
      <c r="F59" s="654"/>
      <c r="G59" s="649"/>
      <c r="H59" s="648"/>
      <c r="I59" s="649"/>
      <c r="J59" s="650"/>
      <c r="K59" s="655"/>
      <c r="L59" s="652"/>
      <c r="M59" s="605"/>
      <c r="O59" s="593"/>
      <c r="P59" s="593"/>
    </row>
    <row r="60" spans="1:17">
      <c r="A60" s="656"/>
      <c r="B60" s="656"/>
      <c r="C60" s="656"/>
      <c r="D60" s="656"/>
      <c r="E60" s="650"/>
      <c r="F60" s="657"/>
      <c r="G60" s="605"/>
      <c r="H60" s="593"/>
      <c r="I60" s="605"/>
      <c r="J60" s="593"/>
      <c r="K60" s="593"/>
      <c r="L60" s="605"/>
      <c r="M60" s="605"/>
      <c r="O60" s="593"/>
      <c r="P60" s="593"/>
    </row>
    <row r="61" spans="1:17">
      <c r="A61" s="658"/>
      <c r="B61" s="658"/>
      <c r="C61" s="656"/>
      <c r="D61" s="656"/>
      <c r="E61" s="650"/>
      <c r="F61" s="657"/>
      <c r="G61" s="593"/>
      <c r="H61" s="593"/>
      <c r="I61" s="605"/>
      <c r="J61" s="593"/>
      <c r="K61" s="593"/>
      <c r="L61" s="605"/>
      <c r="M61" s="605"/>
      <c r="O61" s="593"/>
      <c r="P61" s="593"/>
    </row>
    <row r="62" spans="1:17">
      <c r="A62" s="502"/>
      <c r="B62" s="502"/>
      <c r="C62" s="656"/>
      <c r="D62" s="656"/>
      <c r="E62" s="650"/>
      <c r="F62" s="657"/>
      <c r="G62" s="593"/>
      <c r="H62" s="593"/>
      <c r="I62" s="605"/>
      <c r="J62" s="593"/>
      <c r="K62" s="593"/>
      <c r="L62" s="605"/>
      <c r="M62" s="605"/>
      <c r="O62" s="593"/>
      <c r="P62" s="593"/>
    </row>
    <row r="63" spans="1:17">
      <c r="A63" s="656"/>
      <c r="B63" s="656"/>
      <c r="C63" s="656"/>
      <c r="D63" s="656"/>
      <c r="E63" s="650"/>
      <c r="F63" s="657"/>
      <c r="G63" s="593"/>
      <c r="H63" s="593"/>
      <c r="I63" s="605"/>
      <c r="J63" s="593"/>
      <c r="K63" s="593"/>
      <c r="L63" s="605"/>
      <c r="M63" s="605"/>
      <c r="O63" s="593"/>
      <c r="P63" s="593"/>
    </row>
    <row r="64" spans="1:17">
      <c r="A64" s="656"/>
      <c r="B64" s="656"/>
      <c r="C64" s="656"/>
      <c r="D64" s="656"/>
      <c r="E64" s="650"/>
      <c r="F64" s="657"/>
      <c r="G64" s="593"/>
      <c r="H64" s="593"/>
      <c r="I64" s="605"/>
      <c r="J64" s="649"/>
      <c r="K64" s="593"/>
      <c r="L64" s="605"/>
      <c r="M64" s="605"/>
      <c r="O64" s="593"/>
      <c r="P64" s="593"/>
    </row>
    <row r="65" spans="1:16">
      <c r="A65" s="656"/>
      <c r="B65" s="656"/>
      <c r="C65" s="656"/>
      <c r="D65" s="656"/>
      <c r="E65" s="650"/>
      <c r="F65" s="657"/>
      <c r="G65" s="593"/>
      <c r="H65" s="593"/>
      <c r="I65" s="605"/>
      <c r="J65" s="649"/>
      <c r="K65" s="593"/>
      <c r="L65" s="605"/>
      <c r="M65" s="605"/>
      <c r="O65" s="593"/>
      <c r="P65" s="593"/>
    </row>
    <row r="66" spans="1:16">
      <c r="A66" s="656"/>
      <c r="B66" s="656"/>
      <c r="C66" s="656"/>
      <c r="D66" s="656"/>
      <c r="E66" s="650"/>
      <c r="F66" s="657"/>
      <c r="G66" s="593"/>
      <c r="H66" s="593"/>
      <c r="I66" s="605"/>
      <c r="J66" s="593"/>
      <c r="K66" s="593"/>
      <c r="L66" s="605"/>
      <c r="M66" s="605"/>
      <c r="O66" s="593"/>
      <c r="P66" s="593"/>
    </row>
    <row r="67" spans="1:16">
      <c r="A67" s="656"/>
      <c r="B67" s="656"/>
      <c r="C67" s="656"/>
      <c r="D67" s="656"/>
      <c r="E67" s="650"/>
      <c r="F67" s="657"/>
      <c r="G67" s="593"/>
      <c r="H67" s="593"/>
      <c r="I67" s="605"/>
      <c r="J67" s="593"/>
      <c r="K67" s="593"/>
      <c r="L67" s="605"/>
      <c r="M67" s="605"/>
      <c r="O67" s="593"/>
      <c r="P67" s="593"/>
    </row>
    <row r="68" spans="1:16">
      <c r="A68" s="656"/>
      <c r="B68" s="656"/>
      <c r="C68" s="656"/>
      <c r="D68" s="656"/>
      <c r="E68" s="650"/>
      <c r="F68" s="657"/>
      <c r="G68" s="593"/>
      <c r="H68" s="593"/>
      <c r="I68" s="605"/>
      <c r="J68" s="593"/>
      <c r="K68" s="593"/>
      <c r="L68" s="605"/>
      <c r="M68" s="605"/>
      <c r="O68" s="593"/>
      <c r="P68" s="593"/>
    </row>
    <row r="69" spans="1:16">
      <c r="A69" s="656"/>
      <c r="B69" s="656"/>
      <c r="C69" s="656"/>
      <c r="D69" s="656"/>
      <c r="E69" s="650"/>
      <c r="F69" s="657"/>
      <c r="G69" s="593"/>
      <c r="H69" s="593"/>
      <c r="I69" s="605"/>
      <c r="J69" s="593"/>
      <c r="K69" s="593"/>
      <c r="L69" s="605"/>
      <c r="M69" s="605"/>
      <c r="O69" s="593"/>
      <c r="P69" s="593"/>
    </row>
    <row r="70" spans="1:16">
      <c r="A70" s="656"/>
      <c r="B70" s="656"/>
      <c r="C70" s="656"/>
      <c r="D70" s="656"/>
      <c r="E70" s="650"/>
      <c r="F70" s="657"/>
      <c r="G70" s="593"/>
      <c r="H70" s="593"/>
      <c r="I70" s="605"/>
      <c r="J70" s="593"/>
      <c r="K70" s="593"/>
      <c r="L70" s="605"/>
      <c r="M70" s="605"/>
      <c r="O70" s="593"/>
      <c r="P70" s="593"/>
    </row>
    <row r="71" spans="1:16">
      <c r="A71" s="656"/>
      <c r="B71" s="656"/>
      <c r="C71" s="656"/>
      <c r="D71" s="656"/>
      <c r="E71" s="650"/>
      <c r="F71" s="657"/>
      <c r="G71" s="593"/>
      <c r="H71" s="593"/>
      <c r="I71" s="605"/>
      <c r="J71" s="593"/>
      <c r="K71" s="593"/>
      <c r="L71" s="605"/>
      <c r="O71" s="593"/>
      <c r="P71" s="593"/>
    </row>
    <row r="72" spans="1:16">
      <c r="A72" s="656"/>
      <c r="B72" s="656"/>
      <c r="C72" s="656"/>
      <c r="D72" s="656"/>
      <c r="E72" s="650"/>
      <c r="F72" s="657"/>
      <c r="G72" s="593"/>
      <c r="H72" s="593"/>
      <c r="I72" s="605"/>
      <c r="J72" s="593"/>
      <c r="K72" s="593"/>
      <c r="L72" s="605"/>
      <c r="O72" s="593"/>
      <c r="P72" s="593"/>
    </row>
    <row r="73" spans="1:16">
      <c r="A73" s="656"/>
      <c r="B73" s="656"/>
      <c r="C73" s="656"/>
      <c r="D73" s="656"/>
      <c r="E73" s="650"/>
      <c r="F73" s="657"/>
      <c r="G73" s="593"/>
      <c r="H73" s="593"/>
      <c r="I73" s="605"/>
      <c r="J73" s="593"/>
      <c r="K73" s="593"/>
      <c r="L73" s="593"/>
      <c r="O73" s="593"/>
      <c r="P73" s="593"/>
    </row>
    <row r="74" spans="1:16">
      <c r="A74" s="656"/>
      <c r="B74" s="656"/>
      <c r="C74" s="656"/>
      <c r="D74" s="656"/>
      <c r="E74" s="650"/>
      <c r="F74" s="657"/>
      <c r="G74" s="593"/>
      <c r="H74" s="593"/>
      <c r="I74" s="605"/>
      <c r="J74" s="593"/>
      <c r="K74" s="593"/>
      <c r="L74" s="593"/>
      <c r="O74" s="593"/>
      <c r="P74" s="593"/>
    </row>
    <row r="75" spans="1:16">
      <c r="A75" s="656"/>
      <c r="B75" s="656"/>
      <c r="C75" s="656"/>
      <c r="D75" s="656"/>
      <c r="E75" s="650"/>
      <c r="F75" s="657"/>
      <c r="G75" s="593"/>
      <c r="H75" s="593"/>
      <c r="I75" s="605"/>
      <c r="J75" s="593"/>
      <c r="K75" s="593"/>
      <c r="L75" s="593"/>
      <c r="O75" s="593"/>
      <c r="P75" s="593"/>
    </row>
    <row r="76" spans="1:16">
      <c r="A76" s="656"/>
      <c r="B76" s="656"/>
      <c r="C76" s="656"/>
      <c r="D76" s="656"/>
      <c r="E76" s="650"/>
      <c r="F76" s="657"/>
      <c r="G76" s="593"/>
      <c r="H76" s="593"/>
      <c r="I76" s="605"/>
      <c r="J76" s="593"/>
      <c r="K76" s="593"/>
      <c r="L76" s="593"/>
      <c r="O76" s="593"/>
      <c r="P76" s="593"/>
    </row>
    <row r="77" spans="1:16">
      <c r="A77" s="656"/>
      <c r="B77" s="656"/>
      <c r="C77" s="656"/>
      <c r="D77" s="656"/>
      <c r="E77" s="650"/>
      <c r="F77" s="657"/>
      <c r="G77" s="593"/>
      <c r="H77" s="593"/>
      <c r="I77" s="605"/>
      <c r="J77" s="593"/>
      <c r="K77" s="593"/>
      <c r="L77" s="593"/>
      <c r="O77" s="593"/>
      <c r="P77" s="593"/>
    </row>
    <row r="78" spans="1:16">
      <c r="A78" s="656"/>
      <c r="B78" s="656"/>
      <c r="C78" s="656"/>
      <c r="D78" s="656"/>
      <c r="E78" s="650"/>
      <c r="F78" s="657"/>
      <c r="G78" s="593"/>
      <c r="H78" s="593"/>
      <c r="I78" s="605"/>
      <c r="J78" s="593"/>
      <c r="K78" s="593"/>
      <c r="L78" s="593"/>
      <c r="O78" s="593"/>
      <c r="P78" s="593"/>
    </row>
    <row r="79" spans="1:16">
      <c r="A79" s="656"/>
      <c r="B79" s="656"/>
      <c r="C79" s="656"/>
      <c r="D79" s="656"/>
      <c r="E79" s="650"/>
      <c r="F79" s="657"/>
      <c r="G79" s="593"/>
      <c r="H79" s="593"/>
      <c r="I79" s="605"/>
      <c r="J79" s="593"/>
      <c r="K79" s="593"/>
      <c r="L79" s="593"/>
      <c r="O79" s="593"/>
      <c r="P79" s="593"/>
    </row>
    <row r="80" spans="1:16">
      <c r="A80" s="656"/>
      <c r="B80" s="656"/>
      <c r="C80" s="656"/>
      <c r="D80" s="656"/>
      <c r="E80" s="650"/>
      <c r="F80" s="657"/>
      <c r="G80" s="593"/>
      <c r="H80" s="593"/>
      <c r="I80" s="605"/>
      <c r="J80" s="593"/>
      <c r="K80" s="593"/>
      <c r="L80" s="593"/>
      <c r="O80" s="593"/>
      <c r="P80" s="593"/>
    </row>
    <row r="81" spans="1:17">
      <c r="A81" s="656"/>
      <c r="B81" s="656"/>
      <c r="C81" s="656"/>
      <c r="D81" s="656"/>
      <c r="E81" s="650"/>
      <c r="F81" s="657"/>
      <c r="G81" s="593"/>
      <c r="H81" s="593"/>
      <c r="I81" s="605"/>
      <c r="J81" s="593"/>
      <c r="K81" s="593"/>
      <c r="L81" s="593"/>
      <c r="O81" s="593"/>
      <c r="P81" s="593"/>
    </row>
    <row r="82" spans="1:17">
      <c r="A82" s="656"/>
      <c r="B82" s="656"/>
      <c r="C82" s="656"/>
      <c r="D82" s="656"/>
      <c r="E82" s="650"/>
      <c r="F82" s="657"/>
      <c r="G82" s="593"/>
      <c r="H82" s="593"/>
      <c r="I82" s="605"/>
      <c r="J82" s="593"/>
      <c r="K82" s="593"/>
      <c r="L82" s="593"/>
      <c r="O82" s="593"/>
      <c r="P82" s="593"/>
    </row>
    <row r="83" spans="1:17">
      <c r="A83" s="656"/>
      <c r="B83" s="656"/>
      <c r="C83" s="656"/>
      <c r="D83" s="656"/>
      <c r="E83" s="650"/>
      <c r="F83" s="657"/>
      <c r="G83" s="593"/>
      <c r="H83" s="593"/>
      <c r="I83" s="605"/>
      <c r="J83" s="593"/>
      <c r="K83" s="593"/>
      <c r="L83" s="593"/>
      <c r="O83" s="593"/>
      <c r="P83" s="593"/>
    </row>
    <row r="84" spans="1:17">
      <c r="A84" s="656"/>
      <c r="B84" s="656"/>
      <c r="C84" s="656"/>
      <c r="D84" s="656"/>
      <c r="E84" s="650"/>
      <c r="F84" s="657"/>
      <c r="G84" s="653"/>
      <c r="H84" s="593"/>
      <c r="I84" s="605"/>
      <c r="J84" s="593"/>
      <c r="K84" s="593"/>
      <c r="L84" s="593"/>
      <c r="O84" s="593"/>
      <c r="P84" s="593"/>
    </row>
    <row r="85" spans="1:17">
      <c r="A85" s="656"/>
      <c r="B85" s="656"/>
      <c r="C85" s="656"/>
      <c r="D85" s="656"/>
      <c r="E85" s="650"/>
      <c r="F85" s="657"/>
      <c r="G85" s="653"/>
      <c r="H85" s="593"/>
      <c r="I85" s="605"/>
      <c r="J85" s="593"/>
      <c r="K85" s="593"/>
      <c r="L85" s="593"/>
      <c r="O85" s="593"/>
      <c r="P85" s="593"/>
    </row>
    <row r="86" spans="1:17">
      <c r="A86" s="656"/>
      <c r="B86" s="656"/>
      <c r="C86" s="656"/>
      <c r="D86" s="656"/>
      <c r="E86" s="650"/>
      <c r="F86" s="657"/>
      <c r="G86" s="653"/>
      <c r="H86" s="593"/>
      <c r="I86" s="605"/>
      <c r="J86" s="593"/>
      <c r="K86" s="593"/>
      <c r="L86" s="593"/>
      <c r="O86" s="593"/>
      <c r="P86" s="593"/>
    </row>
    <row r="87" spans="1:17">
      <c r="A87" s="656"/>
      <c r="B87" s="656"/>
      <c r="C87" s="656"/>
      <c r="D87" s="656"/>
      <c r="E87" s="650"/>
      <c r="F87" s="657"/>
      <c r="G87" s="653"/>
      <c r="H87" s="593"/>
      <c r="I87" s="605"/>
      <c r="J87" s="593"/>
      <c r="K87" s="593"/>
      <c r="L87" s="593"/>
      <c r="O87" s="593"/>
      <c r="P87" s="593"/>
    </row>
    <row r="88" spans="1:17">
      <c r="A88" s="656"/>
      <c r="B88" s="656"/>
      <c r="C88" s="656"/>
      <c r="D88" s="656"/>
      <c r="E88" s="650"/>
      <c r="F88" s="657"/>
      <c r="G88" s="593"/>
      <c r="H88" s="593"/>
      <c r="I88" s="605"/>
      <c r="J88" s="593"/>
      <c r="K88" s="593"/>
      <c r="L88" s="593"/>
      <c r="O88" s="593"/>
      <c r="P88" s="593"/>
    </row>
    <row r="89" spans="1:17">
      <c r="A89" s="656"/>
      <c r="B89" s="656"/>
      <c r="C89" s="656"/>
      <c r="D89" s="656"/>
      <c r="E89" s="650"/>
      <c r="F89" s="657"/>
      <c r="G89" s="593"/>
      <c r="H89" s="593"/>
      <c r="I89" s="605"/>
      <c r="J89" s="593"/>
      <c r="K89" s="593"/>
      <c r="L89" s="593"/>
      <c r="O89" s="593"/>
      <c r="P89" s="593"/>
    </row>
    <row r="90" spans="1:17" s="656" customFormat="1">
      <c r="E90" s="650"/>
      <c r="F90" s="657"/>
      <c r="G90" s="593"/>
      <c r="H90" s="593"/>
      <c r="I90" s="605"/>
      <c r="J90" s="593"/>
      <c r="K90" s="593"/>
      <c r="L90" s="593"/>
      <c r="M90" s="593"/>
      <c r="N90" s="593"/>
      <c r="O90" s="593"/>
      <c r="P90" s="593"/>
      <c r="Q90" s="593"/>
    </row>
    <row r="91" spans="1:17" s="656" customFormat="1">
      <c r="E91" s="650"/>
      <c r="F91" s="657"/>
      <c r="G91" s="593"/>
      <c r="H91" s="593"/>
      <c r="I91" s="605"/>
      <c r="J91" s="593"/>
      <c r="K91" s="593"/>
      <c r="L91" s="593"/>
      <c r="M91" s="593"/>
      <c r="N91" s="593"/>
      <c r="O91" s="593"/>
      <c r="P91" s="593"/>
      <c r="Q91" s="593"/>
    </row>
    <row r="92" spans="1:17" s="656" customFormat="1">
      <c r="E92" s="650"/>
      <c r="F92" s="657"/>
      <c r="G92" s="593"/>
      <c r="H92" s="593"/>
      <c r="I92" s="605"/>
      <c r="J92" s="593"/>
      <c r="K92" s="593"/>
      <c r="L92" s="593"/>
      <c r="M92" s="593"/>
      <c r="N92" s="593"/>
      <c r="O92" s="593"/>
      <c r="P92" s="593"/>
      <c r="Q92" s="593"/>
    </row>
    <row r="93" spans="1:17" s="656" customFormat="1">
      <c r="E93" s="650"/>
      <c r="F93" s="657"/>
      <c r="G93" s="593"/>
      <c r="H93" s="593"/>
      <c r="I93" s="605"/>
      <c r="J93" s="593"/>
      <c r="K93" s="593"/>
      <c r="L93" s="593"/>
      <c r="M93" s="593"/>
      <c r="N93" s="593"/>
      <c r="O93" s="593"/>
      <c r="P93" s="593"/>
      <c r="Q93" s="593"/>
    </row>
    <row r="94" spans="1:17" s="656" customFormat="1">
      <c r="E94" s="650"/>
      <c r="F94" s="657"/>
      <c r="G94" s="593"/>
      <c r="H94" s="593"/>
      <c r="I94" s="605"/>
      <c r="J94" s="593"/>
      <c r="K94" s="593"/>
      <c r="L94" s="593"/>
      <c r="M94" s="593"/>
      <c r="N94" s="593"/>
      <c r="O94" s="593"/>
      <c r="P94" s="593"/>
      <c r="Q94" s="593"/>
    </row>
    <row r="95" spans="1:17" s="656" customFormat="1">
      <c r="E95" s="650"/>
      <c r="F95" s="657"/>
      <c r="G95" s="593"/>
      <c r="H95" s="593"/>
      <c r="I95" s="605"/>
      <c r="J95" s="593"/>
      <c r="K95" s="593"/>
      <c r="L95" s="593"/>
      <c r="M95" s="593"/>
    </row>
    <row r="96" spans="1:17" s="656" customFormat="1">
      <c r="E96" s="650"/>
      <c r="F96" s="657"/>
      <c r="G96" s="593"/>
      <c r="H96" s="593"/>
      <c r="I96" s="605"/>
      <c r="J96" s="593"/>
      <c r="K96" s="593"/>
      <c r="L96" s="593"/>
      <c r="M96" s="593"/>
    </row>
    <row r="97" spans="5:13" s="656" customFormat="1">
      <c r="E97" s="650"/>
      <c r="F97" s="657"/>
      <c r="G97" s="593"/>
      <c r="H97" s="593"/>
      <c r="I97" s="605"/>
      <c r="J97" s="593"/>
      <c r="K97" s="593"/>
      <c r="L97" s="593"/>
      <c r="M97" s="593"/>
    </row>
    <row r="98" spans="5:13" s="656" customFormat="1">
      <c r="E98" s="650"/>
      <c r="F98" s="657"/>
      <c r="G98" s="593"/>
      <c r="H98" s="593"/>
      <c r="I98" s="605"/>
      <c r="J98" s="593"/>
      <c r="K98" s="593"/>
      <c r="L98" s="593"/>
      <c r="M98" s="593"/>
    </row>
    <row r="99" spans="5:13" s="656" customFormat="1">
      <c r="E99" s="650"/>
      <c r="F99" s="657"/>
      <c r="G99" s="593"/>
      <c r="H99" s="593"/>
      <c r="I99" s="605"/>
      <c r="J99" s="593"/>
      <c r="K99" s="593"/>
      <c r="L99" s="593"/>
      <c r="M99" s="593"/>
    </row>
    <row r="100" spans="5:13" s="656" customFormat="1">
      <c r="E100" s="650"/>
      <c r="F100" s="657"/>
      <c r="G100" s="593"/>
      <c r="H100" s="593"/>
      <c r="I100" s="605"/>
      <c r="J100" s="593"/>
      <c r="K100" s="593"/>
      <c r="L100" s="593"/>
      <c r="M100" s="593"/>
    </row>
    <row r="101" spans="5:13" s="656" customFormat="1">
      <c r="E101" s="650"/>
      <c r="F101" s="657"/>
      <c r="G101" s="593"/>
      <c r="H101" s="593"/>
      <c r="I101" s="605"/>
      <c r="J101" s="593"/>
      <c r="K101" s="593"/>
      <c r="L101" s="593"/>
      <c r="M101" s="593"/>
    </row>
    <row r="102" spans="5:13" s="656" customFormat="1">
      <c r="E102" s="650"/>
      <c r="F102" s="657"/>
      <c r="G102" s="593"/>
      <c r="H102" s="593"/>
      <c r="I102" s="605"/>
      <c r="J102" s="593"/>
      <c r="K102" s="593"/>
      <c r="L102" s="593"/>
      <c r="M102" s="593"/>
    </row>
    <row r="103" spans="5:13" s="656" customFormat="1">
      <c r="E103" s="650"/>
      <c r="F103" s="657"/>
      <c r="G103" s="593"/>
      <c r="H103" s="593"/>
      <c r="I103" s="605"/>
      <c r="J103" s="593"/>
      <c r="K103" s="593"/>
      <c r="L103" s="593"/>
      <c r="M103" s="593"/>
    </row>
    <row r="104" spans="5:13" s="656" customFormat="1">
      <c r="E104" s="650"/>
      <c r="F104" s="657"/>
      <c r="G104" s="593"/>
      <c r="H104" s="593"/>
      <c r="I104" s="605"/>
      <c r="J104" s="593"/>
      <c r="K104" s="593"/>
      <c r="L104" s="593"/>
      <c r="M104" s="593"/>
    </row>
    <row r="105" spans="5:13" s="656" customFormat="1">
      <c r="E105" s="650"/>
      <c r="F105" s="657"/>
      <c r="G105" s="593"/>
      <c r="H105" s="593"/>
      <c r="I105" s="605"/>
      <c r="J105" s="593"/>
      <c r="K105" s="593"/>
      <c r="L105" s="593"/>
      <c r="M105" s="593"/>
    </row>
    <row r="106" spans="5:13" s="656" customFormat="1">
      <c r="E106" s="650"/>
      <c r="F106" s="657"/>
      <c r="G106" s="593"/>
      <c r="H106" s="593"/>
      <c r="I106" s="605"/>
      <c r="J106" s="593"/>
      <c r="K106" s="593"/>
      <c r="L106" s="593"/>
      <c r="M106" s="593"/>
    </row>
    <row r="107" spans="5:13" s="656" customFormat="1">
      <c r="E107" s="650"/>
      <c r="F107" s="657"/>
      <c r="G107" s="593"/>
      <c r="H107" s="593"/>
      <c r="I107" s="605"/>
      <c r="J107" s="593"/>
      <c r="K107" s="593"/>
      <c r="L107" s="593"/>
      <c r="M107" s="593"/>
    </row>
    <row r="108" spans="5:13" s="656" customFormat="1">
      <c r="E108" s="650"/>
      <c r="F108" s="657"/>
      <c r="G108" s="593"/>
      <c r="H108" s="593"/>
      <c r="I108" s="605"/>
      <c r="J108" s="593"/>
      <c r="K108" s="593"/>
      <c r="L108" s="593"/>
      <c r="M108" s="593"/>
    </row>
    <row r="109" spans="5:13" s="656" customFormat="1">
      <c r="E109" s="650"/>
      <c r="F109" s="657"/>
      <c r="G109" s="593"/>
      <c r="H109" s="593"/>
      <c r="I109" s="605"/>
      <c r="J109" s="593"/>
      <c r="K109" s="593"/>
      <c r="L109" s="593"/>
      <c r="M109" s="593"/>
    </row>
    <row r="110" spans="5:13" s="656" customFormat="1">
      <c r="E110" s="650"/>
      <c r="F110" s="657"/>
      <c r="G110" s="593"/>
      <c r="H110" s="593"/>
      <c r="I110" s="605"/>
      <c r="J110" s="593"/>
      <c r="K110" s="593"/>
      <c r="L110" s="593"/>
    </row>
    <row r="111" spans="5:13" s="656" customFormat="1">
      <c r="E111" s="650"/>
      <c r="F111" s="657"/>
      <c r="G111" s="593"/>
      <c r="H111" s="593"/>
      <c r="I111" s="605"/>
      <c r="J111" s="593"/>
      <c r="K111" s="593"/>
      <c r="L111" s="593"/>
    </row>
    <row r="112" spans="5:13" s="656" customFormat="1">
      <c r="E112" s="650"/>
      <c r="F112" s="657"/>
      <c r="G112" s="593"/>
      <c r="H112" s="593"/>
      <c r="I112" s="605"/>
      <c r="J112" s="593"/>
      <c r="K112" s="593"/>
      <c r="L112" s="593"/>
    </row>
    <row r="113" spans="5:12" s="656" customFormat="1">
      <c r="E113" s="650"/>
      <c r="F113" s="657"/>
      <c r="G113" s="593"/>
      <c r="H113" s="593"/>
      <c r="I113" s="605"/>
      <c r="J113" s="593"/>
      <c r="K113" s="593"/>
      <c r="L113" s="593"/>
    </row>
    <row r="114" spans="5:12" s="656" customFormat="1">
      <c r="E114" s="650"/>
      <c r="F114" s="657"/>
      <c r="G114" s="593"/>
      <c r="H114" s="593"/>
      <c r="I114" s="605"/>
      <c r="J114" s="593"/>
      <c r="K114" s="593"/>
      <c r="L114" s="593"/>
    </row>
    <row r="115" spans="5:12" s="656" customFormat="1">
      <c r="E115" s="650"/>
      <c r="F115" s="657"/>
      <c r="G115" s="593"/>
      <c r="H115" s="593"/>
      <c r="I115" s="605"/>
      <c r="J115" s="593"/>
      <c r="K115" s="593"/>
      <c r="L115" s="593"/>
    </row>
    <row r="116" spans="5:12" s="656" customFormat="1">
      <c r="E116" s="650"/>
      <c r="F116" s="657"/>
      <c r="G116" s="593"/>
      <c r="H116" s="593"/>
      <c r="I116" s="605"/>
      <c r="J116" s="593"/>
      <c r="K116" s="593"/>
      <c r="L116" s="593"/>
    </row>
    <row r="117" spans="5:12" s="656" customFormat="1">
      <c r="E117" s="650"/>
      <c r="F117" s="657"/>
      <c r="G117" s="593"/>
      <c r="H117" s="593"/>
      <c r="I117" s="605"/>
      <c r="J117" s="593"/>
      <c r="K117" s="593"/>
      <c r="L117" s="593"/>
    </row>
    <row r="118" spans="5:12" s="656" customFormat="1">
      <c r="E118" s="650"/>
      <c r="F118" s="657"/>
      <c r="G118" s="593"/>
      <c r="H118" s="593"/>
      <c r="I118" s="605"/>
      <c r="J118" s="593"/>
      <c r="K118" s="593"/>
      <c r="L118" s="593"/>
    </row>
    <row r="119" spans="5:12" s="656" customFormat="1">
      <c r="E119" s="650"/>
      <c r="F119" s="657"/>
      <c r="G119" s="593"/>
      <c r="H119" s="593"/>
      <c r="I119" s="605"/>
      <c r="J119" s="593"/>
      <c r="K119" s="593"/>
      <c r="L119" s="593"/>
    </row>
    <row r="120" spans="5:12" s="656" customFormat="1">
      <c r="E120" s="650"/>
      <c r="F120" s="657"/>
      <c r="G120" s="593"/>
      <c r="H120" s="593"/>
      <c r="I120" s="605"/>
      <c r="J120" s="593"/>
      <c r="K120" s="593"/>
      <c r="L120" s="593"/>
    </row>
    <row r="121" spans="5:12" s="656" customFormat="1">
      <c r="E121" s="650"/>
      <c r="F121" s="657"/>
      <c r="G121" s="593"/>
      <c r="H121" s="593"/>
      <c r="I121" s="605"/>
      <c r="J121" s="593"/>
      <c r="K121" s="593"/>
      <c r="L121" s="593"/>
    </row>
    <row r="122" spans="5:12" s="656" customFormat="1">
      <c r="E122" s="650"/>
      <c r="F122" s="657"/>
      <c r="G122" s="593"/>
      <c r="H122" s="593"/>
      <c r="I122" s="605"/>
      <c r="J122" s="593"/>
      <c r="K122" s="593"/>
      <c r="L122" s="593"/>
    </row>
    <row r="123" spans="5:12" s="656" customFormat="1">
      <c r="E123" s="650"/>
      <c r="F123" s="657"/>
      <c r="G123" s="593"/>
      <c r="H123" s="593"/>
      <c r="I123" s="605"/>
      <c r="J123" s="593"/>
      <c r="K123" s="593"/>
      <c r="L123" s="593"/>
    </row>
    <row r="124" spans="5:12" s="656" customFormat="1">
      <c r="E124" s="650"/>
      <c r="F124" s="657"/>
      <c r="G124" s="593"/>
      <c r="H124" s="593"/>
      <c r="I124" s="605"/>
      <c r="J124" s="593"/>
      <c r="K124" s="593"/>
      <c r="L124" s="593"/>
    </row>
    <row r="125" spans="5:12" s="656" customFormat="1">
      <c r="E125" s="650"/>
      <c r="F125" s="657"/>
      <c r="G125" s="593"/>
      <c r="H125" s="593"/>
      <c r="I125" s="605"/>
      <c r="J125" s="593"/>
      <c r="K125" s="593"/>
      <c r="L125" s="593"/>
    </row>
    <row r="126" spans="5:12" s="656" customFormat="1">
      <c r="E126" s="650"/>
      <c r="F126" s="657"/>
      <c r="G126" s="593"/>
      <c r="H126" s="593"/>
      <c r="I126" s="605"/>
      <c r="J126" s="593"/>
      <c r="K126" s="593"/>
      <c r="L126" s="593"/>
    </row>
    <row r="127" spans="5:12" s="656" customFormat="1">
      <c r="E127" s="650"/>
      <c r="F127" s="657"/>
      <c r="G127" s="593"/>
      <c r="H127" s="593"/>
      <c r="I127" s="605"/>
      <c r="J127" s="593"/>
      <c r="K127" s="593"/>
      <c r="L127" s="593"/>
    </row>
    <row r="128" spans="5:12" s="656" customFormat="1">
      <c r="E128" s="650"/>
      <c r="F128" s="657"/>
      <c r="G128" s="593"/>
      <c r="H128" s="593"/>
      <c r="I128" s="605"/>
      <c r="J128" s="593"/>
      <c r="K128" s="593"/>
      <c r="L128" s="593"/>
    </row>
    <row r="129" spans="5:12" s="656" customFormat="1">
      <c r="E129" s="650"/>
      <c r="F129" s="657"/>
      <c r="G129" s="593"/>
      <c r="H129" s="593"/>
      <c r="I129" s="605"/>
      <c r="J129" s="593"/>
      <c r="K129" s="593"/>
      <c r="L129" s="593"/>
    </row>
    <row r="130" spans="5:12" s="656" customFormat="1">
      <c r="E130" s="650"/>
      <c r="F130" s="657"/>
      <c r="G130" s="593"/>
      <c r="H130" s="593"/>
      <c r="I130" s="605"/>
      <c r="J130" s="593"/>
      <c r="K130" s="593"/>
      <c r="L130" s="593"/>
    </row>
    <row r="131" spans="5:12" s="656" customFormat="1">
      <c r="E131" s="650"/>
      <c r="F131" s="657"/>
      <c r="G131" s="593"/>
      <c r="H131" s="593"/>
      <c r="I131" s="605"/>
      <c r="J131" s="593"/>
      <c r="K131" s="593"/>
      <c r="L131" s="593"/>
    </row>
    <row r="132" spans="5:12" s="656" customFormat="1">
      <c r="E132" s="650"/>
      <c r="F132" s="657"/>
      <c r="G132" s="593"/>
      <c r="H132" s="593"/>
      <c r="I132" s="605"/>
      <c r="J132" s="593"/>
      <c r="K132" s="593"/>
      <c r="L132" s="593"/>
    </row>
    <row r="133" spans="5:12" s="656" customFormat="1">
      <c r="E133" s="650"/>
      <c r="F133" s="657"/>
      <c r="G133" s="593"/>
      <c r="H133" s="593"/>
      <c r="I133" s="605"/>
      <c r="J133" s="593"/>
      <c r="K133" s="593"/>
      <c r="L133" s="593"/>
    </row>
    <row r="134" spans="5:12" s="656" customFormat="1">
      <c r="E134" s="650"/>
      <c r="F134" s="657"/>
      <c r="G134" s="593"/>
      <c r="H134" s="593"/>
      <c r="I134" s="605"/>
      <c r="J134" s="593"/>
      <c r="K134" s="593"/>
      <c r="L134" s="593"/>
    </row>
    <row r="135" spans="5:12" s="656" customFormat="1">
      <c r="E135" s="650"/>
      <c r="F135" s="657"/>
      <c r="G135" s="593"/>
      <c r="H135" s="593"/>
      <c r="I135" s="605"/>
      <c r="J135" s="593"/>
      <c r="K135" s="593"/>
      <c r="L135" s="593"/>
    </row>
    <row r="136" spans="5:12" s="656" customFormat="1">
      <c r="E136" s="650"/>
      <c r="F136" s="657"/>
      <c r="G136" s="593"/>
      <c r="H136" s="593"/>
      <c r="I136" s="605"/>
      <c r="J136" s="593"/>
      <c r="K136" s="593"/>
      <c r="L136" s="593"/>
    </row>
    <row r="137" spans="5:12" s="656" customFormat="1">
      <c r="E137" s="650"/>
      <c r="F137" s="657"/>
      <c r="G137" s="593"/>
      <c r="H137" s="593"/>
      <c r="I137" s="605"/>
      <c r="J137" s="593"/>
      <c r="K137" s="593"/>
      <c r="L137" s="593"/>
    </row>
    <row r="138" spans="5:12" s="656" customFormat="1">
      <c r="E138" s="650"/>
      <c r="F138" s="657"/>
      <c r="G138" s="593"/>
      <c r="H138" s="593"/>
      <c r="I138" s="605"/>
      <c r="J138" s="593"/>
      <c r="K138" s="593"/>
      <c r="L138" s="593"/>
    </row>
    <row r="139" spans="5:12" s="656" customFormat="1">
      <c r="E139" s="650"/>
      <c r="F139" s="657"/>
      <c r="G139" s="593"/>
      <c r="H139" s="593"/>
      <c r="I139" s="605"/>
      <c r="J139" s="593"/>
      <c r="K139" s="593"/>
      <c r="L139" s="593"/>
    </row>
    <row r="140" spans="5:12" s="656" customFormat="1">
      <c r="E140" s="650"/>
      <c r="F140" s="657"/>
      <c r="G140" s="593"/>
      <c r="H140" s="593"/>
      <c r="I140" s="605"/>
      <c r="J140" s="593"/>
      <c r="K140" s="593"/>
      <c r="L140" s="593"/>
    </row>
    <row r="141" spans="5:12" s="656" customFormat="1">
      <c r="E141" s="650"/>
      <c r="F141" s="657"/>
      <c r="G141" s="593"/>
      <c r="H141" s="593"/>
      <c r="I141" s="605"/>
      <c r="J141" s="593"/>
      <c r="K141" s="593"/>
      <c r="L141" s="593"/>
    </row>
    <row r="142" spans="5:12" s="656" customFormat="1">
      <c r="E142" s="650"/>
      <c r="F142" s="657"/>
      <c r="G142" s="593"/>
      <c r="H142" s="593"/>
      <c r="I142" s="605"/>
      <c r="J142" s="593"/>
      <c r="K142" s="593"/>
      <c r="L142" s="593"/>
    </row>
    <row r="143" spans="5:12" s="656" customFormat="1">
      <c r="E143" s="650"/>
      <c r="F143" s="657"/>
      <c r="G143" s="593"/>
      <c r="H143" s="593"/>
      <c r="I143" s="605"/>
      <c r="J143" s="593"/>
      <c r="K143" s="593"/>
      <c r="L143" s="593"/>
    </row>
    <row r="144" spans="5:12" s="656" customFormat="1">
      <c r="E144" s="650"/>
      <c r="F144" s="657"/>
      <c r="G144" s="593"/>
      <c r="H144" s="593"/>
      <c r="I144" s="605"/>
      <c r="J144" s="593"/>
      <c r="K144" s="593"/>
      <c r="L144" s="593"/>
    </row>
    <row r="145" spans="1:17" s="656" customFormat="1">
      <c r="E145" s="650"/>
      <c r="F145" s="657"/>
      <c r="G145" s="593"/>
      <c r="H145" s="593"/>
      <c r="I145" s="605"/>
      <c r="J145" s="593"/>
      <c r="K145" s="593"/>
      <c r="L145" s="593"/>
    </row>
    <row r="146" spans="1:17" s="656" customFormat="1">
      <c r="E146" s="650"/>
      <c r="F146" s="657"/>
      <c r="G146" s="593"/>
      <c r="H146" s="593"/>
      <c r="I146" s="605"/>
      <c r="J146" s="593"/>
      <c r="K146" s="593"/>
      <c r="L146" s="593"/>
    </row>
    <row r="147" spans="1:17">
      <c r="A147" s="656"/>
      <c r="B147" s="656"/>
      <c r="C147" s="656"/>
      <c r="D147" s="656"/>
      <c r="E147" s="650"/>
      <c r="F147" s="657"/>
      <c r="G147" s="593"/>
      <c r="H147" s="593"/>
      <c r="I147" s="605"/>
      <c r="J147" s="593"/>
      <c r="K147" s="593"/>
      <c r="L147" s="593"/>
      <c r="M147" s="656"/>
      <c r="N147" s="656"/>
      <c r="O147" s="656"/>
      <c r="P147" s="656"/>
      <c r="Q147" s="656"/>
    </row>
    <row r="148" spans="1:17">
      <c r="A148" s="656"/>
      <c r="B148" s="656"/>
      <c r="C148" s="656"/>
      <c r="D148" s="656"/>
      <c r="E148" s="650"/>
      <c r="F148" s="657"/>
      <c r="G148" s="593"/>
      <c r="H148" s="593"/>
      <c r="I148" s="605"/>
      <c r="J148" s="593"/>
      <c r="K148" s="593"/>
      <c r="L148" s="593"/>
      <c r="M148" s="656"/>
      <c r="N148" s="656"/>
      <c r="O148" s="656"/>
      <c r="P148" s="656"/>
      <c r="Q148" s="656"/>
    </row>
    <row r="149" spans="1:17">
      <c r="A149" s="656"/>
      <c r="B149" s="656"/>
      <c r="C149" s="656"/>
      <c r="D149" s="656"/>
      <c r="E149" s="650"/>
      <c r="F149" s="657"/>
      <c r="G149" s="593"/>
      <c r="H149" s="593"/>
      <c r="I149" s="605"/>
      <c r="J149" s="593"/>
      <c r="K149" s="593"/>
      <c r="L149" s="593"/>
      <c r="M149" s="656"/>
      <c r="N149" s="656"/>
      <c r="O149" s="656"/>
      <c r="P149" s="656"/>
      <c r="Q149" s="656"/>
    </row>
    <row r="150" spans="1:17">
      <c r="A150" s="656"/>
      <c r="B150" s="656"/>
      <c r="C150" s="656"/>
      <c r="D150" s="656"/>
      <c r="E150" s="650"/>
      <c r="F150" s="657"/>
      <c r="G150" s="593"/>
      <c r="H150" s="593"/>
      <c r="I150" s="605"/>
      <c r="J150" s="593"/>
      <c r="K150" s="593"/>
      <c r="L150" s="593"/>
      <c r="M150" s="656"/>
      <c r="N150" s="656"/>
      <c r="O150" s="656"/>
      <c r="P150" s="656"/>
      <c r="Q150" s="656"/>
    </row>
    <row r="151" spans="1:17">
      <c r="A151" s="656"/>
      <c r="B151" s="656"/>
      <c r="C151" s="656"/>
      <c r="D151" s="656"/>
      <c r="E151" s="650"/>
      <c r="F151" s="657"/>
      <c r="G151" s="593"/>
      <c r="H151" s="593"/>
      <c r="I151" s="605"/>
      <c r="J151" s="593"/>
      <c r="K151" s="593"/>
      <c r="L151" s="593"/>
      <c r="M151" s="656"/>
      <c r="N151" s="656"/>
      <c r="O151" s="656"/>
      <c r="P151" s="656"/>
      <c r="Q151" s="656"/>
    </row>
    <row r="152" spans="1:17">
      <c r="A152" s="656"/>
      <c r="B152" s="656"/>
      <c r="C152" s="656"/>
      <c r="D152" s="656"/>
      <c r="E152" s="650"/>
      <c r="F152" s="657"/>
      <c r="G152" s="593"/>
      <c r="H152" s="593"/>
      <c r="I152" s="605"/>
      <c r="J152" s="593"/>
      <c r="K152" s="593"/>
      <c r="L152" s="593"/>
      <c r="M152" s="656"/>
    </row>
    <row r="153" spans="1:17">
      <c r="A153" s="656"/>
      <c r="B153" s="656"/>
      <c r="C153" s="656"/>
      <c r="D153" s="656"/>
      <c r="E153" s="650"/>
      <c r="F153" s="657"/>
      <c r="G153" s="593"/>
      <c r="H153" s="593"/>
      <c r="I153" s="605"/>
      <c r="J153" s="593"/>
      <c r="K153" s="593"/>
      <c r="L153" s="593"/>
      <c r="M153" s="656"/>
    </row>
    <row r="154" spans="1:17">
      <c r="A154" s="656"/>
      <c r="B154" s="656"/>
      <c r="C154" s="656"/>
      <c r="D154" s="656"/>
      <c r="E154" s="650"/>
      <c r="F154" s="657"/>
      <c r="G154" s="593"/>
      <c r="H154" s="593"/>
      <c r="I154" s="605"/>
      <c r="J154" s="593"/>
      <c r="K154" s="593"/>
      <c r="L154" s="593"/>
      <c r="M154" s="656"/>
    </row>
    <row r="155" spans="1:17">
      <c r="A155" s="656"/>
      <c r="B155" s="656"/>
      <c r="C155" s="656"/>
      <c r="D155" s="656"/>
      <c r="E155" s="650"/>
      <c r="F155" s="657"/>
      <c r="G155" s="593"/>
      <c r="H155" s="593"/>
      <c r="I155" s="605"/>
      <c r="J155" s="593"/>
      <c r="K155" s="593"/>
      <c r="L155" s="593"/>
      <c r="M155" s="656"/>
    </row>
    <row r="156" spans="1:17">
      <c r="J156" s="593"/>
      <c r="K156" s="593"/>
      <c r="L156" s="593"/>
      <c r="M156" s="656"/>
    </row>
    <row r="157" spans="1:17">
      <c r="J157" s="593"/>
      <c r="K157" s="593"/>
      <c r="L157" s="593"/>
      <c r="M157" s="656"/>
    </row>
    <row r="158" spans="1:17">
      <c r="J158" s="593"/>
      <c r="K158" s="593"/>
      <c r="L158" s="593"/>
      <c r="M158" s="656"/>
    </row>
    <row r="159" spans="1:17">
      <c r="J159" s="593"/>
      <c r="K159" s="593"/>
      <c r="L159" s="593"/>
      <c r="M159" s="656"/>
    </row>
    <row r="160" spans="1:17">
      <c r="J160" s="593"/>
      <c r="K160" s="593"/>
      <c r="L160" s="593"/>
      <c r="M160" s="656"/>
    </row>
    <row r="161" spans="10:13">
      <c r="J161" s="593"/>
      <c r="K161" s="593"/>
      <c r="L161" s="593"/>
      <c r="M161" s="656"/>
    </row>
    <row r="162" spans="10:13">
      <c r="K162" s="593"/>
      <c r="L162" s="593"/>
      <c r="M162" s="656"/>
    </row>
    <row r="163" spans="10:13">
      <c r="K163" s="593"/>
      <c r="L163" s="593"/>
      <c r="M163" s="656"/>
    </row>
    <row r="164" spans="10:13">
      <c r="K164" s="593"/>
      <c r="L164" s="593"/>
      <c r="M164" s="656"/>
    </row>
    <row r="165" spans="10:13">
      <c r="L165" s="593"/>
      <c r="M165" s="656"/>
    </row>
    <row r="166" spans="10:13">
      <c r="L166" s="593"/>
      <c r="M166" s="656"/>
    </row>
    <row r="167" spans="10:13">
      <c r="L167" s="593"/>
    </row>
    <row r="168" spans="10:13">
      <c r="L168" s="593"/>
    </row>
    <row r="169" spans="10:13">
      <c r="L169" s="593"/>
    </row>
  </sheetData>
  <mergeCells count="1">
    <mergeCell ref="L7:M7"/>
  </mergeCells>
  <dataValidations disablePrompts="1" count="1">
    <dataValidation type="list" allowBlank="1" showInputMessage="1" showErrorMessage="1" sqref="B5" xr:uid="{00000000-0002-0000-0200-000000000000}">
      <formula1>$AB$5:$AB$8</formula1>
    </dataValidation>
  </dataValidations>
  <pageMargins left="0.7" right="0.7" top="0.75" bottom="0.75" header="0.3" footer="0.3"/>
  <pageSetup orientation="portrait" verticalDpi="0"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232B9-7921-4513-B291-AAC3F82D85A5}">
  <dimension ref="A1:M57"/>
  <sheetViews>
    <sheetView workbookViewId="0">
      <selection activeCell="N7" sqref="N7"/>
    </sheetView>
  </sheetViews>
  <sheetFormatPr defaultRowHeight="12.75"/>
  <cols>
    <col min="1" max="1" width="15.7109375" bestFit="1" customWidth="1"/>
    <col min="2" max="2" width="9.5703125" bestFit="1" customWidth="1"/>
    <col min="3" max="3" width="5.140625" customWidth="1"/>
    <col min="4" max="6" width="7.7109375" customWidth="1"/>
    <col min="7" max="7" width="6.28515625" customWidth="1"/>
    <col min="8" max="8" width="6.85546875" customWidth="1"/>
    <col min="9" max="9" width="9.7109375" customWidth="1"/>
    <col min="10" max="10" width="8.7109375" bestFit="1" customWidth="1"/>
    <col min="11" max="11" width="12.5703125" customWidth="1"/>
    <col min="12" max="12" width="17.28515625" bestFit="1" customWidth="1"/>
    <col min="13" max="13" width="12.85546875" customWidth="1"/>
  </cols>
  <sheetData>
    <row r="1" spans="1:13">
      <c r="A1" s="1027" t="s">
        <v>108</v>
      </c>
      <c r="B1" s="1026" t="s">
        <v>164</v>
      </c>
      <c r="C1" s="426"/>
      <c r="D1" s="1026"/>
      <c r="E1" s="427"/>
      <c r="F1" s="427"/>
      <c r="G1" s="428"/>
      <c r="H1" s="429" t="s">
        <v>188</v>
      </c>
      <c r="I1" s="430">
        <v>200</v>
      </c>
      <c r="J1" s="431"/>
      <c r="K1" s="1026"/>
      <c r="L1" s="1026"/>
      <c r="M1" s="1025"/>
    </row>
    <row r="2" spans="1:13">
      <c r="A2" s="1019" t="s">
        <v>110</v>
      </c>
      <c r="B2" s="444" t="s">
        <v>6</v>
      </c>
      <c r="C2" s="436"/>
      <c r="D2" s="444"/>
      <c r="E2" s="437"/>
      <c r="F2" s="437"/>
      <c r="G2" s="438"/>
      <c r="H2" s="439" t="s">
        <v>187</v>
      </c>
      <c r="I2" s="1024">
        <v>200</v>
      </c>
      <c r="J2" s="441"/>
      <c r="K2" s="444"/>
      <c r="L2" s="444"/>
      <c r="M2" s="1020"/>
    </row>
    <row r="3" spans="1:13">
      <c r="A3" s="1022" t="s">
        <v>112</v>
      </c>
      <c r="B3" s="731">
        <v>45032</v>
      </c>
      <c r="C3" s="436"/>
      <c r="D3" s="437"/>
      <c r="E3" s="437"/>
      <c r="F3" s="437"/>
      <c r="G3" s="438"/>
      <c r="H3" s="443" t="s">
        <v>186</v>
      </c>
      <c r="I3" s="1021">
        <f>M53/100</f>
        <v>1.9</v>
      </c>
      <c r="J3" s="441"/>
      <c r="K3" s="444"/>
      <c r="L3" s="444"/>
      <c r="M3" s="1023"/>
    </row>
    <row r="4" spans="1:13">
      <c r="A4" s="1022" t="s">
        <v>114</v>
      </c>
      <c r="B4" s="444" t="s">
        <v>199</v>
      </c>
      <c r="C4" s="436"/>
      <c r="D4" s="437"/>
      <c r="E4" s="437"/>
      <c r="F4" s="437"/>
      <c r="G4" s="438"/>
      <c r="H4" s="443" t="s">
        <v>185</v>
      </c>
      <c r="I4" s="1021">
        <f>J32</f>
        <v>0.39104554865424435</v>
      </c>
      <c r="J4" s="441"/>
      <c r="K4" s="444"/>
      <c r="L4" s="444"/>
      <c r="M4" s="1020"/>
    </row>
    <row r="5" spans="1:13">
      <c r="A5" s="1019" t="s">
        <v>116</v>
      </c>
      <c r="B5" s="450" t="s">
        <v>117</v>
      </c>
      <c r="C5" s="436"/>
      <c r="D5" s="437"/>
      <c r="E5" s="437"/>
      <c r="F5" s="437"/>
      <c r="G5" s="438"/>
      <c r="H5" s="443"/>
      <c r="I5" s="1018"/>
      <c r="J5" s="441"/>
      <c r="K5" s="444"/>
      <c r="L5" s="444"/>
      <c r="M5" s="480"/>
    </row>
    <row r="6" spans="1:13" ht="13.5" thickBot="1">
      <c r="A6" s="1017"/>
      <c r="B6" s="1010"/>
      <c r="C6" s="1016"/>
      <c r="D6" s="1015"/>
      <c r="E6" s="1015"/>
      <c r="F6" s="1015"/>
      <c r="G6" s="1012"/>
      <c r="H6" s="1014"/>
      <c r="I6" s="1013"/>
      <c r="J6" s="1012"/>
      <c r="K6" s="1011"/>
      <c r="L6" s="1010"/>
      <c r="M6" s="1009"/>
    </row>
    <row r="7" spans="1:13">
      <c r="A7" s="1008" t="s">
        <v>118</v>
      </c>
      <c r="B7" s="1004"/>
      <c r="C7" s="1007"/>
      <c r="D7" s="1006"/>
      <c r="E7" s="1005" t="s">
        <v>119</v>
      </c>
      <c r="F7" s="1004"/>
      <c r="G7" s="1003" t="s">
        <v>120</v>
      </c>
      <c r="H7" s="464"/>
      <c r="I7" s="1002" t="s">
        <v>121</v>
      </c>
      <c r="J7" s="1002"/>
      <c r="K7" s="465"/>
      <c r="L7" s="1129" t="s">
        <v>122</v>
      </c>
      <c r="M7" s="1130"/>
    </row>
    <row r="8" spans="1:13">
      <c r="A8" s="466"/>
      <c r="B8" s="461"/>
      <c r="C8" s="467"/>
      <c r="D8" s="476"/>
      <c r="E8" s="1000"/>
      <c r="F8" s="476"/>
      <c r="G8" s="999"/>
      <c r="H8" s="478"/>
      <c r="I8" s="502"/>
      <c r="J8" s="502"/>
      <c r="K8" s="479"/>
      <c r="L8" s="480"/>
      <c r="M8" s="480"/>
    </row>
    <row r="9" spans="1:13">
      <c r="A9" s="492"/>
      <c r="B9" s="492"/>
      <c r="C9" s="484"/>
      <c r="D9" s="1001"/>
      <c r="E9" s="1000" t="s">
        <v>125</v>
      </c>
      <c r="F9" s="476"/>
      <c r="G9" s="999"/>
      <c r="H9" s="478"/>
      <c r="I9" s="605"/>
      <c r="J9" s="605"/>
      <c r="K9" s="479"/>
      <c r="L9" s="488"/>
      <c r="M9" s="489"/>
    </row>
    <row r="10" spans="1:13">
      <c r="A10" s="493" t="s">
        <v>126</v>
      </c>
      <c r="B10" s="494" t="s">
        <v>127</v>
      </c>
      <c r="C10" s="495" t="s">
        <v>128</v>
      </c>
      <c r="D10" s="501" t="s">
        <v>138</v>
      </c>
      <c r="E10" s="499" t="s">
        <v>139</v>
      </c>
      <c r="F10" s="501" t="s">
        <v>140</v>
      </c>
      <c r="G10" s="999" t="s">
        <v>141</v>
      </c>
      <c r="H10" s="478" t="s">
        <v>142</v>
      </c>
      <c r="I10" s="502" t="s">
        <v>142</v>
      </c>
      <c r="J10" s="502" t="s">
        <v>141</v>
      </c>
      <c r="K10" s="503" t="s">
        <v>143</v>
      </c>
      <c r="L10" s="488" t="s">
        <v>144</v>
      </c>
      <c r="M10" s="488" t="s">
        <v>145</v>
      </c>
    </row>
    <row r="11" spans="1:13" ht="13.5" thickBot="1">
      <c r="A11" s="505" t="s">
        <v>146</v>
      </c>
      <c r="B11" s="506" t="s">
        <v>146</v>
      </c>
      <c r="C11" s="507" t="s">
        <v>147</v>
      </c>
      <c r="D11" s="516" t="s">
        <v>149</v>
      </c>
      <c r="E11" s="514" t="s">
        <v>147</v>
      </c>
      <c r="F11" s="516" t="s">
        <v>147</v>
      </c>
      <c r="G11" s="998" t="s">
        <v>150</v>
      </c>
      <c r="H11" s="518" t="s">
        <v>151</v>
      </c>
      <c r="I11" s="517" t="s">
        <v>151</v>
      </c>
      <c r="J11" s="517" t="s">
        <v>150</v>
      </c>
      <c r="K11" s="520"/>
      <c r="L11" s="521"/>
      <c r="M11" s="522" t="s">
        <v>147</v>
      </c>
    </row>
    <row r="12" spans="1:13" ht="15" customHeight="1">
      <c r="A12" s="542"/>
      <c r="B12" s="543"/>
      <c r="C12" s="531">
        <v>0</v>
      </c>
      <c r="D12" s="989"/>
      <c r="E12" s="997"/>
      <c r="F12" s="996"/>
      <c r="G12" s="995"/>
      <c r="H12" s="552"/>
      <c r="I12" s="994"/>
      <c r="J12" s="993"/>
      <c r="K12" s="1030"/>
      <c r="L12" s="539" t="s">
        <v>155</v>
      </c>
      <c r="M12" s="540">
        <f>C32</f>
        <v>200</v>
      </c>
    </row>
    <row r="13" spans="1:13">
      <c r="A13" s="542">
        <v>170</v>
      </c>
      <c r="B13" s="543">
        <v>0</v>
      </c>
      <c r="C13" s="531">
        <v>10</v>
      </c>
      <c r="D13" s="989">
        <v>966</v>
      </c>
      <c r="E13" s="988">
        <f>C12</f>
        <v>0</v>
      </c>
      <c r="F13" s="987">
        <f t="shared" ref="F13:F31" si="0">(C13+C14-10)/2</f>
        <v>10</v>
      </c>
      <c r="G13" s="551">
        <f t="shared" ref="G13:G32" si="1">(A13-B13)/966</f>
        <v>0.17598343685300208</v>
      </c>
      <c r="H13" s="986">
        <f t="shared" ref="H13:H32" si="2">(G13*(F13-E13))/100</f>
        <v>1.7598343685300208E-2</v>
      </c>
      <c r="I13" s="985">
        <f>SUM(H$13:H13)</f>
        <v>1.7598343685300208E-2</v>
      </c>
      <c r="J13" s="554">
        <f t="shared" ref="J13:J31" si="3">I13/F13*100</f>
        <v>0.17598343685300208</v>
      </c>
      <c r="K13" s="1031"/>
      <c r="L13" s="556" t="s">
        <v>212</v>
      </c>
      <c r="M13" s="557">
        <v>176</v>
      </c>
    </row>
    <row r="14" spans="1:13">
      <c r="A14" s="542">
        <v>180</v>
      </c>
      <c r="B14" s="543">
        <v>0</v>
      </c>
      <c r="C14" s="531">
        <v>20</v>
      </c>
      <c r="D14" s="989">
        <v>966</v>
      </c>
      <c r="E14" s="988">
        <f t="shared" ref="E14:E32" si="4">(C13+C14-10)/2</f>
        <v>10</v>
      </c>
      <c r="F14" s="987">
        <f t="shared" si="0"/>
        <v>20</v>
      </c>
      <c r="G14" s="551">
        <f t="shared" si="1"/>
        <v>0.18633540372670807</v>
      </c>
      <c r="H14" s="986">
        <f t="shared" si="2"/>
        <v>1.8633540372670808E-2</v>
      </c>
      <c r="I14" s="985">
        <f>SUM(H$13:H14)</f>
        <v>3.6231884057971016E-2</v>
      </c>
      <c r="J14" s="554">
        <f t="shared" si="3"/>
        <v>0.18115942028985507</v>
      </c>
      <c r="K14" s="1031"/>
      <c r="L14" s="556" t="s">
        <v>200</v>
      </c>
      <c r="M14" s="558">
        <v>174</v>
      </c>
    </row>
    <row r="15" spans="1:13">
      <c r="A15" s="542">
        <v>215</v>
      </c>
      <c r="B15" s="543">
        <v>0</v>
      </c>
      <c r="C15" s="531">
        <v>30</v>
      </c>
      <c r="D15" s="989">
        <v>966</v>
      </c>
      <c r="E15" s="988">
        <f t="shared" si="4"/>
        <v>20</v>
      </c>
      <c r="F15" s="987">
        <f t="shared" si="0"/>
        <v>30</v>
      </c>
      <c r="G15" s="551">
        <f t="shared" si="1"/>
        <v>0.2225672877846791</v>
      </c>
      <c r="H15" s="986">
        <f t="shared" si="2"/>
        <v>2.2256728778467912E-2</v>
      </c>
      <c r="I15" s="985">
        <f>SUM(H$13:H15)</f>
        <v>5.8488612836438927E-2</v>
      </c>
      <c r="J15" s="554">
        <f t="shared" si="3"/>
        <v>0.19496204278812976</v>
      </c>
      <c r="K15" s="1031"/>
      <c r="L15" s="556" t="s">
        <v>202</v>
      </c>
      <c r="M15" s="557">
        <v>190</v>
      </c>
    </row>
    <row r="16" spans="1:13">
      <c r="A16" s="559">
        <v>340</v>
      </c>
      <c r="B16" s="543">
        <v>0</v>
      </c>
      <c r="C16" s="531">
        <v>40</v>
      </c>
      <c r="D16" s="989">
        <v>966</v>
      </c>
      <c r="E16" s="988">
        <f t="shared" si="4"/>
        <v>30</v>
      </c>
      <c r="F16" s="987">
        <f t="shared" si="0"/>
        <v>40</v>
      </c>
      <c r="G16" s="551">
        <f t="shared" si="1"/>
        <v>0.35196687370600416</v>
      </c>
      <c r="H16" s="986">
        <f t="shared" si="2"/>
        <v>3.5196687370600416E-2</v>
      </c>
      <c r="I16" s="985">
        <f>SUM(H$13:H16)</f>
        <v>9.3685300207039343E-2</v>
      </c>
      <c r="J16" s="554">
        <f t="shared" si="3"/>
        <v>0.23421325051759836</v>
      </c>
      <c r="K16" s="1031"/>
      <c r="L16" s="556" t="s">
        <v>201</v>
      </c>
      <c r="M16" s="557">
        <v>210</v>
      </c>
    </row>
    <row r="17" spans="1:13">
      <c r="A17" s="559">
        <v>335</v>
      </c>
      <c r="B17" s="543">
        <v>0</v>
      </c>
      <c r="C17" s="531">
        <v>50</v>
      </c>
      <c r="D17" s="989">
        <v>966</v>
      </c>
      <c r="E17" s="988">
        <f t="shared" si="4"/>
        <v>40</v>
      </c>
      <c r="F17" s="987">
        <f t="shared" si="0"/>
        <v>50</v>
      </c>
      <c r="G17" s="551">
        <f t="shared" si="1"/>
        <v>0.34679089026915116</v>
      </c>
      <c r="H17" s="986">
        <f t="shared" si="2"/>
        <v>3.4679089026915119E-2</v>
      </c>
      <c r="I17" s="985">
        <f>SUM(H$13:H17)</f>
        <v>0.12836438923395446</v>
      </c>
      <c r="J17" s="554">
        <f t="shared" si="3"/>
        <v>0.25672877846790892</v>
      </c>
      <c r="K17" s="1031" t="s">
        <v>204</v>
      </c>
      <c r="L17" s="556"/>
      <c r="M17" s="557"/>
    </row>
    <row r="18" spans="1:13">
      <c r="A18" s="559">
        <v>355</v>
      </c>
      <c r="B18" s="543">
        <v>0</v>
      </c>
      <c r="C18" s="531">
        <v>60</v>
      </c>
      <c r="D18" s="989">
        <v>966</v>
      </c>
      <c r="E18" s="988">
        <f t="shared" si="4"/>
        <v>50</v>
      </c>
      <c r="F18" s="987">
        <f t="shared" si="0"/>
        <v>60</v>
      </c>
      <c r="G18" s="551">
        <f t="shared" si="1"/>
        <v>0.36749482401656314</v>
      </c>
      <c r="H18" s="986">
        <f t="shared" si="2"/>
        <v>3.6749482401656312E-2</v>
      </c>
      <c r="I18" s="985">
        <f>SUM(H$13:H18)</f>
        <v>0.16511387163561078</v>
      </c>
      <c r="J18" s="554">
        <f t="shared" si="3"/>
        <v>0.27518978605935135</v>
      </c>
      <c r="K18" s="1032"/>
      <c r="L18" s="556"/>
      <c r="M18" s="557"/>
    </row>
    <row r="19" spans="1:13">
      <c r="A19" s="559">
        <v>415</v>
      </c>
      <c r="B19" s="543">
        <v>0</v>
      </c>
      <c r="C19" s="531">
        <v>70</v>
      </c>
      <c r="D19" s="989">
        <v>966</v>
      </c>
      <c r="E19" s="988">
        <f t="shared" si="4"/>
        <v>60</v>
      </c>
      <c r="F19" s="987">
        <f t="shared" si="0"/>
        <v>70</v>
      </c>
      <c r="G19" s="551">
        <f t="shared" si="1"/>
        <v>0.42960662525879917</v>
      </c>
      <c r="H19" s="986">
        <f t="shared" si="2"/>
        <v>4.296066252587992E-2</v>
      </c>
      <c r="I19" s="985">
        <f>SUM(H$13:H19)</f>
        <v>0.20807453416149069</v>
      </c>
      <c r="J19" s="554">
        <f t="shared" si="3"/>
        <v>0.29724933451641528</v>
      </c>
      <c r="K19" s="1032"/>
      <c r="L19" s="556"/>
      <c r="M19" s="557"/>
    </row>
    <row r="20" spans="1:13">
      <c r="A20" s="559">
        <v>490</v>
      </c>
      <c r="B20" s="543">
        <v>0</v>
      </c>
      <c r="C20" s="531">
        <v>80</v>
      </c>
      <c r="D20" s="989">
        <v>966</v>
      </c>
      <c r="E20" s="988">
        <f t="shared" si="4"/>
        <v>70</v>
      </c>
      <c r="F20" s="987">
        <f t="shared" si="0"/>
        <v>80</v>
      </c>
      <c r="G20" s="551">
        <f t="shared" si="1"/>
        <v>0.50724637681159424</v>
      </c>
      <c r="H20" s="986">
        <f t="shared" si="2"/>
        <v>5.0724637681159424E-2</v>
      </c>
      <c r="I20" s="985">
        <f>SUM(H$13:H20)</f>
        <v>0.25879917184265011</v>
      </c>
      <c r="J20" s="554">
        <f t="shared" si="3"/>
        <v>0.32349896480331264</v>
      </c>
      <c r="K20" s="1031"/>
      <c r="L20" s="556"/>
      <c r="M20" s="557"/>
    </row>
    <row r="21" spans="1:13">
      <c r="A21" s="559">
        <v>450</v>
      </c>
      <c r="B21" s="543">
        <v>0</v>
      </c>
      <c r="C21" s="531">
        <v>90</v>
      </c>
      <c r="D21" s="989">
        <v>966</v>
      </c>
      <c r="E21" s="988">
        <f t="shared" si="4"/>
        <v>80</v>
      </c>
      <c r="F21" s="987">
        <f t="shared" si="0"/>
        <v>90</v>
      </c>
      <c r="G21" s="551">
        <f t="shared" si="1"/>
        <v>0.46583850931677018</v>
      </c>
      <c r="H21" s="986">
        <f t="shared" si="2"/>
        <v>4.6583850931677023E-2</v>
      </c>
      <c r="I21" s="985">
        <f>SUM(H$13:H21)</f>
        <v>0.30538302277432716</v>
      </c>
      <c r="J21" s="554">
        <f t="shared" si="3"/>
        <v>0.33931446974925239</v>
      </c>
      <c r="K21" s="1033"/>
      <c r="L21" s="556"/>
      <c r="M21" s="557"/>
    </row>
    <row r="22" spans="1:13">
      <c r="A22" s="559">
        <v>410</v>
      </c>
      <c r="B22" s="543">
        <v>0</v>
      </c>
      <c r="C22" s="531">
        <v>100</v>
      </c>
      <c r="D22" s="989">
        <v>966</v>
      </c>
      <c r="E22" s="988">
        <f t="shared" si="4"/>
        <v>90</v>
      </c>
      <c r="F22" s="987">
        <f t="shared" si="0"/>
        <v>100</v>
      </c>
      <c r="G22" s="551">
        <f t="shared" si="1"/>
        <v>0.42443064182194618</v>
      </c>
      <c r="H22" s="986">
        <f t="shared" si="2"/>
        <v>4.2443064182194616E-2</v>
      </c>
      <c r="I22" s="985">
        <f>SUM(H$13:H22)</f>
        <v>0.34782608695652178</v>
      </c>
      <c r="J22" s="554">
        <f t="shared" si="3"/>
        <v>0.34782608695652178</v>
      </c>
      <c r="K22" s="1031"/>
      <c r="L22" s="556"/>
      <c r="M22" s="566"/>
    </row>
    <row r="23" spans="1:13">
      <c r="A23" s="559">
        <v>400</v>
      </c>
      <c r="B23" s="543">
        <v>0</v>
      </c>
      <c r="C23" s="531">
        <v>110</v>
      </c>
      <c r="D23" s="989">
        <v>966</v>
      </c>
      <c r="E23" s="988">
        <f t="shared" si="4"/>
        <v>100</v>
      </c>
      <c r="F23" s="987">
        <f t="shared" si="0"/>
        <v>110</v>
      </c>
      <c r="G23" s="551">
        <f t="shared" si="1"/>
        <v>0.41407867494824019</v>
      </c>
      <c r="H23" s="986">
        <f t="shared" si="2"/>
        <v>4.1407867494824016E-2</v>
      </c>
      <c r="I23" s="985">
        <f>SUM(H$13:H23)</f>
        <v>0.38923395445134579</v>
      </c>
      <c r="J23" s="554">
        <f t="shared" si="3"/>
        <v>0.35384904950122342</v>
      </c>
      <c r="K23" s="1031"/>
      <c r="L23" s="556"/>
      <c r="M23" s="581"/>
    </row>
    <row r="24" spans="1:13">
      <c r="A24" s="559">
        <v>355</v>
      </c>
      <c r="B24" s="543">
        <v>0</v>
      </c>
      <c r="C24" s="531">
        <v>120</v>
      </c>
      <c r="D24" s="989">
        <v>966</v>
      </c>
      <c r="E24" s="988">
        <f t="shared" si="4"/>
        <v>110</v>
      </c>
      <c r="F24" s="987">
        <f t="shared" si="0"/>
        <v>120</v>
      </c>
      <c r="G24" s="551">
        <f t="shared" si="1"/>
        <v>0.36749482401656314</v>
      </c>
      <c r="H24" s="986">
        <f t="shared" si="2"/>
        <v>3.6749482401656312E-2</v>
      </c>
      <c r="I24" s="985">
        <f>SUM(H$13:H24)</f>
        <v>0.42598343685300211</v>
      </c>
      <c r="J24" s="554">
        <f t="shared" si="3"/>
        <v>0.35498619737750176</v>
      </c>
      <c r="K24" s="1034" t="s">
        <v>205</v>
      </c>
      <c r="L24" s="556"/>
      <c r="M24" s="581"/>
    </row>
    <row r="25" spans="1:13">
      <c r="A25" s="559">
        <v>425</v>
      </c>
      <c r="B25" s="543">
        <v>0</v>
      </c>
      <c r="C25" s="531">
        <v>130</v>
      </c>
      <c r="D25" s="989">
        <v>966</v>
      </c>
      <c r="E25" s="988">
        <f t="shared" si="4"/>
        <v>120</v>
      </c>
      <c r="F25" s="987">
        <f t="shared" si="0"/>
        <v>130</v>
      </c>
      <c r="G25" s="551">
        <f t="shared" si="1"/>
        <v>0.43995859213250516</v>
      </c>
      <c r="H25" s="986">
        <f t="shared" si="2"/>
        <v>4.399585921325052E-2</v>
      </c>
      <c r="I25" s="985">
        <f>SUM(H$13:H25)</f>
        <v>0.46997929606625261</v>
      </c>
      <c r="J25" s="554">
        <f t="shared" si="3"/>
        <v>0.36152253543557894</v>
      </c>
      <c r="K25" s="1034"/>
      <c r="L25" s="556"/>
      <c r="M25" s="581"/>
    </row>
    <row r="26" spans="1:13">
      <c r="A26" s="559">
        <v>400</v>
      </c>
      <c r="B26" s="543">
        <v>0</v>
      </c>
      <c r="C26" s="531">
        <v>140</v>
      </c>
      <c r="D26" s="989">
        <v>966</v>
      </c>
      <c r="E26" s="988">
        <f t="shared" si="4"/>
        <v>130</v>
      </c>
      <c r="F26" s="987">
        <f t="shared" si="0"/>
        <v>140</v>
      </c>
      <c r="G26" s="551">
        <f t="shared" si="1"/>
        <v>0.41407867494824019</v>
      </c>
      <c r="H26" s="986">
        <f t="shared" si="2"/>
        <v>4.1407867494824016E-2</v>
      </c>
      <c r="I26" s="985">
        <f>SUM(H$13:H26)</f>
        <v>0.51138716356107661</v>
      </c>
      <c r="J26" s="554">
        <f t="shared" si="3"/>
        <v>0.36527654540076898</v>
      </c>
      <c r="K26" s="1034"/>
      <c r="L26" s="556"/>
      <c r="M26" s="557"/>
    </row>
    <row r="27" spans="1:13">
      <c r="A27" s="559">
        <v>415</v>
      </c>
      <c r="B27" s="543">
        <v>0</v>
      </c>
      <c r="C27" s="531">
        <v>150</v>
      </c>
      <c r="D27" s="989">
        <v>966</v>
      </c>
      <c r="E27" s="988">
        <f t="shared" si="4"/>
        <v>140</v>
      </c>
      <c r="F27" s="987">
        <f t="shared" si="0"/>
        <v>150</v>
      </c>
      <c r="G27" s="551">
        <f t="shared" si="1"/>
        <v>0.42960662525879917</v>
      </c>
      <c r="H27" s="986">
        <f t="shared" si="2"/>
        <v>4.296066252587992E-2</v>
      </c>
      <c r="I27" s="985">
        <f>SUM(H$13:H27)</f>
        <v>0.55434782608695654</v>
      </c>
      <c r="J27" s="554">
        <f t="shared" si="3"/>
        <v>0.36956521739130432</v>
      </c>
      <c r="K27" s="1034"/>
      <c r="L27" s="556"/>
      <c r="M27" s="557"/>
    </row>
    <row r="28" spans="1:13">
      <c r="A28" s="559">
        <v>460</v>
      </c>
      <c r="B28" s="543">
        <v>0</v>
      </c>
      <c r="C28" s="531">
        <v>160</v>
      </c>
      <c r="D28" s="989">
        <v>966</v>
      </c>
      <c r="E28" s="988">
        <f t="shared" si="4"/>
        <v>150</v>
      </c>
      <c r="F28" s="987">
        <f t="shared" si="0"/>
        <v>160</v>
      </c>
      <c r="G28" s="551">
        <f t="shared" si="1"/>
        <v>0.47619047619047616</v>
      </c>
      <c r="H28" s="986">
        <f t="shared" si="2"/>
        <v>4.7619047619047616E-2</v>
      </c>
      <c r="I28" s="985">
        <f>SUM(H$13:H28)</f>
        <v>0.60196687370600421</v>
      </c>
      <c r="J28" s="554">
        <f t="shared" si="3"/>
        <v>0.37622929606625266</v>
      </c>
      <c r="K28" s="1034" t="s">
        <v>206</v>
      </c>
      <c r="L28" s="556"/>
      <c r="M28" s="557"/>
    </row>
    <row r="29" spans="1:13">
      <c r="A29" s="559">
        <v>415</v>
      </c>
      <c r="B29" s="543">
        <v>0</v>
      </c>
      <c r="C29" s="531">
        <v>170</v>
      </c>
      <c r="D29" s="989">
        <v>966</v>
      </c>
      <c r="E29" s="988">
        <f t="shared" si="4"/>
        <v>160</v>
      </c>
      <c r="F29" s="987">
        <f t="shared" si="0"/>
        <v>170</v>
      </c>
      <c r="G29" s="551">
        <f t="shared" si="1"/>
        <v>0.42960662525879917</v>
      </c>
      <c r="H29" s="986">
        <f t="shared" si="2"/>
        <v>4.296066252587992E-2</v>
      </c>
      <c r="I29" s="985">
        <f>SUM(H$13:H29)</f>
        <v>0.64492753623188415</v>
      </c>
      <c r="J29" s="554">
        <f t="shared" si="3"/>
        <v>0.37936913895993185</v>
      </c>
      <c r="K29" s="1034" t="s">
        <v>207</v>
      </c>
      <c r="L29" s="556"/>
      <c r="M29" s="557"/>
    </row>
    <row r="30" spans="1:13">
      <c r="A30" s="559">
        <v>430</v>
      </c>
      <c r="B30" s="543">
        <v>0</v>
      </c>
      <c r="C30" s="531">
        <v>180</v>
      </c>
      <c r="D30" s="989">
        <v>966</v>
      </c>
      <c r="E30" s="988">
        <f t="shared" si="4"/>
        <v>170</v>
      </c>
      <c r="F30" s="987">
        <f t="shared" si="0"/>
        <v>180</v>
      </c>
      <c r="G30" s="551">
        <f t="shared" si="1"/>
        <v>0.4451345755693582</v>
      </c>
      <c r="H30" s="986">
        <f t="shared" si="2"/>
        <v>4.4513457556935823E-2</v>
      </c>
      <c r="I30" s="985">
        <f>SUM(H$13:H30)</f>
        <v>0.68944099378881996</v>
      </c>
      <c r="J30" s="554">
        <f t="shared" si="3"/>
        <v>0.38302277432712217</v>
      </c>
      <c r="K30" s="1034"/>
      <c r="L30" s="556"/>
      <c r="M30" s="557"/>
    </row>
    <row r="31" spans="1:13">
      <c r="A31" s="559">
        <v>455</v>
      </c>
      <c r="B31" s="543">
        <v>0</v>
      </c>
      <c r="C31" s="531">
        <v>190</v>
      </c>
      <c r="D31" s="989">
        <v>966</v>
      </c>
      <c r="E31" s="988">
        <f t="shared" si="4"/>
        <v>180</v>
      </c>
      <c r="F31" s="987">
        <f t="shared" si="0"/>
        <v>190</v>
      </c>
      <c r="G31" s="551">
        <f t="shared" si="1"/>
        <v>0.47101449275362317</v>
      </c>
      <c r="H31" s="986">
        <f t="shared" si="2"/>
        <v>4.7101449275362313E-2</v>
      </c>
      <c r="I31" s="985">
        <f>SUM(H$13:H31)</f>
        <v>0.73654244306418226</v>
      </c>
      <c r="J31" s="554">
        <f t="shared" si="3"/>
        <v>0.38765391740220123</v>
      </c>
      <c r="K31" s="1034"/>
      <c r="L31" s="556"/>
      <c r="M31" s="557"/>
    </row>
    <row r="32" spans="1:13">
      <c r="A32" s="559">
        <v>440</v>
      </c>
      <c r="B32" s="543">
        <v>0</v>
      </c>
      <c r="C32" s="531">
        <v>200</v>
      </c>
      <c r="D32" s="989">
        <v>966</v>
      </c>
      <c r="E32" s="988">
        <f t="shared" si="4"/>
        <v>190</v>
      </c>
      <c r="F32" s="987">
        <v>200</v>
      </c>
      <c r="G32" s="551">
        <f t="shared" si="1"/>
        <v>0.45548654244306419</v>
      </c>
      <c r="H32" s="986">
        <f t="shared" si="2"/>
        <v>4.5548654244306423E-2</v>
      </c>
      <c r="I32" s="985">
        <f>SUM(H$13:H32)</f>
        <v>0.78209109730848869</v>
      </c>
      <c r="J32" s="554">
        <f>I32/F32*100</f>
        <v>0.39104554865424435</v>
      </c>
      <c r="K32" s="565"/>
      <c r="L32" s="556"/>
      <c r="M32" s="557"/>
    </row>
    <row r="33" spans="1:13">
      <c r="A33" s="559"/>
      <c r="B33" s="543"/>
      <c r="C33" s="531"/>
      <c r="D33" s="989"/>
      <c r="E33" s="988"/>
      <c r="F33" s="987"/>
      <c r="G33" s="551"/>
      <c r="H33" s="986"/>
      <c r="I33" s="985"/>
      <c r="J33" s="554"/>
      <c r="K33" s="565"/>
      <c r="L33" s="556"/>
      <c r="M33" s="557"/>
    </row>
    <row r="34" spans="1:13">
      <c r="A34" s="559"/>
      <c r="B34" s="543"/>
      <c r="C34" s="531"/>
      <c r="D34" s="989"/>
      <c r="E34" s="988"/>
      <c r="F34" s="987"/>
      <c r="G34" s="551"/>
      <c r="H34" s="986"/>
      <c r="I34" s="985"/>
      <c r="J34" s="554"/>
      <c r="K34" s="565"/>
      <c r="L34" s="556"/>
      <c r="M34" s="557"/>
    </row>
    <row r="35" spans="1:13">
      <c r="A35" s="559"/>
      <c r="B35" s="543"/>
      <c r="C35" s="531"/>
      <c r="D35" s="989"/>
      <c r="E35" s="988"/>
      <c r="F35" s="987"/>
      <c r="G35" s="551"/>
      <c r="H35" s="986"/>
      <c r="I35" s="985"/>
      <c r="J35" s="554"/>
      <c r="K35" s="565"/>
      <c r="L35" s="556"/>
      <c r="M35" s="557"/>
    </row>
    <row r="36" spans="1:13">
      <c r="A36" s="559"/>
      <c r="B36" s="543"/>
      <c r="C36" s="531"/>
      <c r="D36" s="989"/>
      <c r="E36" s="988"/>
      <c r="F36" s="987"/>
      <c r="G36" s="551"/>
      <c r="H36" s="986"/>
      <c r="I36" s="985"/>
      <c r="J36" s="554"/>
      <c r="K36" s="565"/>
      <c r="L36" s="556"/>
      <c r="M36" s="557"/>
    </row>
    <row r="37" spans="1:13">
      <c r="A37" s="559"/>
      <c r="B37" s="543"/>
      <c r="C37" s="531"/>
      <c r="D37" s="989"/>
      <c r="E37" s="988"/>
      <c r="F37" s="987"/>
      <c r="G37" s="551"/>
      <c r="H37" s="986"/>
      <c r="I37" s="985"/>
      <c r="J37" s="554"/>
      <c r="K37" s="565"/>
      <c r="L37" s="556"/>
      <c r="M37" s="557"/>
    </row>
    <row r="38" spans="1:13">
      <c r="A38" s="559"/>
      <c r="B38" s="543"/>
      <c r="C38" s="531"/>
      <c r="D38" s="989"/>
      <c r="E38" s="988"/>
      <c r="F38" s="987"/>
      <c r="G38" s="551"/>
      <c r="H38" s="986"/>
      <c r="I38" s="985"/>
      <c r="J38" s="554"/>
      <c r="K38" s="565"/>
      <c r="L38" s="556"/>
      <c r="M38" s="557"/>
    </row>
    <row r="39" spans="1:13">
      <c r="A39" s="559"/>
      <c r="B39" s="543"/>
      <c r="C39" s="531"/>
      <c r="D39" s="989"/>
      <c r="E39" s="988"/>
      <c r="F39" s="987"/>
      <c r="G39" s="551"/>
      <c r="H39" s="986"/>
      <c r="I39" s="985"/>
      <c r="J39" s="554"/>
      <c r="K39" s="565"/>
      <c r="L39" s="556"/>
      <c r="M39" s="557"/>
    </row>
    <row r="40" spans="1:13">
      <c r="A40" s="559"/>
      <c r="B40" s="543"/>
      <c r="C40" s="531"/>
      <c r="D40" s="989"/>
      <c r="E40" s="988"/>
      <c r="F40" s="987"/>
      <c r="G40" s="551"/>
      <c r="H40" s="986"/>
      <c r="I40" s="985"/>
      <c r="J40" s="554"/>
      <c r="K40" s="565"/>
      <c r="L40" s="556"/>
      <c r="M40" s="557"/>
    </row>
    <row r="41" spans="1:13">
      <c r="A41" s="559"/>
      <c r="B41" s="543"/>
      <c r="C41" s="531"/>
      <c r="D41" s="989"/>
      <c r="E41" s="988"/>
      <c r="F41" s="987"/>
      <c r="G41" s="551"/>
      <c r="H41" s="986"/>
      <c r="I41" s="985"/>
      <c r="J41" s="554"/>
      <c r="K41" s="565"/>
      <c r="L41" s="556"/>
      <c r="M41" s="557"/>
    </row>
    <row r="42" spans="1:13">
      <c r="A42" s="559"/>
      <c r="B42" s="543"/>
      <c r="C42" s="531"/>
      <c r="D42" s="989"/>
      <c r="E42" s="988"/>
      <c r="F42" s="987"/>
      <c r="G42" s="551"/>
      <c r="H42" s="986"/>
      <c r="I42" s="985"/>
      <c r="J42" s="554"/>
      <c r="K42" s="565"/>
      <c r="L42" s="556"/>
      <c r="M42" s="557"/>
    </row>
    <row r="43" spans="1:13">
      <c r="A43" s="559"/>
      <c r="B43" s="543"/>
      <c r="C43" s="531"/>
      <c r="D43" s="989"/>
      <c r="E43" s="988"/>
      <c r="F43" s="987"/>
      <c r="G43" s="551"/>
      <c r="H43" s="986"/>
      <c r="I43" s="985"/>
      <c r="J43" s="554"/>
      <c r="K43" s="565"/>
      <c r="L43" s="556"/>
      <c r="M43" s="557"/>
    </row>
    <row r="44" spans="1:13">
      <c r="A44" s="559"/>
      <c r="B44" s="543"/>
      <c r="C44" s="531"/>
      <c r="D44" s="989"/>
      <c r="E44" s="988"/>
      <c r="F44" s="987"/>
      <c r="G44" s="551"/>
      <c r="H44" s="986"/>
      <c r="I44" s="985"/>
      <c r="J44" s="554"/>
      <c r="K44" s="565"/>
      <c r="L44" s="556"/>
      <c r="M44" s="557"/>
    </row>
    <row r="45" spans="1:13">
      <c r="A45" s="559"/>
      <c r="B45" s="543"/>
      <c r="C45" s="531"/>
      <c r="D45" s="989"/>
      <c r="E45" s="988"/>
      <c r="F45" s="987"/>
      <c r="G45" s="551"/>
      <c r="H45" s="986"/>
      <c r="I45" s="985"/>
      <c r="J45" s="554"/>
      <c r="K45" s="565"/>
      <c r="L45" s="556"/>
      <c r="M45" s="557"/>
    </row>
    <row r="46" spans="1:13">
      <c r="A46" s="559"/>
      <c r="B46" s="543"/>
      <c r="C46" s="531"/>
      <c r="D46" s="989"/>
      <c r="E46" s="988"/>
      <c r="F46" s="987"/>
      <c r="G46" s="551"/>
      <c r="H46" s="986"/>
      <c r="I46" s="985"/>
      <c r="J46" s="554"/>
      <c r="K46" s="565"/>
      <c r="L46" s="556"/>
      <c r="M46" s="557"/>
    </row>
    <row r="47" spans="1:13">
      <c r="A47" s="559"/>
      <c r="B47" s="543"/>
      <c r="C47" s="531"/>
      <c r="D47" s="989"/>
      <c r="E47" s="988"/>
      <c r="F47" s="987"/>
      <c r="G47" s="551"/>
      <c r="H47" s="986"/>
      <c r="I47" s="985"/>
      <c r="J47" s="554"/>
      <c r="K47" s="565"/>
      <c r="L47" s="556"/>
      <c r="M47" s="557"/>
    </row>
    <row r="48" spans="1:13">
      <c r="A48" s="559"/>
      <c r="B48" s="543"/>
      <c r="C48" s="531"/>
      <c r="D48" s="989"/>
      <c r="E48" s="988"/>
      <c r="F48" s="987"/>
      <c r="G48" s="551"/>
      <c r="H48" s="986"/>
      <c r="I48" s="985"/>
      <c r="J48" s="554"/>
      <c r="K48" s="565"/>
      <c r="L48" s="556"/>
      <c r="M48" s="557"/>
    </row>
    <row r="49" spans="1:13">
      <c r="A49" s="559"/>
      <c r="B49" s="543"/>
      <c r="C49" s="531"/>
      <c r="D49" s="989"/>
      <c r="E49" s="988"/>
      <c r="F49" s="987"/>
      <c r="G49" s="551"/>
      <c r="H49" s="986"/>
      <c r="I49" s="985"/>
      <c r="J49" s="554"/>
      <c r="K49" s="565"/>
      <c r="L49" s="556"/>
      <c r="M49" s="557"/>
    </row>
    <row r="50" spans="1:13">
      <c r="A50" s="559"/>
      <c r="B50" s="543"/>
      <c r="C50" s="531"/>
      <c r="D50" s="989"/>
      <c r="E50" s="988"/>
      <c r="F50" s="987"/>
      <c r="G50" s="551"/>
      <c r="H50" s="986"/>
      <c r="I50" s="985"/>
      <c r="J50" s="554"/>
      <c r="K50" s="565"/>
      <c r="L50" s="556"/>
      <c r="M50" s="557"/>
    </row>
    <row r="51" spans="1:13">
      <c r="A51" s="559"/>
      <c r="B51" s="543"/>
      <c r="C51" s="531"/>
      <c r="D51" s="989"/>
      <c r="E51" s="988"/>
      <c r="F51" s="987"/>
      <c r="G51" s="551"/>
      <c r="H51" s="986"/>
      <c r="I51" s="985"/>
      <c r="J51" s="554"/>
      <c r="K51" s="565"/>
      <c r="L51" s="556"/>
      <c r="M51" s="557"/>
    </row>
    <row r="52" spans="1:13" ht="13.5" thickBot="1">
      <c r="A52" s="559"/>
      <c r="B52" s="543"/>
      <c r="C52" s="531"/>
      <c r="D52" s="989"/>
      <c r="E52" s="988"/>
      <c r="F52" s="987"/>
      <c r="G52" s="551"/>
      <c r="H52" s="986"/>
      <c r="I52" s="985"/>
      <c r="J52" s="554"/>
      <c r="K52" s="565"/>
      <c r="L52" s="556"/>
      <c r="M52" s="602"/>
    </row>
    <row r="53" spans="1:13">
      <c r="A53" s="559"/>
      <c r="B53" s="543"/>
      <c r="C53" s="531"/>
      <c r="D53" s="989"/>
      <c r="E53" s="988"/>
      <c r="F53" s="987"/>
      <c r="G53" s="551"/>
      <c r="H53" s="986"/>
      <c r="I53" s="985"/>
      <c r="J53" s="554"/>
      <c r="K53" s="565"/>
      <c r="L53" s="603" t="s">
        <v>158</v>
      </c>
      <c r="M53" s="604">
        <f>AVERAGE(M12:M52)</f>
        <v>190</v>
      </c>
    </row>
    <row r="54" spans="1:13">
      <c r="A54" s="559"/>
      <c r="B54" s="543"/>
      <c r="C54" s="531"/>
      <c r="D54" s="989"/>
      <c r="E54" s="988"/>
      <c r="F54" s="987"/>
      <c r="G54" s="551"/>
      <c r="H54" s="986"/>
      <c r="I54" s="985"/>
      <c r="J54" s="554"/>
      <c r="K54" s="565"/>
      <c r="L54" s="433" t="s">
        <v>159</v>
      </c>
      <c r="M54" s="602">
        <f>STDEV(M12:M52)</f>
        <v>15.427248620541512</v>
      </c>
    </row>
    <row r="55" spans="1:13">
      <c r="A55" s="606" t="s">
        <v>160</v>
      </c>
      <c r="B55" s="607"/>
      <c r="C55" s="608"/>
      <c r="D55" s="984"/>
      <c r="E55" s="983"/>
      <c r="F55" s="982"/>
      <c r="G55" s="613"/>
      <c r="H55" s="981"/>
      <c r="I55" s="980"/>
      <c r="J55" s="616"/>
      <c r="K55" s="617"/>
      <c r="L55" s="433" t="s">
        <v>161</v>
      </c>
      <c r="M55" s="602">
        <f>M54/SQRT(COUNT(M12:M51))</f>
        <v>6.8992753242641358</v>
      </c>
    </row>
    <row r="56" spans="1:13">
      <c r="A56" s="618"/>
      <c r="B56" s="619"/>
      <c r="C56" s="620"/>
      <c r="D56" s="979"/>
      <c r="E56" s="978"/>
      <c r="F56" s="977"/>
      <c r="G56" s="976"/>
      <c r="H56" s="626"/>
      <c r="I56" s="975"/>
      <c r="J56" s="974"/>
      <c r="K56" s="629"/>
      <c r="L56" s="433" t="s">
        <v>162</v>
      </c>
      <c r="M56" s="602">
        <f>MAX(M12:M51)</f>
        <v>210</v>
      </c>
    </row>
    <row r="57" spans="1:13" ht="13.5" thickBot="1">
      <c r="A57" s="630"/>
      <c r="B57" s="631"/>
      <c r="C57" s="632"/>
      <c r="D57" s="973"/>
      <c r="E57" s="972"/>
      <c r="F57" s="971"/>
      <c r="G57" s="970"/>
      <c r="H57" s="638"/>
      <c r="I57" s="969"/>
      <c r="J57" s="968"/>
      <c r="K57" s="641"/>
      <c r="L57" s="642" t="s">
        <v>163</v>
      </c>
      <c r="M57" s="643">
        <f>MIN(M12:M51)</f>
        <v>174</v>
      </c>
    </row>
  </sheetData>
  <mergeCells count="1">
    <mergeCell ref="L7:M7"/>
  </mergeCells>
  <dataValidations count="1">
    <dataValidation type="list" allowBlank="1" showInputMessage="1" showErrorMessage="1" sqref="B5" xr:uid="{642C7260-2AD5-4BE7-8153-D2335F2C902D}">
      <formula1>$AB$5:$AB$8</formula1>
    </dataValidation>
  </dataValidation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5DE4B-B913-47EA-BB01-0535C951BE25}">
  <dimension ref="A1:M58"/>
  <sheetViews>
    <sheetView workbookViewId="0">
      <selection activeCell="T27" sqref="T27"/>
    </sheetView>
  </sheetViews>
  <sheetFormatPr defaultRowHeight="12.75"/>
  <cols>
    <col min="2" max="2" width="9.140625" bestFit="1" customWidth="1"/>
    <col min="12" max="12" width="16.7109375" customWidth="1"/>
    <col min="13" max="13" width="26.7109375" customWidth="1"/>
  </cols>
  <sheetData>
    <row r="1" spans="1:13">
      <c r="A1" s="1027" t="s">
        <v>108</v>
      </c>
      <c r="B1" s="1026" t="s">
        <v>164</v>
      </c>
      <c r="C1" s="426"/>
      <c r="D1" s="1026"/>
      <c r="E1" s="427"/>
      <c r="F1" s="427"/>
      <c r="G1" s="428"/>
      <c r="H1" s="429" t="s">
        <v>188</v>
      </c>
      <c r="I1" s="430"/>
      <c r="J1" s="431"/>
      <c r="K1" s="1026"/>
      <c r="L1" s="1026"/>
      <c r="M1" s="1025"/>
    </row>
    <row r="2" spans="1:13">
      <c r="A2" s="1019" t="s">
        <v>110</v>
      </c>
      <c r="B2" s="444" t="s">
        <v>203</v>
      </c>
      <c r="C2" s="436"/>
      <c r="D2" s="444"/>
      <c r="E2" s="437"/>
      <c r="F2" s="437"/>
      <c r="G2" s="438"/>
      <c r="H2" s="439" t="s">
        <v>187</v>
      </c>
      <c r="I2" s="1024"/>
      <c r="J2" s="441"/>
      <c r="K2" s="444"/>
      <c r="L2" s="444"/>
      <c r="M2" s="1020"/>
    </row>
    <row r="3" spans="1:13">
      <c r="A3" s="1022" t="s">
        <v>112</v>
      </c>
      <c r="B3" s="731">
        <v>45033</v>
      </c>
      <c r="C3" s="436"/>
      <c r="D3" s="437"/>
      <c r="E3" s="437"/>
      <c r="F3" s="437"/>
      <c r="G3" s="438"/>
      <c r="H3" s="443" t="s">
        <v>186</v>
      </c>
      <c r="I3" s="1021">
        <f>M53/100</f>
        <v>1.4933333333333334</v>
      </c>
      <c r="J3" s="441"/>
      <c r="K3" s="444"/>
      <c r="L3" s="444"/>
      <c r="M3" s="1023"/>
    </row>
    <row r="4" spans="1:13">
      <c r="A4" s="1022" t="s">
        <v>114</v>
      </c>
      <c r="B4" s="444" t="s">
        <v>182</v>
      </c>
      <c r="C4" s="436"/>
      <c r="D4" s="437"/>
      <c r="E4" s="437"/>
      <c r="F4" s="437"/>
      <c r="G4" s="438"/>
      <c r="H4" s="443" t="s">
        <v>185</v>
      </c>
      <c r="I4" s="1021"/>
      <c r="J4" s="441"/>
      <c r="K4" s="444"/>
      <c r="L4" s="444"/>
      <c r="M4" s="1020"/>
    </row>
    <row r="5" spans="1:13">
      <c r="A5" s="1019" t="s">
        <v>116</v>
      </c>
      <c r="B5" s="450"/>
      <c r="C5" s="436"/>
      <c r="D5" s="437"/>
      <c r="E5" s="437"/>
      <c r="F5" s="437"/>
      <c r="G5" s="438"/>
      <c r="H5" s="443"/>
      <c r="I5" s="1018"/>
      <c r="J5" s="441"/>
      <c r="K5" s="444"/>
      <c r="L5" s="444"/>
      <c r="M5" s="480"/>
    </row>
    <row r="6" spans="1:13" ht="13.5" thickBot="1">
      <c r="A6" s="1017"/>
      <c r="B6" s="1010"/>
      <c r="C6" s="1016"/>
      <c r="D6" s="1015"/>
      <c r="E6" s="1015"/>
      <c r="F6" s="1015"/>
      <c r="G6" s="1012"/>
      <c r="H6" s="1014"/>
      <c r="I6" s="1013"/>
      <c r="J6" s="1012"/>
      <c r="K6" s="1011"/>
      <c r="L6" s="1010"/>
      <c r="M6" s="1009"/>
    </row>
    <row r="7" spans="1:13">
      <c r="A7" s="1008" t="s">
        <v>118</v>
      </c>
      <c r="B7" s="1004"/>
      <c r="C7" s="1007"/>
      <c r="D7" s="1006"/>
      <c r="E7" s="1005" t="s">
        <v>119</v>
      </c>
      <c r="F7" s="1004"/>
      <c r="G7" s="1003" t="s">
        <v>120</v>
      </c>
      <c r="H7" s="464"/>
      <c r="I7" s="1002" t="s">
        <v>121</v>
      </c>
      <c r="J7" s="1002"/>
      <c r="K7" s="465"/>
      <c r="L7" s="1129" t="s">
        <v>122</v>
      </c>
      <c r="M7" s="1130"/>
    </row>
    <row r="8" spans="1:13">
      <c r="A8" s="466"/>
      <c r="B8" s="461"/>
      <c r="C8" s="467"/>
      <c r="D8" s="476"/>
      <c r="E8" s="1000"/>
      <c r="F8" s="476"/>
      <c r="G8" s="999"/>
      <c r="H8" s="478"/>
      <c r="I8" s="502"/>
      <c r="J8" s="502"/>
      <c r="K8" s="479"/>
      <c r="L8" s="480"/>
      <c r="M8" s="480"/>
    </row>
    <row r="9" spans="1:13">
      <c r="A9" s="492"/>
      <c r="B9" s="492"/>
      <c r="C9" s="484"/>
      <c r="D9" s="1001"/>
      <c r="E9" s="1000" t="s">
        <v>125</v>
      </c>
      <c r="F9" s="476"/>
      <c r="G9" s="999"/>
      <c r="H9" s="478"/>
      <c r="I9" s="605"/>
      <c r="J9" s="605"/>
      <c r="K9" s="479"/>
      <c r="L9" s="488"/>
      <c r="M9" s="489"/>
    </row>
    <row r="10" spans="1:13">
      <c r="A10" s="493" t="s">
        <v>126</v>
      </c>
      <c r="B10" s="494" t="s">
        <v>127</v>
      </c>
      <c r="C10" s="495" t="s">
        <v>128</v>
      </c>
      <c r="D10" s="501" t="s">
        <v>138</v>
      </c>
      <c r="E10" s="499" t="s">
        <v>139</v>
      </c>
      <c r="F10" s="501" t="s">
        <v>140</v>
      </c>
      <c r="G10" s="999" t="s">
        <v>141</v>
      </c>
      <c r="H10" s="478" t="s">
        <v>142</v>
      </c>
      <c r="I10" s="502" t="s">
        <v>142</v>
      </c>
      <c r="J10" s="502" t="s">
        <v>141</v>
      </c>
      <c r="K10" s="503" t="s">
        <v>143</v>
      </c>
      <c r="L10" s="488" t="s">
        <v>144</v>
      </c>
      <c r="M10" s="488" t="s">
        <v>145</v>
      </c>
    </row>
    <row r="11" spans="1:13" ht="13.5" thickBot="1">
      <c r="A11" s="505" t="s">
        <v>146</v>
      </c>
      <c r="B11" s="506" t="s">
        <v>146</v>
      </c>
      <c r="C11" s="507" t="s">
        <v>147</v>
      </c>
      <c r="D11" s="516" t="s">
        <v>149</v>
      </c>
      <c r="E11" s="514" t="s">
        <v>147</v>
      </c>
      <c r="F11" s="516" t="s">
        <v>147</v>
      </c>
      <c r="G11" s="998" t="s">
        <v>150</v>
      </c>
      <c r="H11" s="518" t="s">
        <v>151</v>
      </c>
      <c r="I11" s="517" t="s">
        <v>151</v>
      </c>
      <c r="J11" s="517" t="s">
        <v>150</v>
      </c>
      <c r="K11" s="520"/>
      <c r="L11" s="521"/>
      <c r="M11" s="522" t="s">
        <v>147</v>
      </c>
    </row>
    <row r="12" spans="1:13">
      <c r="A12" s="542"/>
      <c r="B12" s="543"/>
      <c r="C12" s="531"/>
      <c r="D12" s="989"/>
      <c r="E12" s="997"/>
      <c r="F12" s="996"/>
      <c r="G12" s="995"/>
      <c r="H12" s="552"/>
      <c r="I12" s="994"/>
      <c r="J12" s="993"/>
      <c r="K12" s="556"/>
      <c r="L12" s="556" t="s">
        <v>208</v>
      </c>
      <c r="M12" s="557">
        <v>164</v>
      </c>
    </row>
    <row r="13" spans="1:13">
      <c r="A13" s="542"/>
      <c r="B13" s="543"/>
      <c r="C13" s="531"/>
      <c r="D13" s="989"/>
      <c r="E13" s="988"/>
      <c r="F13" s="987"/>
      <c r="G13" s="551"/>
      <c r="H13" s="986"/>
      <c r="I13" s="985"/>
      <c r="J13" s="554"/>
      <c r="K13" s="555"/>
      <c r="L13" s="556" t="s">
        <v>209</v>
      </c>
      <c r="M13" s="557">
        <v>151</v>
      </c>
    </row>
    <row r="14" spans="1:13">
      <c r="A14" s="542"/>
      <c r="B14" s="543"/>
      <c r="C14" s="531"/>
      <c r="D14" s="989"/>
      <c r="E14" s="988"/>
      <c r="F14" s="987"/>
      <c r="G14" s="551"/>
      <c r="H14" s="986"/>
      <c r="I14" s="985"/>
      <c r="J14" s="554"/>
      <c r="K14" s="555"/>
      <c r="L14" s="556" t="s">
        <v>210</v>
      </c>
      <c r="M14" s="558">
        <v>152</v>
      </c>
    </row>
    <row r="15" spans="1:13">
      <c r="A15" s="542"/>
      <c r="B15" s="543"/>
      <c r="C15" s="531"/>
      <c r="D15" s="989"/>
      <c r="E15" s="988"/>
      <c r="F15" s="987"/>
      <c r="G15" s="551"/>
      <c r="H15" s="986"/>
      <c r="I15" s="985"/>
      <c r="J15" s="554"/>
      <c r="K15" s="555"/>
      <c r="L15" s="556" t="s">
        <v>211</v>
      </c>
      <c r="M15" s="557">
        <v>145</v>
      </c>
    </row>
    <row r="16" spans="1:13">
      <c r="A16" s="559"/>
      <c r="B16" s="543"/>
      <c r="C16" s="531"/>
      <c r="D16" s="989"/>
      <c r="E16" s="988"/>
      <c r="F16" s="987"/>
      <c r="G16" s="551"/>
      <c r="H16" s="986"/>
      <c r="I16" s="985"/>
      <c r="J16" s="554"/>
      <c r="K16" s="555"/>
      <c r="L16" s="556"/>
      <c r="M16" s="557"/>
    </row>
    <row r="17" spans="1:13">
      <c r="A17" s="559"/>
      <c r="B17" s="543"/>
      <c r="C17" s="531"/>
      <c r="D17" s="989"/>
      <c r="E17" s="988"/>
      <c r="F17" s="987"/>
      <c r="G17" s="551"/>
      <c r="H17" s="986"/>
      <c r="I17" s="985"/>
      <c r="J17" s="554"/>
      <c r="K17" s="992"/>
      <c r="L17" s="556"/>
      <c r="M17" s="557"/>
    </row>
    <row r="18" spans="1:13">
      <c r="A18" s="559"/>
      <c r="B18" s="543"/>
      <c r="C18" s="531"/>
      <c r="D18" s="989"/>
      <c r="E18" s="988"/>
      <c r="F18" s="987"/>
      <c r="G18" s="551"/>
      <c r="H18" s="986"/>
      <c r="I18" s="985"/>
      <c r="J18" s="554"/>
      <c r="K18" s="560"/>
      <c r="L18" s="556"/>
      <c r="M18" s="557"/>
    </row>
    <row r="19" spans="1:13">
      <c r="A19" s="559"/>
      <c r="B19" s="543"/>
      <c r="C19" s="531"/>
      <c r="D19" s="989"/>
      <c r="E19" s="988"/>
      <c r="F19" s="987"/>
      <c r="G19" s="551"/>
      <c r="H19" s="986"/>
      <c r="I19" s="985"/>
      <c r="J19" s="554"/>
      <c r="K19" s="560"/>
      <c r="L19" s="556"/>
      <c r="M19" s="557"/>
    </row>
    <row r="20" spans="1:13">
      <c r="A20" s="559"/>
      <c r="B20" s="543"/>
      <c r="C20" s="531"/>
      <c r="D20" s="989"/>
      <c r="E20" s="988"/>
      <c r="F20" s="987"/>
      <c r="G20" s="551"/>
      <c r="H20" s="986"/>
      <c r="I20" s="985"/>
      <c r="J20" s="554"/>
      <c r="K20" s="555"/>
      <c r="L20" s="556"/>
      <c r="M20" s="557"/>
    </row>
    <row r="21" spans="1:13">
      <c r="A21" s="559"/>
      <c r="B21" s="543"/>
      <c r="C21" s="531"/>
      <c r="D21" s="989"/>
      <c r="E21" s="988"/>
      <c r="F21" s="987"/>
      <c r="G21" s="551"/>
      <c r="H21" s="986"/>
      <c r="I21" s="985"/>
      <c r="J21" s="554"/>
      <c r="K21" s="563"/>
      <c r="L21" s="556"/>
      <c r="M21" s="557"/>
    </row>
    <row r="22" spans="1:13">
      <c r="A22" s="559"/>
      <c r="B22" s="543"/>
      <c r="C22" s="531"/>
      <c r="D22" s="989"/>
      <c r="E22" s="988"/>
      <c r="F22" s="987"/>
      <c r="G22" s="551"/>
      <c r="H22" s="986"/>
      <c r="I22" s="985"/>
      <c r="J22" s="554"/>
      <c r="K22" s="555"/>
      <c r="L22" s="556"/>
      <c r="M22" s="566"/>
    </row>
    <row r="23" spans="1:13">
      <c r="A23" s="559"/>
      <c r="B23" s="543"/>
      <c r="C23" s="531"/>
      <c r="D23" s="989"/>
      <c r="E23" s="988"/>
      <c r="F23" s="987"/>
      <c r="G23" s="551"/>
      <c r="H23" s="986"/>
      <c r="I23" s="985"/>
      <c r="J23" s="554"/>
      <c r="K23" s="991"/>
      <c r="L23" s="556"/>
      <c r="M23" s="581"/>
    </row>
    <row r="24" spans="1:13">
      <c r="A24" s="559"/>
      <c r="B24" s="543"/>
      <c r="C24" s="531"/>
      <c r="D24" s="989"/>
      <c r="E24" s="988"/>
      <c r="F24" s="987"/>
      <c r="G24" s="551"/>
      <c r="H24" s="986"/>
      <c r="I24" s="985"/>
      <c r="J24" s="554"/>
      <c r="K24" s="990"/>
      <c r="L24" s="556"/>
      <c r="M24" s="581"/>
    </row>
    <row r="25" spans="1:13">
      <c r="A25" s="559"/>
      <c r="B25" s="543"/>
      <c r="C25" s="531"/>
      <c r="D25" s="989"/>
      <c r="E25" s="988"/>
      <c r="F25" s="987"/>
      <c r="G25" s="551"/>
      <c r="H25" s="986"/>
      <c r="I25" s="985"/>
      <c r="J25" s="554"/>
      <c r="K25" s="990"/>
      <c r="L25" s="556"/>
      <c r="M25" s="581"/>
    </row>
    <row r="26" spans="1:13">
      <c r="A26" s="559"/>
      <c r="B26" s="543"/>
      <c r="C26" s="531"/>
      <c r="D26" s="989"/>
      <c r="E26" s="988"/>
      <c r="F26" s="987"/>
      <c r="G26" s="551"/>
      <c r="H26" s="986"/>
      <c r="I26" s="985"/>
      <c r="J26" s="554"/>
      <c r="K26" s="990"/>
      <c r="L26" s="556"/>
      <c r="M26" s="557"/>
    </row>
    <row r="27" spans="1:13">
      <c r="A27" s="559"/>
      <c r="B27" s="543"/>
      <c r="C27" s="531"/>
      <c r="D27" s="989"/>
      <c r="E27" s="988"/>
      <c r="F27" s="987"/>
      <c r="G27" s="551"/>
      <c r="H27" s="986"/>
      <c r="I27" s="985"/>
      <c r="J27" s="554"/>
      <c r="K27" s="990"/>
      <c r="L27" s="556"/>
      <c r="M27" s="557"/>
    </row>
    <row r="28" spans="1:13">
      <c r="A28" s="559"/>
      <c r="B28" s="543"/>
      <c r="C28" s="531"/>
      <c r="D28" s="989"/>
      <c r="E28" s="988"/>
      <c r="F28" s="987"/>
      <c r="G28" s="551"/>
      <c r="H28" s="986"/>
      <c r="I28" s="985"/>
      <c r="J28" s="554"/>
      <c r="K28" s="990"/>
      <c r="L28" s="556"/>
      <c r="M28" s="557"/>
    </row>
    <row r="29" spans="1:13">
      <c r="A29" s="559"/>
      <c r="B29" s="543"/>
      <c r="C29" s="531"/>
      <c r="D29" s="989"/>
      <c r="E29" s="988"/>
      <c r="F29" s="987"/>
      <c r="G29" s="551"/>
      <c r="H29" s="986"/>
      <c r="I29" s="985"/>
      <c r="J29" s="554"/>
      <c r="K29" s="990"/>
      <c r="L29" s="556"/>
      <c r="M29" s="557"/>
    </row>
    <row r="30" spans="1:13">
      <c r="A30" s="559"/>
      <c r="B30" s="543"/>
      <c r="C30" s="531"/>
      <c r="D30" s="989"/>
      <c r="E30" s="988"/>
      <c r="F30" s="987"/>
      <c r="G30" s="551"/>
      <c r="H30" s="986"/>
      <c r="I30" s="985"/>
      <c r="J30" s="554"/>
      <c r="K30" s="990"/>
      <c r="L30" s="556"/>
      <c r="M30" s="557"/>
    </row>
    <row r="31" spans="1:13">
      <c r="A31" s="559"/>
      <c r="B31" s="543"/>
      <c r="C31" s="531"/>
      <c r="D31" s="989"/>
      <c r="E31" s="988"/>
      <c r="F31" s="987"/>
      <c r="G31" s="551"/>
      <c r="H31" s="986"/>
      <c r="I31" s="985"/>
      <c r="J31" s="554"/>
      <c r="K31" s="990"/>
      <c r="L31" s="556"/>
      <c r="M31" s="557"/>
    </row>
    <row r="32" spans="1:13">
      <c r="A32" s="559"/>
      <c r="B32" s="543"/>
      <c r="C32" s="531"/>
      <c r="D32" s="989"/>
      <c r="E32" s="988"/>
      <c r="F32" s="987"/>
      <c r="G32" s="551"/>
      <c r="H32" s="986"/>
      <c r="I32" s="985"/>
      <c r="J32" s="554"/>
      <c r="K32" s="565"/>
      <c r="L32" s="556"/>
      <c r="M32" s="557"/>
    </row>
    <row r="33" spans="1:13">
      <c r="A33" s="559"/>
      <c r="B33" s="543"/>
      <c r="C33" s="531"/>
      <c r="D33" s="989"/>
      <c r="E33" s="988"/>
      <c r="F33" s="987"/>
      <c r="G33" s="551"/>
      <c r="H33" s="986"/>
      <c r="I33" s="985"/>
      <c r="J33" s="554"/>
      <c r="K33" s="565"/>
      <c r="L33" s="556"/>
      <c r="M33" s="557"/>
    </row>
    <row r="34" spans="1:13">
      <c r="A34" s="559"/>
      <c r="B34" s="543"/>
      <c r="C34" s="531"/>
      <c r="D34" s="989"/>
      <c r="E34" s="988"/>
      <c r="F34" s="987"/>
      <c r="G34" s="551"/>
      <c r="H34" s="986"/>
      <c r="I34" s="985"/>
      <c r="J34" s="554"/>
      <c r="K34" s="565"/>
      <c r="L34" s="556"/>
      <c r="M34" s="557"/>
    </row>
    <row r="35" spans="1:13">
      <c r="A35" s="559"/>
      <c r="B35" s="543"/>
      <c r="C35" s="531"/>
      <c r="D35" s="989"/>
      <c r="E35" s="988"/>
      <c r="F35" s="987"/>
      <c r="G35" s="551"/>
      <c r="H35" s="986"/>
      <c r="I35" s="985"/>
      <c r="J35" s="554"/>
      <c r="K35" s="565"/>
      <c r="L35" s="556"/>
      <c r="M35" s="557"/>
    </row>
    <row r="36" spans="1:13">
      <c r="A36" s="559"/>
      <c r="B36" s="543"/>
      <c r="C36" s="531"/>
      <c r="D36" s="989"/>
      <c r="E36" s="988"/>
      <c r="F36" s="987"/>
      <c r="G36" s="551"/>
      <c r="H36" s="986"/>
      <c r="I36" s="985"/>
      <c r="J36" s="554"/>
      <c r="K36" s="565"/>
      <c r="L36" s="556"/>
      <c r="M36" s="557"/>
    </row>
    <row r="37" spans="1:13">
      <c r="A37" s="559"/>
      <c r="B37" s="543"/>
      <c r="C37" s="531"/>
      <c r="D37" s="989"/>
      <c r="E37" s="988"/>
      <c r="F37" s="987"/>
      <c r="G37" s="551"/>
      <c r="H37" s="986"/>
      <c r="I37" s="985"/>
      <c r="J37" s="554"/>
      <c r="K37" s="565"/>
      <c r="L37" s="556"/>
      <c r="M37" s="557"/>
    </row>
    <row r="38" spans="1:13">
      <c r="A38" s="559"/>
      <c r="B38" s="543"/>
      <c r="C38" s="531"/>
      <c r="D38" s="989"/>
      <c r="E38" s="988"/>
      <c r="F38" s="987"/>
      <c r="G38" s="551"/>
      <c r="H38" s="986"/>
      <c r="I38" s="985"/>
      <c r="J38" s="554"/>
      <c r="K38" s="565"/>
      <c r="L38" s="556"/>
      <c r="M38" s="557"/>
    </row>
    <row r="39" spans="1:13">
      <c r="A39" s="559"/>
      <c r="B39" s="543"/>
      <c r="C39" s="531"/>
      <c r="D39" s="989"/>
      <c r="E39" s="988"/>
      <c r="F39" s="987"/>
      <c r="G39" s="551"/>
      <c r="H39" s="986"/>
      <c r="I39" s="985"/>
      <c r="J39" s="554"/>
      <c r="K39" s="565"/>
      <c r="L39" s="556"/>
      <c r="M39" s="557"/>
    </row>
    <row r="40" spans="1:13">
      <c r="A40" s="559"/>
      <c r="B40" s="543"/>
      <c r="C40" s="531"/>
      <c r="D40" s="989"/>
      <c r="E40" s="988"/>
      <c r="F40" s="987"/>
      <c r="G40" s="551"/>
      <c r="H40" s="986"/>
      <c r="I40" s="985"/>
      <c r="J40" s="554"/>
      <c r="K40" s="565"/>
      <c r="L40" s="556"/>
      <c r="M40" s="557"/>
    </row>
    <row r="41" spans="1:13">
      <c r="A41" s="559"/>
      <c r="B41" s="543"/>
      <c r="C41" s="531"/>
      <c r="D41" s="989"/>
      <c r="E41" s="988"/>
      <c r="F41" s="987"/>
      <c r="G41" s="551"/>
      <c r="H41" s="986"/>
      <c r="I41" s="985"/>
      <c r="J41" s="554"/>
      <c r="K41" s="565"/>
      <c r="L41" s="556"/>
      <c r="M41" s="557"/>
    </row>
    <row r="42" spans="1:13">
      <c r="A42" s="559"/>
      <c r="B42" s="543"/>
      <c r="C42" s="531"/>
      <c r="D42" s="989"/>
      <c r="E42" s="988"/>
      <c r="F42" s="987"/>
      <c r="G42" s="551"/>
      <c r="H42" s="986"/>
      <c r="I42" s="985"/>
      <c r="J42" s="554"/>
      <c r="K42" s="565"/>
      <c r="L42" s="556"/>
      <c r="M42" s="557"/>
    </row>
    <row r="43" spans="1:13">
      <c r="A43" s="559"/>
      <c r="B43" s="543"/>
      <c r="C43" s="531"/>
      <c r="D43" s="989"/>
      <c r="E43" s="988"/>
      <c r="F43" s="987"/>
      <c r="G43" s="551"/>
      <c r="H43" s="986"/>
      <c r="I43" s="985"/>
      <c r="J43" s="554"/>
      <c r="K43" s="565"/>
      <c r="L43" s="556"/>
      <c r="M43" s="557"/>
    </row>
    <row r="44" spans="1:13">
      <c r="A44" s="559"/>
      <c r="B44" s="543"/>
      <c r="C44" s="531"/>
      <c r="D44" s="989"/>
      <c r="E44" s="988"/>
      <c r="F44" s="987"/>
      <c r="G44" s="551"/>
      <c r="H44" s="986"/>
      <c r="I44" s="985"/>
      <c r="J44" s="554"/>
      <c r="K44" s="565"/>
      <c r="L44" s="556"/>
      <c r="M44" s="557"/>
    </row>
    <row r="45" spans="1:13">
      <c r="A45" s="559"/>
      <c r="B45" s="543"/>
      <c r="C45" s="531"/>
      <c r="D45" s="989"/>
      <c r="E45" s="988"/>
      <c r="F45" s="987"/>
      <c r="G45" s="551"/>
      <c r="H45" s="986"/>
      <c r="I45" s="985"/>
      <c r="J45" s="554"/>
      <c r="K45" s="565"/>
      <c r="L45" s="556"/>
      <c r="M45" s="557"/>
    </row>
    <row r="46" spans="1:13">
      <c r="A46" s="559"/>
      <c r="B46" s="543"/>
      <c r="C46" s="531"/>
      <c r="D46" s="989"/>
      <c r="E46" s="988"/>
      <c r="F46" s="987"/>
      <c r="G46" s="551"/>
      <c r="H46" s="986"/>
      <c r="I46" s="985"/>
      <c r="J46" s="554"/>
      <c r="K46" s="565"/>
      <c r="L46" s="556"/>
      <c r="M46" s="557"/>
    </row>
    <row r="47" spans="1:13">
      <c r="A47" s="559"/>
      <c r="B47" s="543"/>
      <c r="C47" s="531"/>
      <c r="D47" s="989"/>
      <c r="E47" s="988"/>
      <c r="F47" s="987"/>
      <c r="G47" s="551"/>
      <c r="H47" s="986"/>
      <c r="I47" s="985"/>
      <c r="J47" s="554"/>
      <c r="K47" s="565"/>
      <c r="L47" s="556"/>
      <c r="M47" s="557"/>
    </row>
    <row r="48" spans="1:13">
      <c r="A48" s="559"/>
      <c r="B48" s="543"/>
      <c r="C48" s="531"/>
      <c r="D48" s="989"/>
      <c r="E48" s="988"/>
      <c r="F48" s="987"/>
      <c r="G48" s="551"/>
      <c r="H48" s="986"/>
      <c r="I48" s="985"/>
      <c r="J48" s="554"/>
      <c r="K48" s="565"/>
      <c r="L48" s="556"/>
      <c r="M48" s="557"/>
    </row>
    <row r="49" spans="1:13">
      <c r="A49" s="559"/>
      <c r="B49" s="543"/>
      <c r="C49" s="531"/>
      <c r="D49" s="989"/>
      <c r="E49" s="988"/>
      <c r="F49" s="987"/>
      <c r="G49" s="551"/>
      <c r="H49" s="986"/>
      <c r="I49" s="985"/>
      <c r="J49" s="554"/>
      <c r="K49" s="565"/>
      <c r="L49" s="556"/>
      <c r="M49" s="557"/>
    </row>
    <row r="50" spans="1:13">
      <c r="A50" s="559"/>
      <c r="B50" s="543"/>
      <c r="C50" s="531"/>
      <c r="D50" s="989"/>
      <c r="E50" s="988"/>
      <c r="F50" s="987"/>
      <c r="G50" s="551"/>
      <c r="H50" s="986"/>
      <c r="I50" s="985"/>
      <c r="J50" s="554"/>
      <c r="K50" s="565"/>
      <c r="L50" s="556"/>
      <c r="M50" s="557"/>
    </row>
    <row r="51" spans="1:13">
      <c r="A51" s="559"/>
      <c r="B51" s="543"/>
      <c r="C51" s="531"/>
      <c r="D51" s="989"/>
      <c r="E51" s="988"/>
      <c r="F51" s="987"/>
      <c r="G51" s="551"/>
      <c r="H51" s="986"/>
      <c r="I51" s="985"/>
      <c r="J51" s="554"/>
      <c r="K51" s="565"/>
      <c r="L51" s="556"/>
      <c r="M51" s="557"/>
    </row>
    <row r="52" spans="1:13" ht="13.5" thickBot="1">
      <c r="A52" s="559"/>
      <c r="B52" s="543"/>
      <c r="C52" s="531"/>
      <c r="D52" s="989"/>
      <c r="E52" s="988"/>
      <c r="F52" s="987"/>
      <c r="G52" s="551"/>
      <c r="H52" s="986"/>
      <c r="I52" s="985"/>
      <c r="J52" s="554"/>
      <c r="K52" s="565"/>
      <c r="L52" s="556"/>
      <c r="M52" s="602"/>
    </row>
    <row r="53" spans="1:13">
      <c r="A53" s="559"/>
      <c r="B53" s="543"/>
      <c r="C53" s="531"/>
      <c r="D53" s="989"/>
      <c r="E53" s="988"/>
      <c r="F53" s="987"/>
      <c r="G53" s="551"/>
      <c r="H53" s="986"/>
      <c r="I53" s="985"/>
      <c r="J53" s="554"/>
      <c r="K53" s="565"/>
      <c r="L53" s="603" t="s">
        <v>158</v>
      </c>
      <c r="M53" s="604">
        <f>AVERAGE(M13:M16)</f>
        <v>149.33333333333334</v>
      </c>
    </row>
    <row r="54" spans="1:13">
      <c r="A54" s="559"/>
      <c r="B54" s="543"/>
      <c r="C54" s="531"/>
      <c r="D54" s="989"/>
      <c r="E54" s="988"/>
      <c r="F54" s="987"/>
      <c r="G54" s="551"/>
      <c r="H54" s="986"/>
      <c r="I54" s="985"/>
      <c r="J54" s="554"/>
      <c r="K54" s="565"/>
      <c r="L54" s="433" t="s">
        <v>159</v>
      </c>
      <c r="M54" s="602"/>
    </row>
    <row r="55" spans="1:13">
      <c r="A55" s="606" t="s">
        <v>160</v>
      </c>
      <c r="B55" s="607"/>
      <c r="C55" s="608"/>
      <c r="D55" s="984"/>
      <c r="E55" s="983"/>
      <c r="F55" s="982"/>
      <c r="G55" s="613"/>
      <c r="H55" s="981"/>
      <c r="I55" s="980"/>
      <c r="J55" s="616"/>
      <c r="K55" s="617"/>
      <c r="L55" s="433" t="s">
        <v>161</v>
      </c>
      <c r="M55" s="602"/>
    </row>
    <row r="56" spans="1:13">
      <c r="A56" s="618"/>
      <c r="B56" s="619"/>
      <c r="C56" s="620"/>
      <c r="D56" s="979"/>
      <c r="E56" s="978"/>
      <c r="F56" s="977"/>
      <c r="G56" s="976"/>
      <c r="H56" s="626"/>
      <c r="I56" s="975"/>
      <c r="J56" s="974"/>
      <c r="K56" s="629"/>
      <c r="L56" s="433" t="s">
        <v>162</v>
      </c>
      <c r="M56" s="602"/>
    </row>
    <row r="57" spans="1:13" ht="13.5" thickBot="1">
      <c r="A57" s="630"/>
      <c r="B57" s="631"/>
      <c r="C57" s="632"/>
      <c r="D57" s="973"/>
      <c r="E57" s="972"/>
      <c r="F57" s="971"/>
      <c r="G57" s="970"/>
      <c r="H57" s="638"/>
      <c r="I57" s="969"/>
      <c r="J57" s="968"/>
      <c r="K57" s="641"/>
      <c r="L57" s="642" t="s">
        <v>163</v>
      </c>
      <c r="M57" s="643"/>
    </row>
    <row r="58" spans="1:13">
      <c r="A58" s="644"/>
      <c r="B58" s="644"/>
      <c r="C58" s="645"/>
      <c r="D58" s="646"/>
      <c r="E58" s="646"/>
      <c r="F58" s="646"/>
      <c r="G58" s="647"/>
      <c r="H58" s="648"/>
      <c r="I58" s="649"/>
      <c r="J58" s="650"/>
      <c r="K58" s="651"/>
      <c r="L58" s="652"/>
      <c r="M58" s="605"/>
    </row>
  </sheetData>
  <mergeCells count="1">
    <mergeCell ref="L7:M7"/>
  </mergeCells>
  <dataValidations count="1">
    <dataValidation type="list" allowBlank="1" showInputMessage="1" showErrorMessage="1" sqref="B5" xr:uid="{807895CB-226B-46A9-AEF9-50A759C3C93F}">
      <formula1>$AB$5:$AB$8</formula1>
    </dataValidation>
  </dataValidation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0C88E-459F-424C-A801-467B7F5AB3F7}">
  <dimension ref="A1:Q169"/>
  <sheetViews>
    <sheetView topLeftCell="A14" workbookViewId="0">
      <selection activeCell="H30" sqref="H30"/>
    </sheetView>
  </sheetViews>
  <sheetFormatPr defaultColWidth="7.85546875" defaultRowHeight="11.25"/>
  <cols>
    <col min="1" max="1" width="15.7109375" style="593" bestFit="1" customWidth="1"/>
    <col min="2" max="2" width="9.5703125" style="593" bestFit="1" customWidth="1"/>
    <col min="3" max="3" width="5.140625" style="660" customWidth="1"/>
    <col min="4" max="6" width="7.7109375" style="660" customWidth="1"/>
    <col min="7" max="7" width="6.28515625" style="656" customWidth="1"/>
    <col min="8" max="8" width="6.85546875" style="659" customWidth="1"/>
    <col min="9" max="9" width="9.7109375" style="656" customWidth="1"/>
    <col min="10" max="10" width="8.7109375" style="656" bestFit="1" customWidth="1"/>
    <col min="11" max="11" width="12.5703125" style="650" customWidth="1"/>
    <col min="12" max="12" width="17.28515625" style="657" bestFit="1" customWidth="1"/>
    <col min="13" max="13" width="12.85546875" style="593" customWidth="1"/>
    <col min="14" max="14" width="11.28515625" style="593" customWidth="1"/>
    <col min="15" max="15" width="14.5703125" style="605" customWidth="1"/>
    <col min="16" max="16" width="2.42578125" style="605" customWidth="1"/>
    <col min="17" max="17" width="14" style="593" bestFit="1" customWidth="1"/>
    <col min="18" max="18" width="5.42578125" style="593" customWidth="1"/>
    <col min="19" max="27" width="5.28515625" style="593" customWidth="1"/>
    <col min="28" max="28" width="17" style="593" customWidth="1"/>
    <col min="29" max="16384" width="7.85546875" style="593"/>
  </cols>
  <sheetData>
    <row r="1" spans="1:15" s="432" customFormat="1" ht="12.75">
      <c r="A1" s="1027" t="s">
        <v>108</v>
      </c>
      <c r="B1" s="1026" t="s">
        <v>164</v>
      </c>
      <c r="C1" s="426"/>
      <c r="D1" s="1026"/>
      <c r="E1" s="427"/>
      <c r="F1" s="427"/>
      <c r="G1" s="428"/>
      <c r="H1" s="429" t="s">
        <v>188</v>
      </c>
      <c r="I1" s="430">
        <f>M12</f>
        <v>77</v>
      </c>
      <c r="J1" s="431"/>
      <c r="K1" s="1026"/>
      <c r="L1" s="1026"/>
      <c r="M1" s="1025"/>
      <c r="N1" s="433"/>
    </row>
    <row r="2" spans="1:15" s="432" customFormat="1" ht="12.75">
      <c r="A2" s="1019" t="s">
        <v>110</v>
      </c>
      <c r="B2" s="444" t="s">
        <v>8</v>
      </c>
      <c r="C2" s="436"/>
      <c r="D2" s="444"/>
      <c r="E2" s="437"/>
      <c r="F2" s="437"/>
      <c r="G2" s="438"/>
      <c r="H2" s="439" t="s">
        <v>187</v>
      </c>
      <c r="I2" s="1024">
        <f>M12</f>
        <v>77</v>
      </c>
      <c r="J2" s="441"/>
      <c r="K2" s="444"/>
      <c r="L2" s="444"/>
      <c r="M2" s="1020"/>
      <c r="N2" s="442"/>
    </row>
    <row r="3" spans="1:15" s="446" customFormat="1" ht="11.25" customHeight="1">
      <c r="A3" s="1022" t="s">
        <v>112</v>
      </c>
      <c r="B3" s="731">
        <v>45160</v>
      </c>
      <c r="C3" s="436"/>
      <c r="D3" s="437"/>
      <c r="E3" s="437"/>
      <c r="F3" s="437"/>
      <c r="G3" s="438"/>
      <c r="H3" s="443" t="s">
        <v>186</v>
      </c>
      <c r="I3" s="1021">
        <f>M53/100</f>
        <v>0.82900000000000007</v>
      </c>
      <c r="J3" s="441"/>
      <c r="K3" s="444"/>
      <c r="L3" s="444"/>
      <c r="M3" s="1023"/>
      <c r="N3" s="447"/>
    </row>
    <row r="4" spans="1:15" s="432" customFormat="1" ht="12.75">
      <c r="A4" s="1022" t="s">
        <v>114</v>
      </c>
      <c r="B4" s="444" t="s">
        <v>218</v>
      </c>
      <c r="C4" s="436"/>
      <c r="D4" s="437"/>
      <c r="E4" s="437"/>
      <c r="F4" s="437"/>
      <c r="G4" s="438"/>
      <c r="H4" s="443" t="s">
        <v>185</v>
      </c>
      <c r="I4" s="1021">
        <f>J19</f>
        <v>0.50764970019628408</v>
      </c>
      <c r="J4" s="441"/>
      <c r="K4" s="444"/>
      <c r="L4" s="444"/>
      <c r="M4" s="1020"/>
      <c r="N4" s="433"/>
    </row>
    <row r="5" spans="1:15" s="452" customFormat="1" ht="12.75">
      <c r="A5" s="1019" t="s">
        <v>116</v>
      </c>
      <c r="B5" s="450" t="s">
        <v>117</v>
      </c>
      <c r="C5" s="436"/>
      <c r="D5" s="437"/>
      <c r="E5" s="437"/>
      <c r="F5" s="437"/>
      <c r="G5" s="438"/>
      <c r="H5" s="443"/>
      <c r="I5" s="1040"/>
      <c r="J5" s="441"/>
      <c r="K5" s="444"/>
      <c r="L5" s="444"/>
      <c r="M5" s="480"/>
      <c r="N5" s="451"/>
    </row>
    <row r="6" spans="1:15" s="451" customFormat="1" ht="13.5" thickBot="1">
      <c r="A6" s="1017"/>
      <c r="B6" s="1010"/>
      <c r="C6" s="1016"/>
      <c r="D6" s="1015"/>
      <c r="E6" s="1015"/>
      <c r="F6" s="1015"/>
      <c r="G6" s="1012"/>
      <c r="H6" s="1014"/>
      <c r="I6" s="1013"/>
      <c r="J6" s="1012"/>
      <c r="K6" s="1011"/>
      <c r="L6" s="1010"/>
      <c r="M6" s="1009"/>
    </row>
    <row r="7" spans="1:15" s="452" customFormat="1" ht="13.15" customHeight="1">
      <c r="A7" s="1008" t="s">
        <v>118</v>
      </c>
      <c r="B7" s="1004"/>
      <c r="C7" s="1007"/>
      <c r="D7" s="1006"/>
      <c r="E7" s="1005" t="s">
        <v>119</v>
      </c>
      <c r="F7" s="1004"/>
      <c r="G7" s="1003" t="s">
        <v>120</v>
      </c>
      <c r="H7" s="464"/>
      <c r="I7" s="1002" t="s">
        <v>121</v>
      </c>
      <c r="J7" s="1002"/>
      <c r="K7" s="465"/>
      <c r="L7" s="1129" t="s">
        <v>122</v>
      </c>
      <c r="M7" s="1130"/>
      <c r="N7" s="451"/>
      <c r="O7" s="451"/>
    </row>
    <row r="8" spans="1:15" s="482" customFormat="1" ht="11.25" customHeight="1">
      <c r="A8" s="466"/>
      <c r="B8" s="461"/>
      <c r="C8" s="467"/>
      <c r="D8" s="476"/>
      <c r="E8" s="1000"/>
      <c r="F8" s="476"/>
      <c r="G8" s="999"/>
      <c r="H8" s="478"/>
      <c r="I8" s="502"/>
      <c r="J8" s="502"/>
      <c r="K8" s="479"/>
      <c r="L8" s="480"/>
      <c r="M8" s="480"/>
      <c r="N8" s="481"/>
    </row>
    <row r="9" spans="1:15" s="492" customFormat="1">
      <c r="C9" s="484"/>
      <c r="D9" s="1001"/>
      <c r="E9" s="1000" t="s">
        <v>125</v>
      </c>
      <c r="F9" s="476"/>
      <c r="G9" s="999"/>
      <c r="H9" s="478"/>
      <c r="I9" s="605"/>
      <c r="J9" s="605"/>
      <c r="K9" s="479"/>
      <c r="L9" s="488"/>
      <c r="M9" s="489"/>
      <c r="N9" s="490"/>
      <c r="O9" s="491"/>
    </row>
    <row r="10" spans="1:15" s="492" customFormat="1">
      <c r="A10" s="493" t="s">
        <v>126</v>
      </c>
      <c r="B10" s="494" t="s">
        <v>127</v>
      </c>
      <c r="C10" s="495" t="s">
        <v>128</v>
      </c>
      <c r="D10" s="501" t="s">
        <v>138</v>
      </c>
      <c r="E10" s="499" t="s">
        <v>139</v>
      </c>
      <c r="F10" s="501" t="s">
        <v>140</v>
      </c>
      <c r="G10" s="999" t="s">
        <v>141</v>
      </c>
      <c r="H10" s="478" t="s">
        <v>142</v>
      </c>
      <c r="I10" s="502" t="s">
        <v>142</v>
      </c>
      <c r="J10" s="502" t="s">
        <v>141</v>
      </c>
      <c r="K10" s="503" t="s">
        <v>143</v>
      </c>
      <c r="L10" s="488" t="s">
        <v>144</v>
      </c>
      <c r="M10" s="488" t="s">
        <v>145</v>
      </c>
      <c r="N10" s="504"/>
    </row>
    <row r="11" spans="1:15" s="492" customFormat="1" ht="12" thickBot="1">
      <c r="A11" s="505" t="s">
        <v>146</v>
      </c>
      <c r="B11" s="506" t="s">
        <v>146</v>
      </c>
      <c r="C11" s="507" t="s">
        <v>147</v>
      </c>
      <c r="D11" s="516" t="s">
        <v>149</v>
      </c>
      <c r="E11" s="514" t="s">
        <v>147</v>
      </c>
      <c r="F11" s="516" t="s">
        <v>147</v>
      </c>
      <c r="G11" s="998" t="s">
        <v>150</v>
      </c>
      <c r="H11" s="518" t="s">
        <v>151</v>
      </c>
      <c r="I11" s="517" t="s">
        <v>151</v>
      </c>
      <c r="J11" s="517" t="s">
        <v>150</v>
      </c>
      <c r="K11" s="520"/>
      <c r="L11" s="521"/>
      <c r="M11" s="522" t="s">
        <v>147</v>
      </c>
      <c r="N11" s="504"/>
    </row>
    <row r="12" spans="1:15" s="492" customFormat="1">
      <c r="A12" s="542"/>
      <c r="B12" s="543"/>
      <c r="C12" s="531">
        <v>0</v>
      </c>
      <c r="D12" s="989"/>
      <c r="E12" s="997"/>
      <c r="F12" s="996"/>
      <c r="G12" s="995"/>
      <c r="H12" s="552"/>
      <c r="I12" s="994"/>
      <c r="J12" s="993"/>
      <c r="K12" s="555"/>
      <c r="L12" s="539" t="s">
        <v>155</v>
      </c>
      <c r="M12" s="540">
        <v>77</v>
      </c>
      <c r="N12" s="541"/>
    </row>
    <row r="13" spans="1:15" s="492" customFormat="1">
      <c r="A13" s="542">
        <v>260</v>
      </c>
      <c r="B13" s="543">
        <v>0</v>
      </c>
      <c r="C13" s="531">
        <v>11</v>
      </c>
      <c r="D13" s="989">
        <v>966</v>
      </c>
      <c r="E13" s="988">
        <f>C12</f>
        <v>0</v>
      </c>
      <c r="F13" s="987">
        <f>(C13+C14-10)/2</f>
        <v>11.5</v>
      </c>
      <c r="G13" s="551">
        <f t="shared" ref="G13:G19" si="0">(A13-B13)/966</f>
        <v>0.2691511387163561</v>
      </c>
      <c r="H13" s="986">
        <f>(G13*(F13-E13))/100</f>
        <v>3.095238095238095E-2</v>
      </c>
      <c r="I13" s="985">
        <f>SUM(H$13:H13)</f>
        <v>3.095238095238095E-2</v>
      </c>
      <c r="J13" s="554">
        <f t="shared" ref="J13:J19" si="1">I13/F13*100</f>
        <v>0.2691511387163561</v>
      </c>
      <c r="K13" s="555"/>
      <c r="L13" s="556" t="s">
        <v>215</v>
      </c>
      <c r="M13" s="557">
        <v>65</v>
      </c>
      <c r="N13" s="504"/>
    </row>
    <row r="14" spans="1:15" s="492" customFormat="1">
      <c r="A14" s="542">
        <v>555</v>
      </c>
      <c r="B14" s="543">
        <v>0</v>
      </c>
      <c r="C14" s="531">
        <v>22</v>
      </c>
      <c r="D14" s="989">
        <v>966</v>
      </c>
      <c r="E14" s="988">
        <f>(C13+C14-10)/2</f>
        <v>11.5</v>
      </c>
      <c r="F14" s="987">
        <f t="shared" ref="F14:F18" si="2">(C14+C15-10)/2</f>
        <v>22.5</v>
      </c>
      <c r="G14" s="551">
        <f t="shared" si="0"/>
        <v>0.57453416149068326</v>
      </c>
      <c r="H14" s="986">
        <f t="shared" ref="H14:H19" si="3">(G14*(F14-E14))/100</f>
        <v>6.3198757763975155E-2</v>
      </c>
      <c r="I14" s="985">
        <f>SUM(H$13:H14)</f>
        <v>9.4151138716356109E-2</v>
      </c>
      <c r="J14" s="554">
        <f t="shared" si="1"/>
        <v>0.41844950540602716</v>
      </c>
      <c r="K14" s="555" t="s">
        <v>219</v>
      </c>
      <c r="L14" s="556" t="s">
        <v>215</v>
      </c>
      <c r="M14" s="557">
        <v>72</v>
      </c>
      <c r="N14" s="504"/>
    </row>
    <row r="15" spans="1:15" s="492" customFormat="1">
      <c r="A15" s="542">
        <v>525</v>
      </c>
      <c r="B15" s="543">
        <v>0</v>
      </c>
      <c r="C15" s="531">
        <v>33</v>
      </c>
      <c r="D15" s="989">
        <v>966</v>
      </c>
      <c r="E15" s="988">
        <f>(C14+C15-10)/2</f>
        <v>22.5</v>
      </c>
      <c r="F15" s="987">
        <f t="shared" si="2"/>
        <v>33.5</v>
      </c>
      <c r="G15" s="551">
        <f t="shared" si="0"/>
        <v>0.54347826086956519</v>
      </c>
      <c r="H15" s="986">
        <f t="shared" si="3"/>
        <v>5.9782608695652169E-2</v>
      </c>
      <c r="I15" s="985">
        <f>SUM(H$13:H15)</f>
        <v>0.15393374741200827</v>
      </c>
      <c r="J15" s="554">
        <f t="shared" si="1"/>
        <v>0.45950372361793512</v>
      </c>
      <c r="K15" s="555"/>
      <c r="L15" s="556" t="s">
        <v>215</v>
      </c>
      <c r="M15" s="558">
        <v>89</v>
      </c>
      <c r="N15" s="504"/>
    </row>
    <row r="16" spans="1:15" s="492" customFormat="1">
      <c r="A16" s="559">
        <v>540</v>
      </c>
      <c r="B16" s="543">
        <v>0</v>
      </c>
      <c r="C16" s="531">
        <v>44</v>
      </c>
      <c r="D16" s="989">
        <v>966</v>
      </c>
      <c r="E16" s="988">
        <f t="shared" ref="E16:E19" si="4">(C15+C16-10)/2</f>
        <v>33.5</v>
      </c>
      <c r="F16" s="987">
        <f t="shared" si="2"/>
        <v>44.5</v>
      </c>
      <c r="G16" s="551">
        <f t="shared" si="0"/>
        <v>0.55900621118012417</v>
      </c>
      <c r="H16" s="986">
        <f t="shared" si="3"/>
        <v>6.1490683229813659E-2</v>
      </c>
      <c r="I16" s="985">
        <f>SUM(H$13:H16)</f>
        <v>0.21542443064182193</v>
      </c>
      <c r="J16" s="554">
        <f t="shared" si="1"/>
        <v>0.48409984413892565</v>
      </c>
      <c r="K16" s="555" t="s">
        <v>219</v>
      </c>
      <c r="L16" s="556" t="s">
        <v>215</v>
      </c>
      <c r="M16" s="557">
        <v>111</v>
      </c>
      <c r="N16" s="504"/>
    </row>
    <row r="17" spans="1:16" s="492" customFormat="1">
      <c r="A17" s="559">
        <v>520</v>
      </c>
      <c r="B17" s="543">
        <v>0</v>
      </c>
      <c r="C17" s="531">
        <v>55</v>
      </c>
      <c r="D17" s="989">
        <v>966</v>
      </c>
      <c r="E17" s="988">
        <f t="shared" si="4"/>
        <v>44.5</v>
      </c>
      <c r="F17" s="987">
        <f t="shared" si="2"/>
        <v>55.5</v>
      </c>
      <c r="G17" s="551">
        <f t="shared" si="0"/>
        <v>0.5383022774327122</v>
      </c>
      <c r="H17" s="986">
        <f t="shared" si="3"/>
        <v>5.9213250517598341E-2</v>
      </c>
      <c r="I17" s="985">
        <f>SUM(H$13:H17)</f>
        <v>0.27463768115942028</v>
      </c>
      <c r="J17" s="554">
        <f t="shared" si="1"/>
        <v>0.4948426687557122</v>
      </c>
      <c r="K17" s="555" t="s">
        <v>220</v>
      </c>
      <c r="L17" s="556" t="s">
        <v>215</v>
      </c>
      <c r="M17" s="557">
        <v>102</v>
      </c>
      <c r="N17" s="490"/>
    </row>
    <row r="18" spans="1:16" s="492" customFormat="1">
      <c r="A18" s="559">
        <v>515</v>
      </c>
      <c r="B18" s="543">
        <v>0</v>
      </c>
      <c r="C18" s="531">
        <v>66</v>
      </c>
      <c r="D18" s="989">
        <v>966</v>
      </c>
      <c r="E18" s="988">
        <f t="shared" si="4"/>
        <v>55.5</v>
      </c>
      <c r="F18" s="987">
        <f t="shared" si="2"/>
        <v>66.5</v>
      </c>
      <c r="G18" s="551">
        <f t="shared" si="0"/>
        <v>0.5331262939958592</v>
      </c>
      <c r="H18" s="986">
        <f t="shared" si="3"/>
        <v>5.8643892339544514E-2</v>
      </c>
      <c r="I18" s="985">
        <f>SUM(H$13:H18)</f>
        <v>0.33328157349896481</v>
      </c>
      <c r="J18" s="554">
        <f t="shared" si="1"/>
        <v>0.5011752984946839</v>
      </c>
      <c r="K18" s="560"/>
      <c r="L18" s="556" t="s">
        <v>215</v>
      </c>
      <c r="M18" s="557">
        <v>93</v>
      </c>
      <c r="N18" s="490"/>
    </row>
    <row r="19" spans="1:16" s="492" customFormat="1" ht="10.15" customHeight="1">
      <c r="A19" s="559">
        <v>530</v>
      </c>
      <c r="B19" s="543">
        <v>0</v>
      </c>
      <c r="C19" s="531">
        <v>77</v>
      </c>
      <c r="D19" s="989">
        <v>966</v>
      </c>
      <c r="E19" s="988">
        <f t="shared" si="4"/>
        <v>66.5</v>
      </c>
      <c r="F19" s="987">
        <f>C19</f>
        <v>77</v>
      </c>
      <c r="G19" s="551">
        <f t="shared" si="0"/>
        <v>0.54865424430641818</v>
      </c>
      <c r="H19" s="986">
        <f t="shared" si="3"/>
        <v>5.7608695652173907E-2</v>
      </c>
      <c r="I19" s="985">
        <f>SUM(H$13:H19)</f>
        <v>0.39089026915113873</v>
      </c>
      <c r="J19" s="554">
        <f t="shared" si="1"/>
        <v>0.50764970019628408</v>
      </c>
      <c r="K19" s="560"/>
      <c r="L19" s="556" t="s">
        <v>215</v>
      </c>
      <c r="M19" s="557">
        <v>77</v>
      </c>
      <c r="N19" s="561"/>
    </row>
    <row r="20" spans="1:16" s="492" customFormat="1">
      <c r="A20" s="559"/>
      <c r="B20" s="543"/>
      <c r="C20" s="531"/>
      <c r="D20" s="989"/>
      <c r="E20" s="988"/>
      <c r="F20" s="987"/>
      <c r="G20" s="551"/>
      <c r="H20" s="986"/>
      <c r="I20" s="985"/>
      <c r="J20" s="554"/>
      <c r="K20" s="555"/>
      <c r="L20" s="556" t="s">
        <v>215</v>
      </c>
      <c r="M20" s="557">
        <v>67</v>
      </c>
      <c r="N20" s="562"/>
    </row>
    <row r="21" spans="1:16" s="564" customFormat="1" ht="33.75">
      <c r="A21" s="559"/>
      <c r="B21" s="543"/>
      <c r="C21" s="531"/>
      <c r="D21" s="989"/>
      <c r="E21" s="988"/>
      <c r="F21" s="987"/>
      <c r="G21" s="551"/>
      <c r="H21" s="986"/>
      <c r="I21" s="985"/>
      <c r="J21" s="554"/>
      <c r="K21" s="1080" t="s">
        <v>240</v>
      </c>
      <c r="L21" s="556" t="s">
        <v>215</v>
      </c>
      <c r="M21" s="557">
        <v>76</v>
      </c>
      <c r="N21" s="562"/>
    </row>
    <row r="22" spans="1:16" s="564" customFormat="1">
      <c r="A22" s="559"/>
      <c r="B22" s="543"/>
      <c r="C22" s="531"/>
      <c r="D22" s="989"/>
      <c r="E22" s="988"/>
      <c r="F22" s="987"/>
      <c r="G22" s="551"/>
      <c r="H22" s="986"/>
      <c r="I22" s="985"/>
      <c r="J22" s="554"/>
      <c r="K22" s="1081" t="s">
        <v>233</v>
      </c>
      <c r="L22" s="556"/>
      <c r="M22" s="566"/>
      <c r="N22" s="562"/>
    </row>
    <row r="23" spans="1:16" s="564" customFormat="1">
      <c r="A23" s="559"/>
      <c r="B23" s="543"/>
      <c r="C23" s="531"/>
      <c r="D23" s="989"/>
      <c r="E23" s="988"/>
      <c r="F23" s="987"/>
      <c r="G23" s="551"/>
      <c r="H23" s="986"/>
      <c r="I23" s="985"/>
      <c r="J23" s="554"/>
      <c r="K23" s="1081" t="s">
        <v>234</v>
      </c>
      <c r="L23" s="556"/>
      <c r="M23" s="581"/>
      <c r="N23" s="582"/>
    </row>
    <row r="24" spans="1:16" s="564" customFormat="1">
      <c r="A24" s="559"/>
      <c r="B24" s="543"/>
      <c r="C24" s="531"/>
      <c r="D24" s="989"/>
      <c r="E24" s="988"/>
      <c r="F24" s="987"/>
      <c r="G24" s="551"/>
      <c r="H24" s="986"/>
      <c r="I24" s="985"/>
      <c r="J24" s="554"/>
      <c r="K24" s="1082" t="s">
        <v>235</v>
      </c>
      <c r="L24" s="556"/>
      <c r="M24" s="581"/>
      <c r="N24" s="582"/>
    </row>
    <row r="25" spans="1:16" s="564" customFormat="1">
      <c r="A25" s="559"/>
      <c r="B25" s="543"/>
      <c r="C25" s="531"/>
      <c r="D25" s="989"/>
      <c r="E25" s="988"/>
      <c r="F25" s="987"/>
      <c r="G25" s="551"/>
      <c r="H25" s="986"/>
      <c r="I25" s="985"/>
      <c r="J25" s="554"/>
      <c r="K25" s="1082" t="s">
        <v>236</v>
      </c>
      <c r="L25" s="556"/>
      <c r="M25" s="581"/>
      <c r="N25" s="582"/>
    </row>
    <row r="26" spans="1:16" s="564" customFormat="1">
      <c r="A26" s="559"/>
      <c r="B26" s="543"/>
      <c r="C26" s="531"/>
      <c r="D26" s="989"/>
      <c r="E26" s="988"/>
      <c r="F26" s="987"/>
      <c r="G26" s="551"/>
      <c r="H26" s="986"/>
      <c r="I26" s="985"/>
      <c r="J26" s="554"/>
      <c r="K26" s="1082" t="s">
        <v>237</v>
      </c>
      <c r="L26" s="556"/>
      <c r="M26" s="557"/>
      <c r="N26" s="582"/>
    </row>
    <row r="27" spans="1:16" s="564" customFormat="1">
      <c r="A27" s="559"/>
      <c r="B27" s="543"/>
      <c r="C27" s="531"/>
      <c r="D27" s="989"/>
      <c r="E27" s="988"/>
      <c r="F27" s="987"/>
      <c r="G27" s="551"/>
      <c r="H27" s="986"/>
      <c r="I27" s="985"/>
      <c r="J27" s="554"/>
      <c r="K27" s="1082" t="s">
        <v>238</v>
      </c>
      <c r="L27" s="556"/>
      <c r="M27" s="557"/>
      <c r="N27" s="582"/>
    </row>
    <row r="28" spans="1:16" s="564" customFormat="1">
      <c r="A28" s="559"/>
      <c r="B28" s="543"/>
      <c r="C28" s="531"/>
      <c r="D28" s="989"/>
      <c r="E28" s="988"/>
      <c r="F28" s="987"/>
      <c r="G28" s="551"/>
      <c r="H28" s="986"/>
      <c r="I28" s="985"/>
      <c r="J28" s="554"/>
      <c r="K28" s="1082" t="s">
        <v>239</v>
      </c>
      <c r="L28" s="556"/>
      <c r="M28" s="557"/>
      <c r="N28" s="582"/>
    </row>
    <row r="29" spans="1:16">
      <c r="A29" s="559"/>
      <c r="B29" s="543"/>
      <c r="C29" s="531"/>
      <c r="D29" s="989"/>
      <c r="E29" s="988"/>
      <c r="F29" s="987"/>
      <c r="G29" s="551"/>
      <c r="H29" s="986"/>
      <c r="I29" s="985"/>
      <c r="J29" s="554"/>
      <c r="K29" s="990"/>
      <c r="L29" s="556"/>
      <c r="M29" s="557"/>
      <c r="N29" s="582"/>
      <c r="O29" s="564"/>
      <c r="P29" s="564"/>
    </row>
    <row r="30" spans="1:16">
      <c r="A30" s="559"/>
      <c r="B30" s="543"/>
      <c r="C30" s="531"/>
      <c r="D30" s="989"/>
      <c r="E30" s="988"/>
      <c r="F30" s="987"/>
      <c r="G30" s="551"/>
      <c r="H30" s="986"/>
      <c r="I30" s="985"/>
      <c r="J30" s="554"/>
      <c r="K30" s="990"/>
      <c r="L30" s="556"/>
      <c r="M30" s="557"/>
      <c r="N30" s="582"/>
      <c r="O30" s="564"/>
      <c r="P30" s="564"/>
    </row>
    <row r="31" spans="1:16">
      <c r="A31" s="559"/>
      <c r="B31" s="543"/>
      <c r="C31" s="531"/>
      <c r="D31" s="989"/>
      <c r="E31" s="988"/>
      <c r="F31" s="987"/>
      <c r="G31" s="551"/>
      <c r="H31" s="986"/>
      <c r="I31" s="985"/>
      <c r="J31" s="554"/>
      <c r="K31" s="990"/>
      <c r="L31" s="556"/>
      <c r="M31" s="557"/>
      <c r="N31" s="582"/>
      <c r="O31" s="564"/>
      <c r="P31" s="564"/>
    </row>
    <row r="32" spans="1:16">
      <c r="A32" s="559"/>
      <c r="B32" s="543"/>
      <c r="C32" s="531"/>
      <c r="D32" s="989"/>
      <c r="E32" s="988"/>
      <c r="F32" s="987"/>
      <c r="G32" s="551"/>
      <c r="H32" s="986"/>
      <c r="I32" s="985"/>
      <c r="J32" s="554"/>
      <c r="K32" s="565"/>
      <c r="L32" s="556"/>
      <c r="M32" s="557"/>
      <c r="N32" s="582"/>
      <c r="O32" s="564"/>
      <c r="P32" s="564"/>
    </row>
    <row r="33" spans="1:17">
      <c r="A33" s="559"/>
      <c r="B33" s="543"/>
      <c r="C33" s="531"/>
      <c r="D33" s="989"/>
      <c r="E33" s="988"/>
      <c r="F33" s="987"/>
      <c r="G33" s="551"/>
      <c r="H33" s="986"/>
      <c r="I33" s="985"/>
      <c r="J33" s="554"/>
      <c r="K33" s="565"/>
      <c r="L33" s="556"/>
      <c r="M33" s="557"/>
      <c r="N33" s="582"/>
      <c r="O33" s="564"/>
      <c r="P33" s="564"/>
    </row>
    <row r="34" spans="1:17">
      <c r="A34" s="559"/>
      <c r="B34" s="543"/>
      <c r="C34" s="531"/>
      <c r="D34" s="989"/>
      <c r="E34" s="988"/>
      <c r="F34" s="987"/>
      <c r="G34" s="551"/>
      <c r="H34" s="986"/>
      <c r="I34" s="985"/>
      <c r="J34" s="554"/>
      <c r="K34" s="565"/>
      <c r="L34" s="556"/>
      <c r="M34" s="557"/>
      <c r="N34" s="594"/>
      <c r="O34" s="593"/>
      <c r="P34" s="593"/>
    </row>
    <row r="35" spans="1:17">
      <c r="A35" s="559"/>
      <c r="B35" s="543"/>
      <c r="C35" s="531"/>
      <c r="D35" s="989"/>
      <c r="E35" s="988"/>
      <c r="F35" s="987"/>
      <c r="G35" s="551"/>
      <c r="H35" s="986"/>
      <c r="I35" s="985"/>
      <c r="J35" s="554"/>
      <c r="K35" s="565"/>
      <c r="L35" s="556"/>
      <c r="M35" s="557"/>
      <c r="N35" s="595"/>
      <c r="O35" s="596"/>
      <c r="P35" s="597"/>
      <c r="Q35" s="596"/>
    </row>
    <row r="36" spans="1:17">
      <c r="A36" s="559"/>
      <c r="B36" s="543"/>
      <c r="C36" s="531"/>
      <c r="D36" s="989"/>
      <c r="E36" s="988"/>
      <c r="F36" s="987"/>
      <c r="G36" s="551"/>
      <c r="H36" s="986"/>
      <c r="I36" s="985"/>
      <c r="J36" s="554"/>
      <c r="K36" s="565"/>
      <c r="L36" s="556"/>
      <c r="M36" s="557"/>
      <c r="N36" s="595"/>
      <c r="O36" s="596"/>
      <c r="P36" s="598"/>
      <c r="Q36" s="596"/>
    </row>
    <row r="37" spans="1:17">
      <c r="A37" s="559"/>
      <c r="B37" s="543"/>
      <c r="C37" s="531"/>
      <c r="D37" s="989"/>
      <c r="E37" s="988"/>
      <c r="F37" s="987"/>
      <c r="G37" s="551"/>
      <c r="H37" s="986"/>
      <c r="I37" s="985"/>
      <c r="J37" s="554"/>
      <c r="K37" s="565"/>
      <c r="L37" s="556"/>
      <c r="M37" s="557"/>
      <c r="N37" s="599"/>
      <c r="O37" s="596"/>
      <c r="P37" s="596"/>
      <c r="Q37" s="596"/>
    </row>
    <row r="38" spans="1:17">
      <c r="A38" s="559"/>
      <c r="B38" s="543"/>
      <c r="C38" s="531"/>
      <c r="D38" s="989"/>
      <c r="E38" s="988"/>
      <c r="F38" s="987"/>
      <c r="G38" s="551"/>
      <c r="H38" s="986"/>
      <c r="I38" s="985"/>
      <c r="J38" s="554"/>
      <c r="K38" s="565"/>
      <c r="L38" s="556"/>
      <c r="M38" s="557"/>
      <c r="N38" s="600"/>
      <c r="O38" s="601"/>
      <c r="P38" s="593"/>
    </row>
    <row r="39" spans="1:17">
      <c r="A39" s="559"/>
      <c r="B39" s="543"/>
      <c r="C39" s="531"/>
      <c r="D39" s="989"/>
      <c r="E39" s="988"/>
      <c r="F39" s="987"/>
      <c r="G39" s="551"/>
      <c r="H39" s="986"/>
      <c r="I39" s="985"/>
      <c r="J39" s="554"/>
      <c r="K39" s="565"/>
      <c r="L39" s="556"/>
      <c r="M39" s="557"/>
      <c r="N39" s="601"/>
      <c r="O39" s="601"/>
      <c r="P39" s="593"/>
    </row>
    <row r="40" spans="1:17">
      <c r="A40" s="559"/>
      <c r="B40" s="543"/>
      <c r="C40" s="531"/>
      <c r="D40" s="989"/>
      <c r="E40" s="988"/>
      <c r="F40" s="987"/>
      <c r="G40" s="551"/>
      <c r="H40" s="986"/>
      <c r="I40" s="985"/>
      <c r="J40" s="554"/>
      <c r="K40" s="565"/>
      <c r="L40" s="556"/>
      <c r="M40" s="557"/>
      <c r="O40" s="593"/>
      <c r="P40" s="593"/>
    </row>
    <row r="41" spans="1:17">
      <c r="A41" s="559"/>
      <c r="B41" s="543"/>
      <c r="C41" s="531"/>
      <c r="D41" s="989"/>
      <c r="E41" s="988"/>
      <c r="F41" s="987"/>
      <c r="G41" s="551"/>
      <c r="H41" s="986"/>
      <c r="I41" s="985"/>
      <c r="J41" s="554"/>
      <c r="K41" s="565"/>
      <c r="L41" s="556"/>
      <c r="M41" s="557"/>
      <c r="O41" s="593"/>
      <c r="P41" s="593"/>
    </row>
    <row r="42" spans="1:17">
      <c r="A42" s="559"/>
      <c r="B42" s="543"/>
      <c r="C42" s="531"/>
      <c r="D42" s="989"/>
      <c r="E42" s="988"/>
      <c r="F42" s="987"/>
      <c r="G42" s="551"/>
      <c r="H42" s="986"/>
      <c r="I42" s="985"/>
      <c r="J42" s="554"/>
      <c r="K42" s="565"/>
      <c r="L42" s="556"/>
      <c r="M42" s="557"/>
      <c r="O42" s="593"/>
      <c r="P42" s="593"/>
    </row>
    <row r="43" spans="1:17">
      <c r="A43" s="559"/>
      <c r="B43" s="543"/>
      <c r="C43" s="531"/>
      <c r="D43" s="989"/>
      <c r="E43" s="988"/>
      <c r="F43" s="987"/>
      <c r="G43" s="551"/>
      <c r="H43" s="986"/>
      <c r="I43" s="985"/>
      <c r="J43" s="554"/>
      <c r="K43" s="565"/>
      <c r="L43" s="556"/>
      <c r="M43" s="557"/>
      <c r="O43" s="593"/>
      <c r="P43" s="593"/>
    </row>
    <row r="44" spans="1:17">
      <c r="A44" s="559"/>
      <c r="B44" s="543"/>
      <c r="C44" s="531"/>
      <c r="D44" s="989"/>
      <c r="E44" s="988"/>
      <c r="F44" s="987"/>
      <c r="G44" s="551"/>
      <c r="H44" s="986"/>
      <c r="I44" s="985"/>
      <c r="J44" s="554"/>
      <c r="K44" s="565"/>
      <c r="L44" s="556"/>
      <c r="M44" s="557"/>
      <c r="O44" s="593"/>
      <c r="P44" s="593"/>
    </row>
    <row r="45" spans="1:17">
      <c r="A45" s="559"/>
      <c r="B45" s="543"/>
      <c r="C45" s="531"/>
      <c r="D45" s="989"/>
      <c r="E45" s="988"/>
      <c r="F45" s="987"/>
      <c r="G45" s="551"/>
      <c r="H45" s="986"/>
      <c r="I45" s="985"/>
      <c r="J45" s="554"/>
      <c r="K45" s="565"/>
      <c r="L45" s="556"/>
      <c r="M45" s="557"/>
      <c r="O45" s="593"/>
      <c r="P45" s="593"/>
    </row>
    <row r="46" spans="1:17">
      <c r="A46" s="559"/>
      <c r="B46" s="543"/>
      <c r="C46" s="531"/>
      <c r="D46" s="989"/>
      <c r="E46" s="988"/>
      <c r="F46" s="987"/>
      <c r="G46" s="551"/>
      <c r="H46" s="986"/>
      <c r="I46" s="985"/>
      <c r="J46" s="554"/>
      <c r="K46" s="565"/>
      <c r="L46" s="556"/>
      <c r="M46" s="557"/>
      <c r="O46" s="593"/>
      <c r="P46" s="593"/>
    </row>
    <row r="47" spans="1:17">
      <c r="A47" s="559"/>
      <c r="B47" s="543"/>
      <c r="C47" s="531"/>
      <c r="D47" s="989"/>
      <c r="E47" s="988"/>
      <c r="F47" s="987"/>
      <c r="G47" s="551"/>
      <c r="H47" s="986"/>
      <c r="I47" s="985"/>
      <c r="J47" s="554"/>
      <c r="K47" s="565"/>
      <c r="L47" s="556"/>
      <c r="M47" s="557"/>
      <c r="O47" s="593"/>
      <c r="P47" s="593"/>
    </row>
    <row r="48" spans="1:17">
      <c r="A48" s="559"/>
      <c r="B48" s="543"/>
      <c r="C48" s="531"/>
      <c r="D48" s="989"/>
      <c r="E48" s="988"/>
      <c r="F48" s="987"/>
      <c r="G48" s="551"/>
      <c r="H48" s="986"/>
      <c r="I48" s="985"/>
      <c r="J48" s="554"/>
      <c r="K48" s="565"/>
      <c r="L48" s="556"/>
      <c r="M48" s="557"/>
      <c r="O48" s="593"/>
      <c r="P48" s="593"/>
    </row>
    <row r="49" spans="1:17">
      <c r="A49" s="559"/>
      <c r="B49" s="543"/>
      <c r="C49" s="531"/>
      <c r="D49" s="989"/>
      <c r="E49" s="988"/>
      <c r="F49" s="987"/>
      <c r="G49" s="551"/>
      <c r="H49" s="986"/>
      <c r="I49" s="985"/>
      <c r="J49" s="554"/>
      <c r="K49" s="565"/>
      <c r="L49" s="556"/>
      <c r="M49" s="557"/>
      <c r="O49" s="593"/>
      <c r="P49" s="593"/>
    </row>
    <row r="50" spans="1:17">
      <c r="A50" s="559"/>
      <c r="B50" s="543"/>
      <c r="C50" s="531"/>
      <c r="D50" s="989"/>
      <c r="E50" s="988"/>
      <c r="F50" s="987"/>
      <c r="G50" s="551"/>
      <c r="H50" s="986"/>
      <c r="I50" s="985"/>
      <c r="J50" s="554"/>
      <c r="K50" s="565"/>
      <c r="L50" s="556"/>
      <c r="M50" s="557"/>
      <c r="O50" s="593"/>
      <c r="P50" s="593"/>
    </row>
    <row r="51" spans="1:17">
      <c r="A51" s="559"/>
      <c r="B51" s="543"/>
      <c r="C51" s="531"/>
      <c r="D51" s="989"/>
      <c r="E51" s="988"/>
      <c r="F51" s="987"/>
      <c r="G51" s="551"/>
      <c r="H51" s="986"/>
      <c r="I51" s="985"/>
      <c r="J51" s="554"/>
      <c r="K51" s="565"/>
      <c r="L51" s="556"/>
      <c r="M51" s="557"/>
      <c r="O51" s="593"/>
      <c r="P51" s="593"/>
    </row>
    <row r="52" spans="1:17" ht="12" thickBot="1">
      <c r="A52" s="559"/>
      <c r="B52" s="543"/>
      <c r="C52" s="531"/>
      <c r="D52" s="989"/>
      <c r="E52" s="988"/>
      <c r="F52" s="987"/>
      <c r="G52" s="551"/>
      <c r="H52" s="986"/>
      <c r="I52" s="985"/>
      <c r="J52" s="554"/>
      <c r="K52" s="565"/>
      <c r="L52" s="556"/>
      <c r="M52" s="602"/>
      <c r="O52" s="593"/>
      <c r="P52" s="593"/>
    </row>
    <row r="53" spans="1:17">
      <c r="A53" s="559"/>
      <c r="B53" s="543"/>
      <c r="C53" s="531"/>
      <c r="D53" s="989"/>
      <c r="E53" s="988"/>
      <c r="F53" s="987"/>
      <c r="G53" s="551"/>
      <c r="H53" s="986"/>
      <c r="I53" s="985"/>
      <c r="J53" s="554"/>
      <c r="K53" s="565"/>
      <c r="L53" s="603" t="s">
        <v>158</v>
      </c>
      <c r="M53" s="604">
        <f>AVERAGE(M12:M52)</f>
        <v>82.9</v>
      </c>
      <c r="O53" s="593"/>
      <c r="P53" s="593"/>
    </row>
    <row r="54" spans="1:17">
      <c r="A54" s="559"/>
      <c r="B54" s="543"/>
      <c r="C54" s="531"/>
      <c r="D54" s="989"/>
      <c r="E54" s="988"/>
      <c r="F54" s="987"/>
      <c r="G54" s="551"/>
      <c r="H54" s="986"/>
      <c r="I54" s="985"/>
      <c r="J54" s="554"/>
      <c r="K54" s="565"/>
      <c r="L54" s="433" t="s">
        <v>159</v>
      </c>
      <c r="M54" s="602">
        <f>STDEV(M12:M52)</f>
        <v>15.28579587576502</v>
      </c>
      <c r="N54" s="605"/>
      <c r="P54" s="593"/>
    </row>
    <row r="55" spans="1:17">
      <c r="A55" s="606" t="s">
        <v>160</v>
      </c>
      <c r="B55" s="607"/>
      <c r="C55" s="608"/>
      <c r="D55" s="984"/>
      <c r="E55" s="983"/>
      <c r="F55" s="982"/>
      <c r="G55" s="613"/>
      <c r="H55" s="981"/>
      <c r="I55" s="980"/>
      <c r="J55" s="616"/>
      <c r="K55" s="617"/>
      <c r="L55" s="433" t="s">
        <v>161</v>
      </c>
      <c r="M55" s="602">
        <f>M54/SQRT(COUNT(M12:M51))</f>
        <v>4.8337930815825665</v>
      </c>
      <c r="N55" s="600"/>
      <c r="Q55" s="605"/>
    </row>
    <row r="56" spans="1:17">
      <c r="A56" s="618"/>
      <c r="B56" s="619"/>
      <c r="C56" s="620"/>
      <c r="D56" s="979"/>
      <c r="E56" s="978"/>
      <c r="F56" s="977"/>
      <c r="G56" s="976"/>
      <c r="H56" s="626"/>
      <c r="I56" s="975"/>
      <c r="J56" s="974"/>
      <c r="K56" s="629"/>
      <c r="L56" s="433" t="s">
        <v>162</v>
      </c>
      <c r="M56" s="602">
        <f>MAX(M12:M51)</f>
        <v>111</v>
      </c>
      <c r="N56" s="600"/>
      <c r="O56" s="593"/>
      <c r="P56" s="593"/>
    </row>
    <row r="57" spans="1:17" ht="12" thickBot="1">
      <c r="A57" s="630"/>
      <c r="B57" s="631"/>
      <c r="C57" s="632"/>
      <c r="D57" s="973"/>
      <c r="E57" s="972"/>
      <c r="F57" s="971"/>
      <c r="G57" s="970"/>
      <c r="H57" s="638"/>
      <c r="I57" s="969"/>
      <c r="J57" s="968"/>
      <c r="K57" s="641"/>
      <c r="L57" s="642" t="s">
        <v>163</v>
      </c>
      <c r="M57" s="643">
        <f>MIN(M12:M51)</f>
        <v>65</v>
      </c>
      <c r="N57" s="605"/>
      <c r="O57" s="593"/>
      <c r="P57" s="593"/>
    </row>
    <row r="58" spans="1:17">
      <c r="A58" s="644"/>
      <c r="B58" s="644"/>
      <c r="C58" s="645"/>
      <c r="D58" s="646"/>
      <c r="E58" s="646"/>
      <c r="F58" s="646"/>
      <c r="G58" s="647"/>
      <c r="H58" s="648"/>
      <c r="I58" s="649"/>
      <c r="J58" s="650"/>
      <c r="K58" s="651"/>
      <c r="L58" s="652"/>
      <c r="M58" s="605"/>
      <c r="O58" s="593"/>
      <c r="P58" s="593"/>
    </row>
    <row r="59" spans="1:17">
      <c r="A59" s="605"/>
      <c r="B59" s="605"/>
      <c r="C59" s="654"/>
      <c r="D59" s="654"/>
      <c r="E59" s="654"/>
      <c r="F59" s="654"/>
      <c r="G59" s="649"/>
      <c r="H59" s="648"/>
      <c r="I59" s="649"/>
      <c r="J59" s="650"/>
      <c r="K59" s="655"/>
      <c r="L59" s="652"/>
      <c r="M59" s="605"/>
      <c r="O59" s="593"/>
      <c r="P59" s="593"/>
    </row>
    <row r="60" spans="1:17">
      <c r="A60" s="656"/>
      <c r="B60" s="656"/>
      <c r="C60" s="656"/>
      <c r="D60" s="656"/>
      <c r="E60" s="650"/>
      <c r="F60" s="657"/>
      <c r="G60" s="605"/>
      <c r="H60" s="593"/>
      <c r="I60" s="605"/>
      <c r="J60" s="593"/>
      <c r="K60" s="593"/>
      <c r="L60" s="605"/>
      <c r="M60" s="605"/>
      <c r="O60" s="593"/>
      <c r="P60" s="593"/>
    </row>
    <row r="61" spans="1:17">
      <c r="A61" s="658"/>
      <c r="B61" s="658"/>
      <c r="C61" s="656"/>
      <c r="D61" s="656"/>
      <c r="E61" s="650"/>
      <c r="F61" s="657"/>
      <c r="G61" s="593"/>
      <c r="H61" s="593"/>
      <c r="I61" s="605"/>
      <c r="J61" s="593"/>
      <c r="K61" s="593"/>
      <c r="L61" s="605"/>
      <c r="M61" s="605"/>
      <c r="O61" s="593"/>
      <c r="P61" s="593"/>
    </row>
    <row r="62" spans="1:17">
      <c r="A62" s="502"/>
      <c r="B62" s="502"/>
      <c r="C62" s="656"/>
      <c r="D62" s="656"/>
      <c r="E62" s="650"/>
      <c r="F62" s="657"/>
      <c r="G62" s="593"/>
      <c r="H62" s="593"/>
      <c r="I62" s="605"/>
      <c r="J62" s="593"/>
      <c r="K62" s="593"/>
      <c r="L62" s="605"/>
      <c r="M62" s="605"/>
      <c r="O62" s="593"/>
      <c r="P62" s="593"/>
    </row>
    <row r="63" spans="1:17">
      <c r="A63" s="656"/>
      <c r="B63" s="656"/>
      <c r="C63" s="656"/>
      <c r="D63" s="656"/>
      <c r="E63" s="650"/>
      <c r="F63" s="657"/>
      <c r="G63" s="593"/>
      <c r="H63" s="593"/>
      <c r="I63" s="605"/>
      <c r="J63" s="593"/>
      <c r="K63" s="593"/>
      <c r="L63" s="605"/>
      <c r="M63" s="605"/>
      <c r="O63" s="593"/>
      <c r="P63" s="593"/>
    </row>
    <row r="64" spans="1:17">
      <c r="A64" s="656"/>
      <c r="B64" s="656"/>
      <c r="C64" s="656"/>
      <c r="D64" s="656"/>
      <c r="E64" s="650"/>
      <c r="F64" s="657"/>
      <c r="G64" s="593"/>
      <c r="H64" s="593"/>
      <c r="I64" s="605"/>
      <c r="J64" s="649"/>
      <c r="K64" s="593"/>
      <c r="L64" s="605"/>
      <c r="M64" s="605"/>
      <c r="O64" s="593"/>
      <c r="P64" s="593"/>
    </row>
    <row r="65" spans="1:16">
      <c r="A65" s="656"/>
      <c r="B65" s="656"/>
      <c r="C65" s="656"/>
      <c r="D65" s="656"/>
      <c r="E65" s="650"/>
      <c r="F65" s="657"/>
      <c r="G65" s="593"/>
      <c r="H65" s="593"/>
      <c r="I65" s="605"/>
      <c r="J65" s="649"/>
      <c r="K65" s="593"/>
      <c r="L65" s="605"/>
      <c r="M65" s="605"/>
      <c r="O65" s="593"/>
      <c r="P65" s="593"/>
    </row>
    <row r="66" spans="1:16">
      <c r="A66" s="656"/>
      <c r="B66" s="656"/>
      <c r="C66" s="656"/>
      <c r="D66" s="656"/>
      <c r="E66" s="650"/>
      <c r="F66" s="657"/>
      <c r="G66" s="593"/>
      <c r="H66" s="593"/>
      <c r="I66" s="605"/>
      <c r="J66" s="593"/>
      <c r="K66" s="593"/>
      <c r="L66" s="605"/>
      <c r="M66" s="605"/>
      <c r="O66" s="593"/>
      <c r="P66" s="593"/>
    </row>
    <row r="67" spans="1:16">
      <c r="A67" s="656"/>
      <c r="B67" s="656"/>
      <c r="C67" s="656"/>
      <c r="D67" s="656"/>
      <c r="E67" s="650"/>
      <c r="F67" s="657"/>
      <c r="G67" s="593"/>
      <c r="H67" s="593"/>
      <c r="I67" s="605"/>
      <c r="J67" s="593"/>
      <c r="K67" s="593"/>
      <c r="L67" s="605"/>
      <c r="M67" s="605"/>
      <c r="O67" s="593"/>
      <c r="P67" s="593"/>
    </row>
    <row r="68" spans="1:16">
      <c r="A68" s="656"/>
      <c r="B68" s="656"/>
      <c r="C68" s="656"/>
      <c r="D68" s="656"/>
      <c r="E68" s="650"/>
      <c r="F68" s="657"/>
      <c r="G68" s="593"/>
      <c r="H68" s="593"/>
      <c r="I68" s="605"/>
      <c r="J68" s="593"/>
      <c r="K68" s="593"/>
      <c r="L68" s="605"/>
      <c r="M68" s="605"/>
      <c r="O68" s="593"/>
      <c r="P68" s="593"/>
    </row>
    <row r="69" spans="1:16">
      <c r="A69" s="656"/>
      <c r="B69" s="656"/>
      <c r="C69" s="656"/>
      <c r="D69" s="656"/>
      <c r="E69" s="650"/>
      <c r="F69" s="657"/>
      <c r="G69" s="593"/>
      <c r="H69" s="593"/>
      <c r="I69" s="605"/>
      <c r="J69" s="593"/>
      <c r="K69" s="593"/>
      <c r="L69" s="605"/>
      <c r="M69" s="605"/>
      <c r="O69" s="593"/>
      <c r="P69" s="593"/>
    </row>
    <row r="70" spans="1:16">
      <c r="A70" s="656"/>
      <c r="B70" s="656"/>
      <c r="C70" s="656"/>
      <c r="D70" s="656"/>
      <c r="E70" s="650"/>
      <c r="F70" s="657"/>
      <c r="G70" s="593"/>
      <c r="H70" s="593"/>
      <c r="I70" s="605"/>
      <c r="J70" s="593"/>
      <c r="K70" s="593"/>
      <c r="L70" s="605"/>
      <c r="M70" s="605"/>
      <c r="O70" s="593"/>
      <c r="P70" s="593"/>
    </row>
    <row r="71" spans="1:16">
      <c r="A71" s="656"/>
      <c r="B71" s="656"/>
      <c r="C71" s="656"/>
      <c r="D71" s="656"/>
      <c r="E71" s="650"/>
      <c r="F71" s="657"/>
      <c r="G71" s="593"/>
      <c r="H71" s="593"/>
      <c r="I71" s="605"/>
      <c r="J71" s="593"/>
      <c r="K71" s="593"/>
      <c r="L71" s="605"/>
      <c r="O71" s="593"/>
      <c r="P71" s="593"/>
    </row>
    <row r="72" spans="1:16">
      <c r="A72" s="656"/>
      <c r="B72" s="656"/>
      <c r="C72" s="656"/>
      <c r="D72" s="656"/>
      <c r="E72" s="650"/>
      <c r="F72" s="657"/>
      <c r="G72" s="593"/>
      <c r="H72" s="593"/>
      <c r="I72" s="605"/>
      <c r="J72" s="593"/>
      <c r="K72" s="593"/>
      <c r="L72" s="605"/>
      <c r="O72" s="593"/>
      <c r="P72" s="593"/>
    </row>
    <row r="73" spans="1:16">
      <c r="A73" s="656"/>
      <c r="B73" s="656"/>
      <c r="C73" s="656"/>
      <c r="D73" s="656"/>
      <c r="E73" s="650"/>
      <c r="F73" s="657"/>
      <c r="G73" s="593"/>
      <c r="H73" s="593"/>
      <c r="I73" s="605"/>
      <c r="J73" s="593"/>
      <c r="K73" s="593"/>
      <c r="L73" s="593"/>
      <c r="O73" s="593"/>
      <c r="P73" s="593"/>
    </row>
    <row r="74" spans="1:16">
      <c r="A74" s="656"/>
      <c r="B74" s="656"/>
      <c r="C74" s="656"/>
      <c r="D74" s="656"/>
      <c r="E74" s="650"/>
      <c r="F74" s="657"/>
      <c r="G74" s="593"/>
      <c r="H74" s="593"/>
      <c r="I74" s="605"/>
      <c r="J74" s="593"/>
      <c r="K74" s="593"/>
      <c r="L74" s="593"/>
      <c r="O74" s="593"/>
      <c r="P74" s="593"/>
    </row>
    <row r="75" spans="1:16">
      <c r="A75" s="656"/>
      <c r="B75" s="656"/>
      <c r="C75" s="656"/>
      <c r="D75" s="656"/>
      <c r="E75" s="650"/>
      <c r="F75" s="657"/>
      <c r="G75" s="593"/>
      <c r="H75" s="593"/>
      <c r="I75" s="605"/>
      <c r="J75" s="593"/>
      <c r="K75" s="593"/>
      <c r="L75" s="593"/>
      <c r="O75" s="593"/>
      <c r="P75" s="593"/>
    </row>
    <row r="76" spans="1:16">
      <c r="A76" s="656"/>
      <c r="B76" s="656"/>
      <c r="C76" s="656"/>
      <c r="D76" s="656"/>
      <c r="E76" s="650"/>
      <c r="F76" s="657"/>
      <c r="G76" s="593"/>
      <c r="H76" s="593"/>
      <c r="I76" s="605"/>
      <c r="J76" s="593"/>
      <c r="K76" s="593"/>
      <c r="L76" s="593"/>
      <c r="O76" s="593"/>
      <c r="P76" s="593"/>
    </row>
    <row r="77" spans="1:16">
      <c r="A77" s="656"/>
      <c r="B77" s="656"/>
      <c r="C77" s="656"/>
      <c r="D77" s="656"/>
      <c r="E77" s="650"/>
      <c r="F77" s="657"/>
      <c r="G77" s="593"/>
      <c r="H77" s="593"/>
      <c r="I77" s="605"/>
      <c r="J77" s="593"/>
      <c r="K77" s="593"/>
      <c r="L77" s="593"/>
      <c r="O77" s="593"/>
      <c r="P77" s="593"/>
    </row>
    <row r="78" spans="1:16">
      <c r="A78" s="656"/>
      <c r="B78" s="656"/>
      <c r="C78" s="656"/>
      <c r="D78" s="656"/>
      <c r="E78" s="650"/>
      <c r="F78" s="657"/>
      <c r="G78" s="593"/>
      <c r="H78" s="593"/>
      <c r="I78" s="605"/>
      <c r="J78" s="593"/>
      <c r="K78" s="593"/>
      <c r="L78" s="593"/>
      <c r="O78" s="593"/>
      <c r="P78" s="593"/>
    </row>
    <row r="79" spans="1:16">
      <c r="A79" s="656"/>
      <c r="B79" s="656"/>
      <c r="C79" s="656"/>
      <c r="D79" s="656"/>
      <c r="E79" s="650"/>
      <c r="F79" s="657"/>
      <c r="G79" s="593"/>
      <c r="H79" s="593"/>
      <c r="I79" s="605"/>
      <c r="J79" s="593"/>
      <c r="K79" s="593"/>
      <c r="L79" s="593"/>
      <c r="O79" s="593"/>
      <c r="P79" s="593"/>
    </row>
    <row r="80" spans="1:16">
      <c r="A80" s="656"/>
      <c r="B80" s="656"/>
      <c r="C80" s="656"/>
      <c r="D80" s="656"/>
      <c r="E80" s="650"/>
      <c r="F80" s="657"/>
      <c r="G80" s="593"/>
      <c r="H80" s="593"/>
      <c r="I80" s="605"/>
      <c r="J80" s="593"/>
      <c r="K80" s="593"/>
      <c r="L80" s="593"/>
      <c r="O80" s="593"/>
      <c r="P80" s="593"/>
    </row>
    <row r="81" spans="1:17">
      <c r="A81" s="656"/>
      <c r="B81" s="656"/>
      <c r="C81" s="656"/>
      <c r="D81" s="656"/>
      <c r="E81" s="650"/>
      <c r="F81" s="657"/>
      <c r="G81" s="593"/>
      <c r="H81" s="593"/>
      <c r="I81" s="605"/>
      <c r="J81" s="593"/>
      <c r="K81" s="593"/>
      <c r="L81" s="593"/>
      <c r="O81" s="593"/>
      <c r="P81" s="593"/>
    </row>
    <row r="82" spans="1:17">
      <c r="A82" s="656"/>
      <c r="B82" s="656"/>
      <c r="C82" s="656"/>
      <c r="D82" s="656"/>
      <c r="E82" s="650"/>
      <c r="F82" s="657"/>
      <c r="G82" s="593"/>
      <c r="H82" s="593"/>
      <c r="I82" s="605"/>
      <c r="J82" s="593"/>
      <c r="K82" s="593"/>
      <c r="L82" s="593"/>
      <c r="O82" s="593"/>
      <c r="P82" s="593"/>
    </row>
    <row r="83" spans="1:17">
      <c r="A83" s="656"/>
      <c r="B83" s="656"/>
      <c r="C83" s="656"/>
      <c r="D83" s="656"/>
      <c r="E83" s="650"/>
      <c r="F83" s="657"/>
      <c r="G83" s="593"/>
      <c r="H83" s="593"/>
      <c r="I83" s="605"/>
      <c r="J83" s="593"/>
      <c r="K83" s="593"/>
      <c r="L83" s="593"/>
      <c r="O83" s="593"/>
      <c r="P83" s="593"/>
    </row>
    <row r="84" spans="1:17">
      <c r="A84" s="656"/>
      <c r="B84" s="656"/>
      <c r="C84" s="656"/>
      <c r="D84" s="656"/>
      <c r="E84" s="650"/>
      <c r="F84" s="657"/>
      <c r="G84" s="653"/>
      <c r="H84" s="593"/>
      <c r="I84" s="605"/>
      <c r="J84" s="593"/>
      <c r="K84" s="593"/>
      <c r="L84" s="593"/>
      <c r="O84" s="593"/>
      <c r="P84" s="593"/>
    </row>
    <row r="85" spans="1:17">
      <c r="A85" s="656"/>
      <c r="B85" s="656"/>
      <c r="C85" s="656"/>
      <c r="D85" s="656"/>
      <c r="E85" s="650"/>
      <c r="F85" s="657"/>
      <c r="G85" s="653"/>
      <c r="H85" s="593"/>
      <c r="I85" s="605"/>
      <c r="J85" s="593"/>
      <c r="K85" s="593"/>
      <c r="L85" s="593"/>
      <c r="O85" s="593"/>
      <c r="P85" s="593"/>
    </row>
    <row r="86" spans="1:17">
      <c r="A86" s="656"/>
      <c r="B86" s="656"/>
      <c r="C86" s="656"/>
      <c r="D86" s="656"/>
      <c r="E86" s="650"/>
      <c r="F86" s="657"/>
      <c r="G86" s="653"/>
      <c r="H86" s="593"/>
      <c r="I86" s="605"/>
      <c r="J86" s="593"/>
      <c r="K86" s="593"/>
      <c r="L86" s="593"/>
      <c r="O86" s="593"/>
      <c r="P86" s="593"/>
    </row>
    <row r="87" spans="1:17">
      <c r="A87" s="656"/>
      <c r="B87" s="656"/>
      <c r="C87" s="656"/>
      <c r="D87" s="656"/>
      <c r="E87" s="650"/>
      <c r="F87" s="657"/>
      <c r="G87" s="653"/>
      <c r="H87" s="593"/>
      <c r="I87" s="605"/>
      <c r="J87" s="593"/>
      <c r="K87" s="593"/>
      <c r="L87" s="593"/>
      <c r="O87" s="593"/>
      <c r="P87" s="593"/>
    </row>
    <row r="88" spans="1:17">
      <c r="A88" s="656"/>
      <c r="B88" s="656"/>
      <c r="C88" s="656"/>
      <c r="D88" s="656"/>
      <c r="E88" s="650"/>
      <c r="F88" s="657"/>
      <c r="G88" s="593"/>
      <c r="H88" s="593"/>
      <c r="I88" s="605"/>
      <c r="J88" s="593"/>
      <c r="K88" s="593"/>
      <c r="L88" s="593"/>
      <c r="O88" s="593"/>
      <c r="P88" s="593"/>
    </row>
    <row r="89" spans="1:17">
      <c r="A89" s="656"/>
      <c r="B89" s="656"/>
      <c r="C89" s="656"/>
      <c r="D89" s="656"/>
      <c r="E89" s="650"/>
      <c r="F89" s="657"/>
      <c r="G89" s="593"/>
      <c r="H89" s="593"/>
      <c r="I89" s="605"/>
      <c r="J89" s="593"/>
      <c r="K89" s="593"/>
      <c r="L89" s="593"/>
      <c r="O89" s="593"/>
      <c r="P89" s="593"/>
    </row>
    <row r="90" spans="1:17" s="656" customFormat="1">
      <c r="E90" s="650"/>
      <c r="F90" s="657"/>
      <c r="G90" s="593"/>
      <c r="H90" s="593"/>
      <c r="I90" s="605"/>
      <c r="J90" s="593"/>
      <c r="K90" s="593"/>
      <c r="L90" s="593"/>
      <c r="M90" s="593"/>
      <c r="N90" s="593"/>
      <c r="O90" s="593"/>
      <c r="P90" s="593"/>
      <c r="Q90" s="593"/>
    </row>
    <row r="91" spans="1:17" s="656" customFormat="1">
      <c r="E91" s="650"/>
      <c r="F91" s="657"/>
      <c r="G91" s="593"/>
      <c r="H91" s="593"/>
      <c r="I91" s="605"/>
      <c r="J91" s="593"/>
      <c r="K91" s="593"/>
      <c r="L91" s="593"/>
      <c r="M91" s="593"/>
      <c r="N91" s="593"/>
      <c r="O91" s="593"/>
      <c r="P91" s="593"/>
      <c r="Q91" s="593"/>
    </row>
    <row r="92" spans="1:17" s="656" customFormat="1">
      <c r="E92" s="650"/>
      <c r="F92" s="657"/>
      <c r="G92" s="593"/>
      <c r="H92" s="593"/>
      <c r="I92" s="605"/>
      <c r="J92" s="593"/>
      <c r="K92" s="593"/>
      <c r="L92" s="593"/>
      <c r="M92" s="593"/>
      <c r="N92" s="593"/>
      <c r="O92" s="593"/>
      <c r="P92" s="593"/>
      <c r="Q92" s="593"/>
    </row>
    <row r="93" spans="1:17" s="656" customFormat="1">
      <c r="E93" s="650"/>
      <c r="F93" s="657"/>
      <c r="G93" s="593"/>
      <c r="H93" s="593"/>
      <c r="I93" s="605"/>
      <c r="J93" s="593"/>
      <c r="K93" s="593"/>
      <c r="L93" s="593"/>
      <c r="M93" s="593"/>
      <c r="N93" s="593"/>
      <c r="O93" s="593"/>
      <c r="P93" s="593"/>
      <c r="Q93" s="593"/>
    </row>
    <row r="94" spans="1:17" s="656" customFormat="1">
      <c r="E94" s="650"/>
      <c r="F94" s="657"/>
      <c r="G94" s="593"/>
      <c r="H94" s="593"/>
      <c r="I94" s="605"/>
      <c r="J94" s="593"/>
      <c r="K94" s="593"/>
      <c r="L94" s="593"/>
      <c r="M94" s="593"/>
      <c r="N94" s="593"/>
      <c r="O94" s="593"/>
      <c r="P94" s="593"/>
      <c r="Q94" s="593"/>
    </row>
    <row r="95" spans="1:17" s="656" customFormat="1">
      <c r="E95" s="650"/>
      <c r="F95" s="657"/>
      <c r="G95" s="593"/>
      <c r="H95" s="593"/>
      <c r="I95" s="605"/>
      <c r="J95" s="593"/>
      <c r="K95" s="593"/>
      <c r="L95" s="593"/>
      <c r="M95" s="593"/>
    </row>
    <row r="96" spans="1:17" s="656" customFormat="1">
      <c r="E96" s="650"/>
      <c r="F96" s="657"/>
      <c r="G96" s="593"/>
      <c r="H96" s="593"/>
      <c r="I96" s="605"/>
      <c r="J96" s="593"/>
      <c r="K96" s="593"/>
      <c r="L96" s="593"/>
      <c r="M96" s="593"/>
    </row>
    <row r="97" spans="5:13" s="656" customFormat="1">
      <c r="E97" s="650"/>
      <c r="F97" s="657"/>
      <c r="G97" s="593"/>
      <c r="H97" s="593"/>
      <c r="I97" s="605"/>
      <c r="J97" s="593"/>
      <c r="K97" s="593"/>
      <c r="L97" s="593"/>
      <c r="M97" s="593"/>
    </row>
    <row r="98" spans="5:13" s="656" customFormat="1">
      <c r="E98" s="650"/>
      <c r="F98" s="657"/>
      <c r="G98" s="593"/>
      <c r="H98" s="593"/>
      <c r="I98" s="605"/>
      <c r="J98" s="593"/>
      <c r="K98" s="593"/>
      <c r="L98" s="593"/>
      <c r="M98" s="593"/>
    </row>
    <row r="99" spans="5:13" s="656" customFormat="1">
      <c r="E99" s="650"/>
      <c r="F99" s="657"/>
      <c r="G99" s="593"/>
      <c r="H99" s="593"/>
      <c r="I99" s="605"/>
      <c r="J99" s="593"/>
      <c r="K99" s="593"/>
      <c r="L99" s="593"/>
      <c r="M99" s="593"/>
    </row>
    <row r="100" spans="5:13" s="656" customFormat="1">
      <c r="E100" s="650"/>
      <c r="F100" s="657"/>
      <c r="G100" s="593"/>
      <c r="H100" s="593"/>
      <c r="I100" s="605"/>
      <c r="J100" s="593"/>
      <c r="K100" s="593"/>
      <c r="L100" s="593"/>
      <c r="M100" s="593"/>
    </row>
    <row r="101" spans="5:13" s="656" customFormat="1">
      <c r="E101" s="650"/>
      <c r="F101" s="657"/>
      <c r="G101" s="593"/>
      <c r="H101" s="593"/>
      <c r="I101" s="605"/>
      <c r="J101" s="593"/>
      <c r="K101" s="593"/>
      <c r="L101" s="593"/>
      <c r="M101" s="593"/>
    </row>
    <row r="102" spans="5:13" s="656" customFormat="1">
      <c r="E102" s="650"/>
      <c r="F102" s="657"/>
      <c r="G102" s="593"/>
      <c r="H102" s="593"/>
      <c r="I102" s="605"/>
      <c r="J102" s="593"/>
      <c r="K102" s="593"/>
      <c r="L102" s="593"/>
      <c r="M102" s="593"/>
    </row>
    <row r="103" spans="5:13" s="656" customFormat="1">
      <c r="E103" s="650"/>
      <c r="F103" s="657"/>
      <c r="G103" s="593"/>
      <c r="H103" s="593"/>
      <c r="I103" s="605"/>
      <c r="J103" s="593"/>
      <c r="K103" s="593"/>
      <c r="L103" s="593"/>
      <c r="M103" s="593"/>
    </row>
    <row r="104" spans="5:13" s="656" customFormat="1">
      <c r="E104" s="650"/>
      <c r="F104" s="657"/>
      <c r="G104" s="593"/>
      <c r="H104" s="593"/>
      <c r="I104" s="605"/>
      <c r="J104" s="593"/>
      <c r="K104" s="593"/>
      <c r="L104" s="593"/>
      <c r="M104" s="593"/>
    </row>
    <row r="105" spans="5:13" s="656" customFormat="1">
      <c r="E105" s="650"/>
      <c r="F105" s="657"/>
      <c r="G105" s="593"/>
      <c r="H105" s="593"/>
      <c r="I105" s="605"/>
      <c r="J105" s="593"/>
      <c r="K105" s="593"/>
      <c r="L105" s="593"/>
      <c r="M105" s="593"/>
    </row>
    <row r="106" spans="5:13" s="656" customFormat="1">
      <c r="E106" s="650"/>
      <c r="F106" s="657"/>
      <c r="G106" s="593"/>
      <c r="H106" s="593"/>
      <c r="I106" s="605"/>
      <c r="J106" s="593"/>
      <c r="K106" s="593"/>
      <c r="L106" s="593"/>
      <c r="M106" s="593"/>
    </row>
    <row r="107" spans="5:13" s="656" customFormat="1">
      <c r="E107" s="650"/>
      <c r="F107" s="657"/>
      <c r="G107" s="593"/>
      <c r="H107" s="593"/>
      <c r="I107" s="605"/>
      <c r="J107" s="593"/>
      <c r="K107" s="593"/>
      <c r="L107" s="593"/>
      <c r="M107" s="593"/>
    </row>
    <row r="108" spans="5:13" s="656" customFormat="1">
      <c r="E108" s="650"/>
      <c r="F108" s="657"/>
      <c r="G108" s="593"/>
      <c r="H108" s="593"/>
      <c r="I108" s="605"/>
      <c r="J108" s="593"/>
      <c r="K108" s="593"/>
      <c r="L108" s="593"/>
      <c r="M108" s="593"/>
    </row>
    <row r="109" spans="5:13" s="656" customFormat="1">
      <c r="E109" s="650"/>
      <c r="F109" s="657"/>
      <c r="G109" s="593"/>
      <c r="H109" s="593"/>
      <c r="I109" s="605"/>
      <c r="J109" s="593"/>
      <c r="K109" s="593"/>
      <c r="L109" s="593"/>
      <c r="M109" s="593"/>
    </row>
    <row r="110" spans="5:13" s="656" customFormat="1">
      <c r="E110" s="650"/>
      <c r="F110" s="657"/>
      <c r="G110" s="593"/>
      <c r="H110" s="593"/>
      <c r="I110" s="605"/>
      <c r="J110" s="593"/>
      <c r="K110" s="593"/>
      <c r="L110" s="593"/>
    </row>
    <row r="111" spans="5:13" s="656" customFormat="1">
      <c r="E111" s="650"/>
      <c r="F111" s="657"/>
      <c r="G111" s="593"/>
      <c r="H111" s="593"/>
      <c r="I111" s="605"/>
      <c r="J111" s="593"/>
      <c r="K111" s="593"/>
      <c r="L111" s="593"/>
    </row>
    <row r="112" spans="5:13" s="656" customFormat="1">
      <c r="E112" s="650"/>
      <c r="F112" s="657"/>
      <c r="G112" s="593"/>
      <c r="H112" s="593"/>
      <c r="I112" s="605"/>
      <c r="J112" s="593"/>
      <c r="K112" s="593"/>
      <c r="L112" s="593"/>
    </row>
    <row r="113" spans="5:12" s="656" customFormat="1">
      <c r="E113" s="650"/>
      <c r="F113" s="657"/>
      <c r="G113" s="593"/>
      <c r="H113" s="593"/>
      <c r="I113" s="605"/>
      <c r="J113" s="593"/>
      <c r="K113" s="593"/>
      <c r="L113" s="593"/>
    </row>
    <row r="114" spans="5:12" s="656" customFormat="1">
      <c r="E114" s="650"/>
      <c r="F114" s="657"/>
      <c r="G114" s="593"/>
      <c r="H114" s="593"/>
      <c r="I114" s="605"/>
      <c r="J114" s="593"/>
      <c r="K114" s="593"/>
      <c r="L114" s="593"/>
    </row>
    <row r="115" spans="5:12" s="656" customFormat="1">
      <c r="E115" s="650"/>
      <c r="F115" s="657"/>
      <c r="G115" s="593"/>
      <c r="H115" s="593"/>
      <c r="I115" s="605"/>
      <c r="J115" s="593"/>
      <c r="K115" s="593"/>
      <c r="L115" s="593"/>
    </row>
    <row r="116" spans="5:12" s="656" customFormat="1">
      <c r="E116" s="650"/>
      <c r="F116" s="657"/>
      <c r="G116" s="593"/>
      <c r="H116" s="593"/>
      <c r="I116" s="605"/>
      <c r="J116" s="593"/>
      <c r="K116" s="593"/>
      <c r="L116" s="593"/>
    </row>
    <row r="117" spans="5:12" s="656" customFormat="1">
      <c r="E117" s="650"/>
      <c r="F117" s="657"/>
      <c r="G117" s="593"/>
      <c r="H117" s="593"/>
      <c r="I117" s="605"/>
      <c r="J117" s="593"/>
      <c r="K117" s="593"/>
      <c r="L117" s="593"/>
    </row>
    <row r="118" spans="5:12" s="656" customFormat="1">
      <c r="E118" s="650"/>
      <c r="F118" s="657"/>
      <c r="G118" s="593"/>
      <c r="H118" s="593"/>
      <c r="I118" s="605"/>
      <c r="J118" s="593"/>
      <c r="K118" s="593"/>
      <c r="L118" s="593"/>
    </row>
    <row r="119" spans="5:12" s="656" customFormat="1">
      <c r="E119" s="650"/>
      <c r="F119" s="657"/>
      <c r="G119" s="593"/>
      <c r="H119" s="593"/>
      <c r="I119" s="605"/>
      <c r="J119" s="593"/>
      <c r="K119" s="593"/>
      <c r="L119" s="593"/>
    </row>
    <row r="120" spans="5:12" s="656" customFormat="1">
      <c r="E120" s="650"/>
      <c r="F120" s="657"/>
      <c r="G120" s="593"/>
      <c r="H120" s="593"/>
      <c r="I120" s="605"/>
      <c r="J120" s="593"/>
      <c r="K120" s="593"/>
      <c r="L120" s="593"/>
    </row>
    <row r="121" spans="5:12" s="656" customFormat="1">
      <c r="E121" s="650"/>
      <c r="F121" s="657"/>
      <c r="G121" s="593"/>
      <c r="H121" s="593"/>
      <c r="I121" s="605"/>
      <c r="J121" s="593"/>
      <c r="K121" s="593"/>
      <c r="L121" s="593"/>
    </row>
    <row r="122" spans="5:12" s="656" customFormat="1">
      <c r="E122" s="650"/>
      <c r="F122" s="657"/>
      <c r="G122" s="593"/>
      <c r="H122" s="593"/>
      <c r="I122" s="605"/>
      <c r="J122" s="593"/>
      <c r="K122" s="593"/>
      <c r="L122" s="593"/>
    </row>
    <row r="123" spans="5:12" s="656" customFormat="1">
      <c r="E123" s="650"/>
      <c r="F123" s="657"/>
      <c r="G123" s="593"/>
      <c r="H123" s="593"/>
      <c r="I123" s="605"/>
      <c r="J123" s="593"/>
      <c r="K123" s="593"/>
      <c r="L123" s="593"/>
    </row>
    <row r="124" spans="5:12" s="656" customFormat="1">
      <c r="E124" s="650"/>
      <c r="F124" s="657"/>
      <c r="G124" s="593"/>
      <c r="H124" s="593"/>
      <c r="I124" s="605"/>
      <c r="J124" s="593"/>
      <c r="K124" s="593"/>
      <c r="L124" s="593"/>
    </row>
    <row r="125" spans="5:12" s="656" customFormat="1">
      <c r="E125" s="650"/>
      <c r="F125" s="657"/>
      <c r="G125" s="593"/>
      <c r="H125" s="593"/>
      <c r="I125" s="605"/>
      <c r="J125" s="593"/>
      <c r="K125" s="593"/>
      <c r="L125" s="593"/>
    </row>
    <row r="126" spans="5:12" s="656" customFormat="1">
      <c r="E126" s="650"/>
      <c r="F126" s="657"/>
      <c r="G126" s="593"/>
      <c r="H126" s="593"/>
      <c r="I126" s="605"/>
      <c r="J126" s="593"/>
      <c r="K126" s="593"/>
      <c r="L126" s="593"/>
    </row>
    <row r="127" spans="5:12" s="656" customFormat="1">
      <c r="E127" s="650"/>
      <c r="F127" s="657"/>
      <c r="G127" s="593"/>
      <c r="H127" s="593"/>
      <c r="I127" s="605"/>
      <c r="J127" s="593"/>
      <c r="K127" s="593"/>
      <c r="L127" s="593"/>
    </row>
    <row r="128" spans="5:12" s="656" customFormat="1">
      <c r="E128" s="650"/>
      <c r="F128" s="657"/>
      <c r="G128" s="593"/>
      <c r="H128" s="593"/>
      <c r="I128" s="605"/>
      <c r="J128" s="593"/>
      <c r="K128" s="593"/>
      <c r="L128" s="593"/>
    </row>
    <row r="129" spans="5:12" s="656" customFormat="1">
      <c r="E129" s="650"/>
      <c r="F129" s="657"/>
      <c r="G129" s="593"/>
      <c r="H129" s="593"/>
      <c r="I129" s="605"/>
      <c r="J129" s="593"/>
      <c r="K129" s="593"/>
      <c r="L129" s="593"/>
    </row>
    <row r="130" spans="5:12" s="656" customFormat="1">
      <c r="E130" s="650"/>
      <c r="F130" s="657"/>
      <c r="G130" s="593"/>
      <c r="H130" s="593"/>
      <c r="I130" s="605"/>
      <c r="J130" s="593"/>
      <c r="K130" s="593"/>
      <c r="L130" s="593"/>
    </row>
    <row r="131" spans="5:12" s="656" customFormat="1">
      <c r="E131" s="650"/>
      <c r="F131" s="657"/>
      <c r="G131" s="593"/>
      <c r="H131" s="593"/>
      <c r="I131" s="605"/>
      <c r="J131" s="593"/>
      <c r="K131" s="593"/>
      <c r="L131" s="593"/>
    </row>
    <row r="132" spans="5:12" s="656" customFormat="1">
      <c r="E132" s="650"/>
      <c r="F132" s="657"/>
      <c r="G132" s="593"/>
      <c r="H132" s="593"/>
      <c r="I132" s="605"/>
      <c r="J132" s="593"/>
      <c r="K132" s="593"/>
      <c r="L132" s="593"/>
    </row>
    <row r="133" spans="5:12" s="656" customFormat="1">
      <c r="E133" s="650"/>
      <c r="F133" s="657"/>
      <c r="G133" s="593"/>
      <c r="H133" s="593"/>
      <c r="I133" s="605"/>
      <c r="J133" s="593"/>
      <c r="K133" s="593"/>
      <c r="L133" s="593"/>
    </row>
    <row r="134" spans="5:12" s="656" customFormat="1">
      <c r="E134" s="650"/>
      <c r="F134" s="657"/>
      <c r="G134" s="593"/>
      <c r="H134" s="593"/>
      <c r="I134" s="605"/>
      <c r="J134" s="593"/>
      <c r="K134" s="593"/>
      <c r="L134" s="593"/>
    </row>
    <row r="135" spans="5:12" s="656" customFormat="1">
      <c r="E135" s="650"/>
      <c r="F135" s="657"/>
      <c r="G135" s="593"/>
      <c r="H135" s="593"/>
      <c r="I135" s="605"/>
      <c r="J135" s="593"/>
      <c r="K135" s="593"/>
      <c r="L135" s="593"/>
    </row>
    <row r="136" spans="5:12" s="656" customFormat="1">
      <c r="E136" s="650"/>
      <c r="F136" s="657"/>
      <c r="G136" s="593"/>
      <c r="H136" s="593"/>
      <c r="I136" s="605"/>
      <c r="J136" s="593"/>
      <c r="K136" s="593"/>
      <c r="L136" s="593"/>
    </row>
    <row r="137" spans="5:12" s="656" customFormat="1">
      <c r="E137" s="650"/>
      <c r="F137" s="657"/>
      <c r="G137" s="593"/>
      <c r="H137" s="593"/>
      <c r="I137" s="605"/>
      <c r="J137" s="593"/>
      <c r="K137" s="593"/>
      <c r="L137" s="593"/>
    </row>
    <row r="138" spans="5:12" s="656" customFormat="1">
      <c r="E138" s="650"/>
      <c r="F138" s="657"/>
      <c r="G138" s="593"/>
      <c r="H138" s="593"/>
      <c r="I138" s="605"/>
      <c r="J138" s="593"/>
      <c r="K138" s="593"/>
      <c r="L138" s="593"/>
    </row>
    <row r="139" spans="5:12" s="656" customFormat="1">
      <c r="E139" s="650"/>
      <c r="F139" s="657"/>
      <c r="G139" s="593"/>
      <c r="H139" s="593"/>
      <c r="I139" s="605"/>
      <c r="J139" s="593"/>
      <c r="K139" s="593"/>
      <c r="L139" s="593"/>
    </row>
    <row r="140" spans="5:12" s="656" customFormat="1">
      <c r="E140" s="650"/>
      <c r="F140" s="657"/>
      <c r="G140" s="593"/>
      <c r="H140" s="593"/>
      <c r="I140" s="605"/>
      <c r="J140" s="593"/>
      <c r="K140" s="593"/>
      <c r="L140" s="593"/>
    </row>
    <row r="141" spans="5:12" s="656" customFormat="1">
      <c r="E141" s="650"/>
      <c r="F141" s="657"/>
      <c r="G141" s="593"/>
      <c r="H141" s="593"/>
      <c r="I141" s="605"/>
      <c r="J141" s="593"/>
      <c r="K141" s="593"/>
      <c r="L141" s="593"/>
    </row>
    <row r="142" spans="5:12" s="656" customFormat="1">
      <c r="E142" s="650"/>
      <c r="F142" s="657"/>
      <c r="G142" s="593"/>
      <c r="H142" s="593"/>
      <c r="I142" s="605"/>
      <c r="J142" s="593"/>
      <c r="K142" s="593"/>
      <c r="L142" s="593"/>
    </row>
    <row r="143" spans="5:12" s="656" customFormat="1">
      <c r="E143" s="650"/>
      <c r="F143" s="657"/>
      <c r="G143" s="593"/>
      <c r="H143" s="593"/>
      <c r="I143" s="605"/>
      <c r="J143" s="593"/>
      <c r="K143" s="593"/>
      <c r="L143" s="593"/>
    </row>
    <row r="144" spans="5:12" s="656" customFormat="1">
      <c r="E144" s="650"/>
      <c r="F144" s="657"/>
      <c r="G144" s="593"/>
      <c r="H144" s="593"/>
      <c r="I144" s="605"/>
      <c r="J144" s="593"/>
      <c r="K144" s="593"/>
      <c r="L144" s="593"/>
    </row>
    <row r="145" spans="1:17" s="656" customFormat="1">
      <c r="E145" s="650"/>
      <c r="F145" s="657"/>
      <c r="G145" s="593"/>
      <c r="H145" s="593"/>
      <c r="I145" s="605"/>
      <c r="J145" s="593"/>
      <c r="K145" s="593"/>
      <c r="L145" s="593"/>
    </row>
    <row r="146" spans="1:17" s="656" customFormat="1">
      <c r="E146" s="650"/>
      <c r="F146" s="657"/>
      <c r="G146" s="593"/>
      <c r="H146" s="593"/>
      <c r="I146" s="605"/>
      <c r="J146" s="593"/>
      <c r="K146" s="593"/>
      <c r="L146" s="593"/>
    </row>
    <row r="147" spans="1:17">
      <c r="A147" s="656"/>
      <c r="B147" s="656"/>
      <c r="C147" s="656"/>
      <c r="D147" s="656"/>
      <c r="E147" s="650"/>
      <c r="F147" s="657"/>
      <c r="G147" s="593"/>
      <c r="H147" s="593"/>
      <c r="I147" s="605"/>
      <c r="J147" s="593"/>
      <c r="K147" s="593"/>
      <c r="L147" s="593"/>
      <c r="M147" s="656"/>
      <c r="N147" s="656"/>
      <c r="O147" s="656"/>
      <c r="P147" s="656"/>
      <c r="Q147" s="656"/>
    </row>
    <row r="148" spans="1:17">
      <c r="A148" s="656"/>
      <c r="B148" s="656"/>
      <c r="C148" s="656"/>
      <c r="D148" s="656"/>
      <c r="E148" s="650"/>
      <c r="F148" s="657"/>
      <c r="G148" s="593"/>
      <c r="H148" s="593"/>
      <c r="I148" s="605"/>
      <c r="J148" s="593"/>
      <c r="K148" s="593"/>
      <c r="L148" s="593"/>
      <c r="M148" s="656"/>
      <c r="N148" s="656"/>
      <c r="O148" s="656"/>
      <c r="P148" s="656"/>
      <c r="Q148" s="656"/>
    </row>
    <row r="149" spans="1:17">
      <c r="A149" s="656"/>
      <c r="B149" s="656"/>
      <c r="C149" s="656"/>
      <c r="D149" s="656"/>
      <c r="E149" s="650"/>
      <c r="F149" s="657"/>
      <c r="G149" s="593"/>
      <c r="H149" s="593"/>
      <c r="I149" s="605"/>
      <c r="J149" s="593"/>
      <c r="K149" s="593"/>
      <c r="L149" s="593"/>
      <c r="M149" s="656"/>
      <c r="N149" s="656"/>
      <c r="O149" s="656"/>
      <c r="P149" s="656"/>
      <c r="Q149" s="656"/>
    </row>
    <row r="150" spans="1:17">
      <c r="A150" s="656"/>
      <c r="B150" s="656"/>
      <c r="C150" s="656"/>
      <c r="D150" s="656"/>
      <c r="E150" s="650"/>
      <c r="F150" s="657"/>
      <c r="G150" s="593"/>
      <c r="H150" s="593"/>
      <c r="I150" s="605"/>
      <c r="J150" s="593"/>
      <c r="K150" s="593"/>
      <c r="L150" s="593"/>
      <c r="M150" s="656"/>
      <c r="N150" s="656"/>
      <c r="O150" s="656"/>
      <c r="P150" s="656"/>
      <c r="Q150" s="656"/>
    </row>
    <row r="151" spans="1:17">
      <c r="A151" s="656"/>
      <c r="B151" s="656"/>
      <c r="C151" s="656"/>
      <c r="D151" s="656"/>
      <c r="E151" s="650"/>
      <c r="F151" s="657"/>
      <c r="G151" s="593"/>
      <c r="H151" s="593"/>
      <c r="I151" s="605"/>
      <c r="J151" s="593"/>
      <c r="K151" s="593"/>
      <c r="L151" s="593"/>
      <c r="M151" s="656"/>
      <c r="N151" s="656"/>
      <c r="O151" s="656"/>
      <c r="P151" s="656"/>
      <c r="Q151" s="656"/>
    </row>
    <row r="152" spans="1:17">
      <c r="A152" s="656"/>
      <c r="B152" s="656"/>
      <c r="C152" s="656"/>
      <c r="D152" s="656"/>
      <c r="E152" s="650"/>
      <c r="F152" s="657"/>
      <c r="G152" s="593"/>
      <c r="H152" s="593"/>
      <c r="I152" s="605"/>
      <c r="J152" s="593"/>
      <c r="K152" s="593"/>
      <c r="L152" s="593"/>
      <c r="M152" s="656"/>
    </row>
    <row r="153" spans="1:17">
      <c r="A153" s="656"/>
      <c r="B153" s="656"/>
      <c r="C153" s="656"/>
      <c r="D153" s="656"/>
      <c r="E153" s="650"/>
      <c r="F153" s="657"/>
      <c r="G153" s="593"/>
      <c r="H153" s="593"/>
      <c r="I153" s="605"/>
      <c r="J153" s="593"/>
      <c r="K153" s="593"/>
      <c r="L153" s="593"/>
      <c r="M153" s="656"/>
    </row>
    <row r="154" spans="1:17">
      <c r="A154" s="656"/>
      <c r="B154" s="656"/>
      <c r="C154" s="656"/>
      <c r="D154" s="656"/>
      <c r="E154" s="650"/>
      <c r="F154" s="657"/>
      <c r="G154" s="593"/>
      <c r="H154" s="593"/>
      <c r="I154" s="605"/>
      <c r="J154" s="593"/>
      <c r="K154" s="593"/>
      <c r="L154" s="593"/>
      <c r="M154" s="656"/>
    </row>
    <row r="155" spans="1:17">
      <c r="A155" s="656"/>
      <c r="B155" s="656"/>
      <c r="C155" s="656"/>
      <c r="D155" s="656"/>
      <c r="E155" s="650"/>
      <c r="F155" s="657"/>
      <c r="G155" s="593"/>
      <c r="H155" s="593"/>
      <c r="I155" s="605"/>
      <c r="J155" s="593"/>
      <c r="K155" s="593"/>
      <c r="L155" s="593"/>
      <c r="M155" s="656"/>
    </row>
    <row r="156" spans="1:17">
      <c r="J156" s="593"/>
      <c r="K156" s="593"/>
      <c r="L156" s="593"/>
      <c r="M156" s="656"/>
    </row>
    <row r="157" spans="1:17">
      <c r="J157" s="593"/>
      <c r="K157" s="593"/>
      <c r="L157" s="593"/>
      <c r="M157" s="656"/>
    </row>
    <row r="158" spans="1:17">
      <c r="J158" s="593"/>
      <c r="K158" s="593"/>
      <c r="L158" s="593"/>
      <c r="M158" s="656"/>
    </row>
    <row r="159" spans="1:17">
      <c r="J159" s="593"/>
      <c r="K159" s="593"/>
      <c r="L159" s="593"/>
      <c r="M159" s="656"/>
    </row>
    <row r="160" spans="1:17">
      <c r="J160" s="593"/>
      <c r="K160" s="593"/>
      <c r="L160" s="593"/>
      <c r="M160" s="656"/>
    </row>
    <row r="161" spans="10:13">
      <c r="J161" s="593"/>
      <c r="K161" s="593"/>
      <c r="L161" s="593"/>
      <c r="M161" s="656"/>
    </row>
    <row r="162" spans="10:13">
      <c r="K162" s="593"/>
      <c r="L162" s="593"/>
      <c r="M162" s="656"/>
    </row>
    <row r="163" spans="10:13">
      <c r="K163" s="593"/>
      <c r="L163" s="593"/>
      <c r="M163" s="656"/>
    </row>
    <row r="164" spans="10:13">
      <c r="K164" s="593"/>
      <c r="L164" s="593"/>
      <c r="M164" s="656"/>
    </row>
    <row r="165" spans="10:13">
      <c r="L165" s="593"/>
      <c r="M165" s="656"/>
    </row>
    <row r="166" spans="10:13">
      <c r="L166" s="593"/>
      <c r="M166" s="656"/>
    </row>
    <row r="167" spans="10:13">
      <c r="L167" s="593"/>
    </row>
    <row r="168" spans="10:13">
      <c r="L168" s="593"/>
    </row>
    <row r="169" spans="10:13">
      <c r="L169" s="593"/>
    </row>
  </sheetData>
  <mergeCells count="1">
    <mergeCell ref="L7:M7"/>
  </mergeCells>
  <dataValidations count="1">
    <dataValidation type="list" allowBlank="1" showInputMessage="1" showErrorMessage="1" sqref="B5" xr:uid="{6789CCC9-A014-4A7F-8094-2C685DAFD9F8}">
      <formula1>$AB$5:$AB$8</formula1>
    </dataValidation>
  </dataValidations>
  <pageMargins left="0.7" right="0.7" top="0.75" bottom="0.75" header="0.3" footer="0.3"/>
  <pageSetup orientation="portrait"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1F7A8-160A-45F8-B6D5-AF5387AF04A8}">
  <dimension ref="A1:Q169"/>
  <sheetViews>
    <sheetView topLeftCell="A7" workbookViewId="0">
      <selection activeCell="G32" sqref="G32"/>
    </sheetView>
  </sheetViews>
  <sheetFormatPr defaultColWidth="7.85546875" defaultRowHeight="11.25"/>
  <cols>
    <col min="1" max="1" width="15.7109375" style="593" bestFit="1" customWidth="1"/>
    <col min="2" max="2" width="9.5703125" style="593" bestFit="1" customWidth="1"/>
    <col min="3" max="3" width="5.140625" style="660" customWidth="1"/>
    <col min="4" max="6" width="7.7109375" style="660" customWidth="1"/>
    <col min="7" max="7" width="6.28515625" style="656" customWidth="1"/>
    <col min="8" max="8" width="6.85546875" style="659" customWidth="1"/>
    <col min="9" max="9" width="9.7109375" style="656" customWidth="1"/>
    <col min="10" max="10" width="8.7109375" style="656" bestFit="1" customWidth="1"/>
    <col min="11" max="11" width="12.5703125" style="650" customWidth="1"/>
    <col min="12" max="12" width="17.28515625" style="657" bestFit="1" customWidth="1"/>
    <col min="13" max="13" width="12.85546875" style="593" customWidth="1"/>
    <col min="14" max="14" width="11.28515625" style="593" customWidth="1"/>
    <col min="15" max="15" width="14.5703125" style="605" customWidth="1"/>
    <col min="16" max="16" width="2.42578125" style="605" customWidth="1"/>
    <col min="17" max="17" width="14" style="593" bestFit="1" customWidth="1"/>
    <col min="18" max="18" width="5.42578125" style="593" customWidth="1"/>
    <col min="19" max="27" width="5.28515625" style="593" customWidth="1"/>
    <col min="28" max="28" width="17" style="593" customWidth="1"/>
    <col min="29" max="16384" width="7.85546875" style="593"/>
  </cols>
  <sheetData>
    <row r="1" spans="1:15" s="432" customFormat="1" ht="12.75">
      <c r="A1" s="1027" t="s">
        <v>108</v>
      </c>
      <c r="B1" s="1026" t="s">
        <v>164</v>
      </c>
      <c r="C1" s="426"/>
      <c r="D1" s="1026"/>
      <c r="E1" s="427"/>
      <c r="F1" s="427"/>
      <c r="G1" s="428"/>
      <c r="H1" s="429" t="s">
        <v>188</v>
      </c>
      <c r="I1" s="430">
        <f>M12</f>
        <v>207</v>
      </c>
      <c r="J1" s="431"/>
      <c r="K1" s="1026"/>
      <c r="L1" s="1026"/>
      <c r="M1" s="1025"/>
      <c r="N1" s="433"/>
    </row>
    <row r="2" spans="1:15" s="432" customFormat="1" ht="12.75">
      <c r="A2" s="1019" t="s">
        <v>110</v>
      </c>
      <c r="B2" s="444" t="s">
        <v>9</v>
      </c>
      <c r="C2" s="436"/>
      <c r="D2" s="444"/>
      <c r="E2" s="437"/>
      <c r="F2" s="437"/>
      <c r="G2" s="438"/>
      <c r="H2" s="439" t="s">
        <v>187</v>
      </c>
      <c r="I2" s="1024">
        <f>M12</f>
        <v>207</v>
      </c>
      <c r="J2" s="441"/>
      <c r="K2" s="444"/>
      <c r="L2" s="444"/>
      <c r="M2" s="1020"/>
      <c r="N2" s="442"/>
    </row>
    <row r="3" spans="1:15" s="446" customFormat="1" ht="11.25" customHeight="1">
      <c r="A3" s="1022" t="s">
        <v>112</v>
      </c>
      <c r="B3" s="731">
        <v>45161</v>
      </c>
      <c r="C3" s="436"/>
      <c r="D3" s="437"/>
      <c r="E3" s="437"/>
      <c r="F3" s="437"/>
      <c r="G3" s="438"/>
      <c r="H3" s="443" t="s">
        <v>186</v>
      </c>
      <c r="I3" s="1021">
        <f>M53/100</f>
        <v>2.0699999999999998</v>
      </c>
      <c r="J3" s="441"/>
      <c r="K3" s="444"/>
      <c r="L3" s="444"/>
      <c r="M3" s="1023"/>
      <c r="N3" s="447"/>
    </row>
    <row r="4" spans="1:15" s="432" customFormat="1" ht="12.75">
      <c r="A4" s="1022" t="s">
        <v>114</v>
      </c>
      <c r="B4" s="444" t="s">
        <v>221</v>
      </c>
      <c r="C4" s="436"/>
      <c r="D4" s="437"/>
      <c r="E4" s="437"/>
      <c r="F4" s="437"/>
      <c r="G4" s="438"/>
      <c r="H4" s="443" t="s">
        <v>185</v>
      </c>
      <c r="I4" s="1021">
        <f>J19</f>
        <v>0.57068914522330672</v>
      </c>
      <c r="J4" s="441"/>
      <c r="K4" s="444"/>
      <c r="L4" s="444"/>
      <c r="M4" s="1020"/>
      <c r="N4" s="433"/>
    </row>
    <row r="5" spans="1:15" s="452" customFormat="1" ht="12.75">
      <c r="A5" s="1019" t="s">
        <v>116</v>
      </c>
      <c r="B5" s="450" t="s">
        <v>117</v>
      </c>
      <c r="C5" s="436"/>
      <c r="D5" s="437"/>
      <c r="E5" s="437"/>
      <c r="F5" s="437"/>
      <c r="G5" s="438"/>
      <c r="H5" s="443"/>
      <c r="I5" s="1040"/>
      <c r="J5" s="441"/>
      <c r="K5" s="444"/>
      <c r="L5" s="444"/>
      <c r="M5" s="480"/>
      <c r="N5" s="451"/>
    </row>
    <row r="6" spans="1:15" s="451" customFormat="1" ht="13.5" thickBot="1">
      <c r="A6" s="1017"/>
      <c r="B6" s="1010"/>
      <c r="C6" s="1016"/>
      <c r="D6" s="1015"/>
      <c r="E6" s="1015"/>
      <c r="F6" s="1015"/>
      <c r="G6" s="1012"/>
      <c r="H6" s="1014"/>
      <c r="I6" s="1013"/>
      <c r="J6" s="1012"/>
      <c r="K6" s="1011"/>
      <c r="L6" s="1010"/>
      <c r="M6" s="1009"/>
    </row>
    <row r="7" spans="1:15" s="452" customFormat="1" ht="13.15" customHeight="1">
      <c r="A7" s="1008" t="s">
        <v>118</v>
      </c>
      <c r="B7" s="1004"/>
      <c r="C7" s="1007"/>
      <c r="D7" s="1006"/>
      <c r="E7" s="1005" t="s">
        <v>119</v>
      </c>
      <c r="F7" s="1004"/>
      <c r="G7" s="1003" t="s">
        <v>120</v>
      </c>
      <c r="H7" s="464"/>
      <c r="I7" s="1002" t="s">
        <v>121</v>
      </c>
      <c r="J7" s="1002"/>
      <c r="K7" s="465"/>
      <c r="L7" s="1129" t="s">
        <v>122</v>
      </c>
      <c r="M7" s="1130"/>
      <c r="N7" s="451"/>
      <c r="O7" s="451"/>
    </row>
    <row r="8" spans="1:15" s="482" customFormat="1" ht="11.25" customHeight="1">
      <c r="A8" s="466"/>
      <c r="B8" s="461"/>
      <c r="C8" s="467"/>
      <c r="D8" s="476"/>
      <c r="E8" s="1000"/>
      <c r="F8" s="476"/>
      <c r="G8" s="999"/>
      <c r="H8" s="478"/>
      <c r="I8" s="502"/>
      <c r="J8" s="502"/>
      <c r="K8" s="479"/>
      <c r="L8" s="480"/>
      <c r="M8" s="480"/>
      <c r="N8" s="481"/>
    </row>
    <row r="9" spans="1:15" s="492" customFormat="1">
      <c r="C9" s="484"/>
      <c r="D9" s="1001"/>
      <c r="E9" s="1000" t="s">
        <v>125</v>
      </c>
      <c r="F9" s="476"/>
      <c r="G9" s="999"/>
      <c r="H9" s="478"/>
      <c r="I9" s="605"/>
      <c r="J9" s="605"/>
      <c r="K9" s="479"/>
      <c r="L9" s="488"/>
      <c r="M9" s="489"/>
      <c r="N9" s="490"/>
      <c r="O9" s="491"/>
    </row>
    <row r="10" spans="1:15" s="492" customFormat="1">
      <c r="A10" s="493" t="s">
        <v>126</v>
      </c>
      <c r="B10" s="494" t="s">
        <v>127</v>
      </c>
      <c r="C10" s="495" t="s">
        <v>128</v>
      </c>
      <c r="D10" s="501" t="s">
        <v>138</v>
      </c>
      <c r="E10" s="499" t="s">
        <v>139</v>
      </c>
      <c r="F10" s="501" t="s">
        <v>140</v>
      </c>
      <c r="G10" s="999" t="s">
        <v>141</v>
      </c>
      <c r="H10" s="478" t="s">
        <v>142</v>
      </c>
      <c r="I10" s="502" t="s">
        <v>142</v>
      </c>
      <c r="J10" s="502" t="s">
        <v>141</v>
      </c>
      <c r="K10" s="503" t="s">
        <v>143</v>
      </c>
      <c r="L10" s="488" t="s">
        <v>144</v>
      </c>
      <c r="M10" s="488" t="s">
        <v>145</v>
      </c>
      <c r="N10" s="504"/>
    </row>
    <row r="11" spans="1:15" s="492" customFormat="1" ht="12" thickBot="1">
      <c r="A11" s="505" t="s">
        <v>146</v>
      </c>
      <c r="B11" s="506" t="s">
        <v>146</v>
      </c>
      <c r="C11" s="507" t="s">
        <v>147</v>
      </c>
      <c r="D11" s="516" t="s">
        <v>149</v>
      </c>
      <c r="E11" s="514" t="s">
        <v>147</v>
      </c>
      <c r="F11" s="516" t="s">
        <v>147</v>
      </c>
      <c r="G11" s="998" t="s">
        <v>150</v>
      </c>
      <c r="H11" s="518" t="s">
        <v>151</v>
      </c>
      <c r="I11" s="517" t="s">
        <v>151</v>
      </c>
      <c r="J11" s="517" t="s">
        <v>150</v>
      </c>
      <c r="K11" s="520"/>
      <c r="L11" s="521"/>
      <c r="M11" s="522" t="s">
        <v>147</v>
      </c>
      <c r="N11" s="504"/>
    </row>
    <row r="12" spans="1:15" s="492" customFormat="1">
      <c r="A12" s="542"/>
      <c r="B12" s="543"/>
      <c r="C12" s="531">
        <v>0</v>
      </c>
      <c r="D12" s="989"/>
      <c r="E12" s="997"/>
      <c r="F12" s="996"/>
      <c r="G12" s="995"/>
      <c r="H12" s="552"/>
      <c r="I12" s="994"/>
      <c r="J12" s="993"/>
      <c r="K12" s="555"/>
      <c r="L12" s="539" t="s">
        <v>155</v>
      </c>
      <c r="M12" s="540">
        <v>207</v>
      </c>
      <c r="N12" s="541" t="s">
        <v>222</v>
      </c>
    </row>
    <row r="13" spans="1:15" s="492" customFormat="1">
      <c r="A13" s="542">
        <v>565</v>
      </c>
      <c r="B13" s="543">
        <v>0</v>
      </c>
      <c r="C13" s="531">
        <v>10</v>
      </c>
      <c r="D13" s="989">
        <v>966</v>
      </c>
      <c r="E13" s="988">
        <f>C12</f>
        <v>0</v>
      </c>
      <c r="F13" s="987">
        <f>(C13+C14-10)/2</f>
        <v>10</v>
      </c>
      <c r="G13" s="551">
        <f t="shared" ref="G13:G19" si="0">(A13-B13)/966</f>
        <v>0.58488612836438925</v>
      </c>
      <c r="H13" s="986">
        <f>(G13*(F13-E13))/100</f>
        <v>5.8488612836438927E-2</v>
      </c>
      <c r="I13" s="985">
        <f>SUM(H$13:H13)</f>
        <v>5.8488612836438927E-2</v>
      </c>
      <c r="J13" s="554">
        <f t="shared" ref="J13:J19" si="1">I13/F13*100</f>
        <v>0.58488612836438925</v>
      </c>
      <c r="K13" s="555"/>
      <c r="L13" s="556"/>
      <c r="M13" s="557"/>
      <c r="N13" s="504" t="s">
        <v>224</v>
      </c>
    </row>
    <row r="14" spans="1:15" s="492" customFormat="1">
      <c r="A14" s="542">
        <v>560</v>
      </c>
      <c r="B14" s="543">
        <v>0</v>
      </c>
      <c r="C14" s="531">
        <v>20</v>
      </c>
      <c r="D14" s="989">
        <v>966</v>
      </c>
      <c r="E14" s="988">
        <f>(C13+C14-10)/2</f>
        <v>10</v>
      </c>
      <c r="F14" s="987">
        <f t="shared" ref="F14:F18" si="2">(C14+C15-10)/2</f>
        <v>20</v>
      </c>
      <c r="G14" s="551">
        <f t="shared" si="0"/>
        <v>0.57971014492753625</v>
      </c>
      <c r="H14" s="986">
        <f t="shared" ref="H14:H19" si="3">(G14*(F14-E14))/100</f>
        <v>5.7971014492753624E-2</v>
      </c>
      <c r="I14" s="985">
        <f>SUM(H$13:H14)</f>
        <v>0.11645962732919254</v>
      </c>
      <c r="J14" s="554">
        <f t="shared" si="1"/>
        <v>0.58229813664596275</v>
      </c>
      <c r="K14" s="555"/>
      <c r="L14" s="556"/>
      <c r="M14" s="557"/>
      <c r="N14" s="504"/>
    </row>
    <row r="15" spans="1:15" s="492" customFormat="1">
      <c r="A15" s="542">
        <v>555</v>
      </c>
      <c r="B15" s="543">
        <v>0</v>
      </c>
      <c r="C15" s="531">
        <v>30</v>
      </c>
      <c r="D15" s="989">
        <v>966</v>
      </c>
      <c r="E15" s="988">
        <f>(C14+C15-10)/2</f>
        <v>20</v>
      </c>
      <c r="F15" s="987">
        <f t="shared" si="2"/>
        <v>30</v>
      </c>
      <c r="G15" s="551">
        <f t="shared" si="0"/>
        <v>0.57453416149068326</v>
      </c>
      <c r="H15" s="986">
        <f t="shared" si="3"/>
        <v>5.7453416149068327E-2</v>
      </c>
      <c r="I15" s="985">
        <f>SUM(H$13:H15)</f>
        <v>0.17391304347826086</v>
      </c>
      <c r="J15" s="554">
        <f t="shared" si="1"/>
        <v>0.57971014492753625</v>
      </c>
      <c r="K15" s="555"/>
      <c r="L15" s="556"/>
      <c r="M15" s="558"/>
      <c r="N15" s="504"/>
    </row>
    <row r="16" spans="1:15" s="492" customFormat="1">
      <c r="A16" s="559">
        <v>555</v>
      </c>
      <c r="B16" s="543">
        <v>0</v>
      </c>
      <c r="C16" s="531">
        <v>40</v>
      </c>
      <c r="D16" s="989">
        <v>966</v>
      </c>
      <c r="E16" s="988">
        <f t="shared" ref="E16:E32" si="4">(C15+C16-10)/2</f>
        <v>30</v>
      </c>
      <c r="F16" s="987">
        <f t="shared" si="2"/>
        <v>40</v>
      </c>
      <c r="G16" s="551">
        <f t="shared" si="0"/>
        <v>0.57453416149068326</v>
      </c>
      <c r="H16" s="986">
        <f t="shared" si="3"/>
        <v>5.7453416149068327E-2</v>
      </c>
      <c r="I16" s="985">
        <f>SUM(H$13:H16)</f>
        <v>0.23136645962732919</v>
      </c>
      <c r="J16" s="554">
        <f t="shared" si="1"/>
        <v>0.57841614906832295</v>
      </c>
      <c r="K16" s="555"/>
      <c r="L16" s="556"/>
      <c r="M16" s="557"/>
      <c r="N16" s="504"/>
    </row>
    <row r="17" spans="1:16" s="492" customFormat="1">
      <c r="A17" s="559">
        <v>545</v>
      </c>
      <c r="B17" s="543">
        <v>0</v>
      </c>
      <c r="C17" s="531">
        <v>50</v>
      </c>
      <c r="D17" s="989">
        <v>966</v>
      </c>
      <c r="E17" s="988">
        <f t="shared" si="4"/>
        <v>40</v>
      </c>
      <c r="F17" s="987">
        <f t="shared" si="2"/>
        <v>50</v>
      </c>
      <c r="G17" s="551">
        <f t="shared" si="0"/>
        <v>0.56418219461697727</v>
      </c>
      <c r="H17" s="986">
        <f t="shared" si="3"/>
        <v>5.6418219461697727E-2</v>
      </c>
      <c r="I17" s="985">
        <f>SUM(H$13:H17)</f>
        <v>0.28778467908902694</v>
      </c>
      <c r="J17" s="554">
        <f t="shared" si="1"/>
        <v>0.57556935817805388</v>
      </c>
      <c r="K17" s="555"/>
      <c r="L17" s="556"/>
      <c r="M17" s="557"/>
      <c r="N17" s="490"/>
    </row>
    <row r="18" spans="1:16" s="492" customFormat="1">
      <c r="A18" s="559">
        <v>545</v>
      </c>
      <c r="B18" s="543">
        <v>0</v>
      </c>
      <c r="C18" s="531">
        <v>60</v>
      </c>
      <c r="D18" s="989">
        <v>966</v>
      </c>
      <c r="E18" s="988">
        <f t="shared" si="4"/>
        <v>50</v>
      </c>
      <c r="F18" s="987">
        <f t="shared" si="2"/>
        <v>60</v>
      </c>
      <c r="G18" s="551">
        <f t="shared" si="0"/>
        <v>0.56418219461697727</v>
      </c>
      <c r="H18" s="986">
        <f t="shared" si="3"/>
        <v>5.6418219461697727E-2</v>
      </c>
      <c r="I18" s="985">
        <f>SUM(H$13:H18)</f>
        <v>0.34420289855072467</v>
      </c>
      <c r="J18" s="554">
        <f t="shared" si="1"/>
        <v>0.57367149758454106</v>
      </c>
      <c r="K18" s="560"/>
      <c r="L18" s="556"/>
      <c r="M18" s="557"/>
      <c r="N18" s="490"/>
    </row>
    <row r="19" spans="1:16" s="492" customFormat="1" ht="10.15" customHeight="1">
      <c r="A19" s="559">
        <v>534</v>
      </c>
      <c r="B19" s="543">
        <v>0</v>
      </c>
      <c r="C19" s="531">
        <v>70</v>
      </c>
      <c r="D19" s="989">
        <v>966</v>
      </c>
      <c r="E19" s="988">
        <f t="shared" si="4"/>
        <v>60</v>
      </c>
      <c r="F19" s="987">
        <f>C19</f>
        <v>70</v>
      </c>
      <c r="G19" s="551">
        <f t="shared" si="0"/>
        <v>0.55279503105590067</v>
      </c>
      <c r="H19" s="986">
        <f t="shared" si="3"/>
        <v>5.5279503105590065E-2</v>
      </c>
      <c r="I19" s="985">
        <f>SUM(H$13:H19)</f>
        <v>0.39948240165631471</v>
      </c>
      <c r="J19" s="554">
        <f t="shared" si="1"/>
        <v>0.57068914522330672</v>
      </c>
      <c r="K19" s="560"/>
      <c r="L19" s="556"/>
      <c r="M19" s="557"/>
      <c r="N19" s="561"/>
    </row>
    <row r="20" spans="1:16" s="492" customFormat="1">
      <c r="A20" s="559">
        <v>565</v>
      </c>
      <c r="B20" s="543"/>
      <c r="C20" s="531">
        <v>80</v>
      </c>
      <c r="D20" s="989">
        <v>966</v>
      </c>
      <c r="E20" s="988">
        <f t="shared" si="4"/>
        <v>70</v>
      </c>
      <c r="F20" s="987">
        <f>C20</f>
        <v>80</v>
      </c>
      <c r="G20" s="551">
        <f t="shared" ref="G20:G32" si="5">(A20-B20)/966</f>
        <v>0.58488612836438925</v>
      </c>
      <c r="H20" s="986">
        <f t="shared" ref="H20:H32" si="6">(G20*(F20-E20))/100</f>
        <v>5.8488612836438927E-2</v>
      </c>
      <c r="I20" s="985">
        <f>SUM(H$13:H20)</f>
        <v>0.45797101449275363</v>
      </c>
      <c r="J20" s="554">
        <f t="shared" ref="J20:J32" si="7">I20/F20*100</f>
        <v>0.57246376811594202</v>
      </c>
      <c r="K20" s="555"/>
      <c r="L20" s="556"/>
      <c r="M20" s="557"/>
      <c r="N20" s="562"/>
    </row>
    <row r="21" spans="1:16" s="564" customFormat="1">
      <c r="A21" s="559">
        <v>550</v>
      </c>
      <c r="B21" s="543"/>
      <c r="C21" s="531">
        <v>90</v>
      </c>
      <c r="D21" s="989">
        <v>966</v>
      </c>
      <c r="E21" s="988">
        <f t="shared" si="4"/>
        <v>80</v>
      </c>
      <c r="F21" s="987">
        <f>C21</f>
        <v>90</v>
      </c>
      <c r="G21" s="551">
        <f t="shared" si="5"/>
        <v>0.56935817805383027</v>
      </c>
      <c r="H21" s="986">
        <f t="shared" si="6"/>
        <v>5.6935817805383024E-2</v>
      </c>
      <c r="I21" s="985">
        <f>SUM(H$13:H21)</f>
        <v>0.51490683229813661</v>
      </c>
      <c r="J21" s="554">
        <f t="shared" si="7"/>
        <v>0.57211870255348507</v>
      </c>
      <c r="K21" s="563"/>
      <c r="L21" s="556"/>
      <c r="M21" s="557"/>
      <c r="N21" s="562"/>
    </row>
    <row r="22" spans="1:16" s="564" customFormat="1">
      <c r="A22" s="559">
        <v>535</v>
      </c>
      <c r="B22" s="543"/>
      <c r="C22" s="531">
        <v>100</v>
      </c>
      <c r="D22" s="989">
        <v>966</v>
      </c>
      <c r="E22" s="988">
        <f t="shared" si="4"/>
        <v>90</v>
      </c>
      <c r="F22" s="987">
        <f t="shared" ref="F22:F32" si="8">C22</f>
        <v>100</v>
      </c>
      <c r="G22" s="551">
        <f t="shared" si="5"/>
        <v>0.55383022774327118</v>
      </c>
      <c r="H22" s="986">
        <f t="shared" si="6"/>
        <v>5.5383022774327113E-2</v>
      </c>
      <c r="I22" s="985">
        <f>SUM(H$13:H22)</f>
        <v>0.57028985507246377</v>
      </c>
      <c r="J22" s="554">
        <f t="shared" si="7"/>
        <v>0.57028985507246377</v>
      </c>
      <c r="K22" s="555"/>
      <c r="L22" s="556"/>
      <c r="M22" s="566"/>
      <c r="N22" s="562"/>
    </row>
    <row r="23" spans="1:16" s="564" customFormat="1">
      <c r="A23" s="559">
        <v>550</v>
      </c>
      <c r="B23" s="543"/>
      <c r="C23" s="531">
        <v>110</v>
      </c>
      <c r="D23" s="989">
        <v>966</v>
      </c>
      <c r="E23" s="988">
        <f t="shared" si="4"/>
        <v>100</v>
      </c>
      <c r="F23" s="987">
        <f t="shared" si="8"/>
        <v>110</v>
      </c>
      <c r="G23" s="551">
        <f t="shared" si="5"/>
        <v>0.56935817805383027</v>
      </c>
      <c r="H23" s="986">
        <f t="shared" si="6"/>
        <v>5.6935817805383024E-2</v>
      </c>
      <c r="I23" s="985">
        <f>SUM(H$13:H23)</f>
        <v>0.62722567287784681</v>
      </c>
      <c r="J23" s="554">
        <f t="shared" si="7"/>
        <v>0.57020515716167897</v>
      </c>
      <c r="K23" s="991"/>
      <c r="L23" s="556"/>
      <c r="M23" s="581"/>
      <c r="N23" s="582"/>
    </row>
    <row r="24" spans="1:16" s="564" customFormat="1">
      <c r="A24" s="559">
        <v>565</v>
      </c>
      <c r="B24" s="543"/>
      <c r="C24" s="531">
        <v>120</v>
      </c>
      <c r="D24" s="989">
        <v>966</v>
      </c>
      <c r="E24" s="988">
        <f t="shared" si="4"/>
        <v>110</v>
      </c>
      <c r="F24" s="987">
        <f t="shared" si="8"/>
        <v>120</v>
      </c>
      <c r="G24" s="551">
        <f t="shared" si="5"/>
        <v>0.58488612836438925</v>
      </c>
      <c r="H24" s="986">
        <f t="shared" si="6"/>
        <v>5.8488612836438927E-2</v>
      </c>
      <c r="I24" s="985">
        <f>SUM(H$13:H24)</f>
        <v>0.68571428571428572</v>
      </c>
      <c r="J24" s="554">
        <f t="shared" si="7"/>
        <v>0.5714285714285714</v>
      </c>
      <c r="K24" s="990"/>
      <c r="L24" s="556"/>
      <c r="M24" s="581"/>
      <c r="N24" s="582"/>
    </row>
    <row r="25" spans="1:16" s="564" customFormat="1">
      <c r="A25" s="559">
        <v>550</v>
      </c>
      <c r="B25" s="543"/>
      <c r="C25" s="531">
        <v>130</v>
      </c>
      <c r="D25" s="989">
        <v>966</v>
      </c>
      <c r="E25" s="988">
        <f t="shared" si="4"/>
        <v>120</v>
      </c>
      <c r="F25" s="987">
        <f t="shared" si="8"/>
        <v>130</v>
      </c>
      <c r="G25" s="551">
        <f t="shared" si="5"/>
        <v>0.56935817805383027</v>
      </c>
      <c r="H25" s="986">
        <f t="shared" si="6"/>
        <v>5.6935817805383024E-2</v>
      </c>
      <c r="I25" s="985">
        <f>SUM(H$13:H25)</f>
        <v>0.74265010351966876</v>
      </c>
      <c r="J25" s="554">
        <f t="shared" si="7"/>
        <v>0.57126931039974516</v>
      </c>
      <c r="K25" s="990"/>
      <c r="L25" s="556"/>
      <c r="M25" s="581"/>
      <c r="N25" s="582"/>
    </row>
    <row r="26" spans="1:16" s="564" customFormat="1">
      <c r="A26" s="559">
        <v>550</v>
      </c>
      <c r="B26" s="543"/>
      <c r="C26" s="531">
        <v>140</v>
      </c>
      <c r="D26" s="989">
        <v>966</v>
      </c>
      <c r="E26" s="988">
        <f t="shared" si="4"/>
        <v>130</v>
      </c>
      <c r="F26" s="987">
        <f t="shared" si="8"/>
        <v>140</v>
      </c>
      <c r="G26" s="551">
        <f t="shared" si="5"/>
        <v>0.56935817805383027</v>
      </c>
      <c r="H26" s="986">
        <f t="shared" si="6"/>
        <v>5.6935817805383024E-2</v>
      </c>
      <c r="I26" s="985">
        <f>SUM(H$13:H26)</f>
        <v>0.7995859213250518</v>
      </c>
      <c r="J26" s="554">
        <f t="shared" si="7"/>
        <v>0.57113280094646557</v>
      </c>
      <c r="K26" s="990"/>
      <c r="L26" s="556"/>
      <c r="M26" s="557"/>
      <c r="N26" s="582"/>
    </row>
    <row r="27" spans="1:16" s="564" customFormat="1">
      <c r="A27" s="559">
        <v>540</v>
      </c>
      <c r="B27" s="543"/>
      <c r="C27" s="531">
        <v>150</v>
      </c>
      <c r="D27" s="989">
        <v>966</v>
      </c>
      <c r="E27" s="988">
        <f t="shared" si="4"/>
        <v>140</v>
      </c>
      <c r="F27" s="987">
        <f t="shared" si="8"/>
        <v>150</v>
      </c>
      <c r="G27" s="551">
        <f t="shared" si="5"/>
        <v>0.55900621118012417</v>
      </c>
      <c r="H27" s="986">
        <f t="shared" si="6"/>
        <v>5.5900621118012417E-2</v>
      </c>
      <c r="I27" s="985">
        <f>SUM(H$13:H27)</f>
        <v>0.85548654244306421</v>
      </c>
      <c r="J27" s="554">
        <f t="shared" si="7"/>
        <v>0.57032436162870948</v>
      </c>
      <c r="K27" s="990"/>
      <c r="L27" s="556"/>
      <c r="M27" s="557"/>
      <c r="N27" s="582"/>
    </row>
    <row r="28" spans="1:16" s="564" customFormat="1">
      <c r="A28" s="559">
        <v>540</v>
      </c>
      <c r="B28" s="543"/>
      <c r="C28" s="531">
        <v>160</v>
      </c>
      <c r="D28" s="989">
        <v>966</v>
      </c>
      <c r="E28" s="988">
        <f t="shared" si="4"/>
        <v>150</v>
      </c>
      <c r="F28" s="987">
        <f t="shared" si="8"/>
        <v>160</v>
      </c>
      <c r="G28" s="551">
        <f t="shared" si="5"/>
        <v>0.55900621118012417</v>
      </c>
      <c r="H28" s="986">
        <f t="shared" si="6"/>
        <v>5.5900621118012417E-2</v>
      </c>
      <c r="I28" s="985">
        <f>SUM(H$13:H28)</f>
        <v>0.91138716356107663</v>
      </c>
      <c r="J28" s="554">
        <f t="shared" si="7"/>
        <v>0.56961697722567295</v>
      </c>
      <c r="K28" s="990"/>
      <c r="L28" s="556"/>
      <c r="M28" s="557"/>
      <c r="N28" s="582"/>
    </row>
    <row r="29" spans="1:16">
      <c r="A29" s="559">
        <v>580</v>
      </c>
      <c r="B29" s="543"/>
      <c r="C29" s="531">
        <v>170</v>
      </c>
      <c r="D29" s="989">
        <v>966</v>
      </c>
      <c r="E29" s="988">
        <f t="shared" si="4"/>
        <v>160</v>
      </c>
      <c r="F29" s="987">
        <f t="shared" si="8"/>
        <v>170</v>
      </c>
      <c r="G29" s="551">
        <f t="shared" si="5"/>
        <v>0.60041407867494823</v>
      </c>
      <c r="H29" s="986">
        <f t="shared" si="6"/>
        <v>6.0041407867494817E-2</v>
      </c>
      <c r="I29" s="985">
        <f>SUM(H$13:H29)</f>
        <v>0.97142857142857142</v>
      </c>
      <c r="J29" s="554">
        <f t="shared" si="7"/>
        <v>0.5714285714285714</v>
      </c>
      <c r="K29" s="990"/>
      <c r="L29" s="556"/>
      <c r="M29" s="557"/>
      <c r="N29" s="582"/>
      <c r="O29" s="564"/>
      <c r="P29" s="564"/>
    </row>
    <row r="30" spans="1:16">
      <c r="A30" s="559">
        <v>575</v>
      </c>
      <c r="B30" s="543"/>
      <c r="C30" s="531">
        <v>180</v>
      </c>
      <c r="D30" s="989">
        <v>966</v>
      </c>
      <c r="E30" s="988">
        <f t="shared" si="4"/>
        <v>170</v>
      </c>
      <c r="F30" s="987">
        <f t="shared" si="8"/>
        <v>180</v>
      </c>
      <c r="G30" s="551">
        <f t="shared" si="5"/>
        <v>0.59523809523809523</v>
      </c>
      <c r="H30" s="986">
        <f t="shared" si="6"/>
        <v>5.9523809523809527E-2</v>
      </c>
      <c r="I30" s="985">
        <f>SUM(H$13:H30)</f>
        <v>1.0309523809523808</v>
      </c>
      <c r="J30" s="554">
        <f t="shared" si="7"/>
        <v>0.57275132275132268</v>
      </c>
      <c r="K30" s="990"/>
      <c r="L30" s="556"/>
      <c r="M30" s="557"/>
      <c r="N30" s="582"/>
      <c r="O30" s="564"/>
      <c r="P30" s="564"/>
    </row>
    <row r="31" spans="1:16">
      <c r="A31" s="559">
        <v>575</v>
      </c>
      <c r="B31" s="543"/>
      <c r="C31" s="531">
        <v>190</v>
      </c>
      <c r="D31" s="989">
        <v>966</v>
      </c>
      <c r="E31" s="988">
        <f t="shared" si="4"/>
        <v>180</v>
      </c>
      <c r="F31" s="987">
        <f t="shared" si="8"/>
        <v>190</v>
      </c>
      <c r="G31" s="551">
        <f t="shared" si="5"/>
        <v>0.59523809523809523</v>
      </c>
      <c r="H31" s="986">
        <f t="shared" si="6"/>
        <v>5.9523809523809527E-2</v>
      </c>
      <c r="I31" s="985">
        <f>SUM(H$13:H31)</f>
        <v>1.0904761904761904</v>
      </c>
      <c r="J31" s="554">
        <f t="shared" si="7"/>
        <v>0.57393483709273174</v>
      </c>
      <c r="K31" s="990"/>
      <c r="L31" s="556"/>
      <c r="M31" s="557"/>
      <c r="N31" s="582"/>
      <c r="O31" s="564"/>
      <c r="P31" s="564"/>
    </row>
    <row r="32" spans="1:16">
      <c r="A32" s="559">
        <v>545</v>
      </c>
      <c r="B32" s="543"/>
      <c r="C32" s="531">
        <v>200</v>
      </c>
      <c r="D32" s="989">
        <v>966</v>
      </c>
      <c r="E32" s="988">
        <f t="shared" si="4"/>
        <v>190</v>
      </c>
      <c r="F32" s="987">
        <f t="shared" si="8"/>
        <v>200</v>
      </c>
      <c r="G32" s="551">
        <f t="shared" si="5"/>
        <v>0.56418219461697727</v>
      </c>
      <c r="H32" s="986">
        <f t="shared" si="6"/>
        <v>5.6418219461697727E-2</v>
      </c>
      <c r="I32" s="985">
        <f>SUM(H$13:H32)</f>
        <v>1.1468944099378882</v>
      </c>
      <c r="J32" s="554">
        <f t="shared" si="7"/>
        <v>0.57344720496894408</v>
      </c>
      <c r="K32" s="565" t="s">
        <v>225</v>
      </c>
      <c r="L32" s="556"/>
      <c r="M32" s="557"/>
      <c r="N32" s="582"/>
      <c r="O32" s="564"/>
      <c r="P32" s="564"/>
    </row>
    <row r="33" spans="1:17">
      <c r="A33" s="559"/>
      <c r="B33" s="543"/>
      <c r="C33" s="531"/>
      <c r="D33" s="989"/>
      <c r="E33" s="988"/>
      <c r="F33" s="987"/>
      <c r="G33" s="551"/>
      <c r="H33" s="986"/>
      <c r="I33" s="985"/>
      <c r="J33" s="554"/>
      <c r="K33" s="565"/>
      <c r="L33" s="556"/>
      <c r="M33" s="557"/>
      <c r="N33" s="582"/>
      <c r="O33" s="564"/>
      <c r="P33" s="564"/>
    </row>
    <row r="34" spans="1:17">
      <c r="A34" s="559"/>
      <c r="B34" s="543"/>
      <c r="C34" s="531"/>
      <c r="D34" s="989"/>
      <c r="E34" s="988"/>
      <c r="F34" s="987"/>
      <c r="G34" s="551"/>
      <c r="H34" s="986"/>
      <c r="I34" s="985"/>
      <c r="J34" s="554"/>
      <c r="K34" s="565"/>
      <c r="L34" s="556"/>
      <c r="M34" s="557"/>
      <c r="N34" s="594"/>
      <c r="O34" s="593"/>
      <c r="P34" s="593"/>
    </row>
    <row r="35" spans="1:17">
      <c r="A35" s="559"/>
      <c r="B35" s="543"/>
      <c r="C35" s="531"/>
      <c r="D35" s="989"/>
      <c r="E35" s="988"/>
      <c r="F35" s="987"/>
      <c r="G35" s="551"/>
      <c r="H35" s="986"/>
      <c r="I35" s="985"/>
      <c r="J35" s="554"/>
      <c r="K35" s="565"/>
      <c r="L35" s="556"/>
      <c r="M35" s="557"/>
      <c r="N35" s="595"/>
      <c r="O35" s="596"/>
      <c r="P35" s="597"/>
      <c r="Q35" s="596"/>
    </row>
    <row r="36" spans="1:17">
      <c r="A36" s="559"/>
      <c r="B36" s="543"/>
      <c r="C36" s="531"/>
      <c r="D36" s="989"/>
      <c r="E36" s="988"/>
      <c r="F36" s="987"/>
      <c r="G36" s="551"/>
      <c r="H36" s="986"/>
      <c r="I36" s="985"/>
      <c r="J36" s="554"/>
      <c r="K36" s="565"/>
      <c r="L36" s="556"/>
      <c r="M36" s="557"/>
      <c r="N36" s="595"/>
      <c r="O36" s="596"/>
      <c r="P36" s="598"/>
      <c r="Q36" s="596"/>
    </row>
    <row r="37" spans="1:17">
      <c r="A37" s="559"/>
      <c r="B37" s="543"/>
      <c r="C37" s="531"/>
      <c r="D37" s="989"/>
      <c r="E37" s="988"/>
      <c r="F37" s="987"/>
      <c r="G37" s="551"/>
      <c r="H37" s="986"/>
      <c r="I37" s="985"/>
      <c r="J37" s="554"/>
      <c r="K37" s="565"/>
      <c r="L37" s="556"/>
      <c r="M37" s="557"/>
      <c r="N37" s="599"/>
      <c r="O37" s="596"/>
      <c r="P37" s="596"/>
      <c r="Q37" s="596"/>
    </row>
    <row r="38" spans="1:17">
      <c r="A38" s="559"/>
      <c r="B38" s="543"/>
      <c r="C38" s="531"/>
      <c r="D38" s="989"/>
      <c r="E38" s="988"/>
      <c r="F38" s="987"/>
      <c r="G38" s="551"/>
      <c r="H38" s="986"/>
      <c r="I38" s="985"/>
      <c r="J38" s="554"/>
      <c r="K38" s="565"/>
      <c r="L38" s="556"/>
      <c r="M38" s="557"/>
      <c r="N38" s="600"/>
      <c r="O38" s="601"/>
      <c r="P38" s="593"/>
    </row>
    <row r="39" spans="1:17">
      <c r="A39" s="559"/>
      <c r="B39" s="543"/>
      <c r="C39" s="531"/>
      <c r="D39" s="989"/>
      <c r="E39" s="988"/>
      <c r="F39" s="987"/>
      <c r="G39" s="551"/>
      <c r="H39" s="986"/>
      <c r="I39" s="985"/>
      <c r="J39" s="554"/>
      <c r="K39" s="565"/>
      <c r="L39" s="556"/>
      <c r="M39" s="557"/>
      <c r="N39" s="601"/>
      <c r="O39" s="601"/>
      <c r="P39" s="593"/>
    </row>
    <row r="40" spans="1:17">
      <c r="A40" s="559"/>
      <c r="B40" s="543"/>
      <c r="C40" s="531"/>
      <c r="D40" s="989"/>
      <c r="E40" s="988"/>
      <c r="F40" s="987"/>
      <c r="G40" s="551"/>
      <c r="H40" s="986"/>
      <c r="I40" s="985"/>
      <c r="J40" s="554"/>
      <c r="K40" s="565"/>
      <c r="L40" s="556"/>
      <c r="M40" s="557"/>
      <c r="O40" s="593"/>
      <c r="P40" s="593"/>
    </row>
    <row r="41" spans="1:17">
      <c r="A41" s="559"/>
      <c r="B41" s="543"/>
      <c r="C41" s="531"/>
      <c r="D41" s="989"/>
      <c r="E41" s="988"/>
      <c r="F41" s="987"/>
      <c r="G41" s="551"/>
      <c r="H41" s="986"/>
      <c r="I41" s="985"/>
      <c r="J41" s="554"/>
      <c r="K41" s="565"/>
      <c r="L41" s="556"/>
      <c r="M41" s="557"/>
      <c r="O41" s="593"/>
      <c r="P41" s="593"/>
    </row>
    <row r="42" spans="1:17">
      <c r="A42" s="559"/>
      <c r="B42" s="543"/>
      <c r="C42" s="531"/>
      <c r="D42" s="989"/>
      <c r="E42" s="988"/>
      <c r="F42" s="987"/>
      <c r="G42" s="551"/>
      <c r="H42" s="986"/>
      <c r="I42" s="985"/>
      <c r="J42" s="554"/>
      <c r="K42" s="565"/>
      <c r="L42" s="556"/>
      <c r="M42" s="557"/>
      <c r="O42" s="593"/>
      <c r="P42" s="593"/>
    </row>
    <row r="43" spans="1:17">
      <c r="A43" s="559"/>
      <c r="B43" s="543"/>
      <c r="C43" s="531"/>
      <c r="D43" s="989"/>
      <c r="E43" s="988"/>
      <c r="F43" s="987"/>
      <c r="G43" s="551"/>
      <c r="H43" s="986"/>
      <c r="I43" s="985"/>
      <c r="J43" s="554"/>
      <c r="K43" s="565"/>
      <c r="L43" s="556"/>
      <c r="M43" s="557"/>
      <c r="O43" s="593"/>
      <c r="P43" s="593"/>
    </row>
    <row r="44" spans="1:17">
      <c r="A44" s="559"/>
      <c r="B44" s="543"/>
      <c r="C44" s="531"/>
      <c r="D44" s="989"/>
      <c r="E44" s="988"/>
      <c r="F44" s="987"/>
      <c r="G44" s="551"/>
      <c r="H44" s="986"/>
      <c r="I44" s="985"/>
      <c r="J44" s="554"/>
      <c r="K44" s="565"/>
      <c r="L44" s="556"/>
      <c r="M44" s="557"/>
      <c r="O44" s="593"/>
      <c r="P44" s="593"/>
    </row>
    <row r="45" spans="1:17">
      <c r="A45" s="559"/>
      <c r="B45" s="543"/>
      <c r="C45" s="531"/>
      <c r="D45" s="989"/>
      <c r="E45" s="988"/>
      <c r="F45" s="987"/>
      <c r="G45" s="551"/>
      <c r="H45" s="986"/>
      <c r="I45" s="985"/>
      <c r="J45" s="554"/>
      <c r="K45" s="565"/>
      <c r="L45" s="556"/>
      <c r="M45" s="557"/>
      <c r="O45" s="593"/>
      <c r="P45" s="593"/>
    </row>
    <row r="46" spans="1:17">
      <c r="A46" s="559"/>
      <c r="B46" s="543"/>
      <c r="C46" s="531"/>
      <c r="D46" s="989"/>
      <c r="E46" s="988"/>
      <c r="F46" s="987"/>
      <c r="G46" s="551"/>
      <c r="H46" s="986"/>
      <c r="I46" s="985"/>
      <c r="J46" s="554"/>
      <c r="K46" s="565"/>
      <c r="L46" s="556"/>
      <c r="M46" s="557"/>
      <c r="O46" s="593"/>
      <c r="P46" s="593"/>
    </row>
    <row r="47" spans="1:17">
      <c r="A47" s="559"/>
      <c r="B47" s="543"/>
      <c r="C47" s="531"/>
      <c r="D47" s="989"/>
      <c r="E47" s="988"/>
      <c r="F47" s="987"/>
      <c r="G47" s="551"/>
      <c r="H47" s="986"/>
      <c r="I47" s="985"/>
      <c r="J47" s="554"/>
      <c r="K47" s="565"/>
      <c r="L47" s="556"/>
      <c r="M47" s="557"/>
      <c r="O47" s="593"/>
      <c r="P47" s="593"/>
    </row>
    <row r="48" spans="1:17">
      <c r="A48" s="559"/>
      <c r="B48" s="543"/>
      <c r="C48" s="531"/>
      <c r="D48" s="989"/>
      <c r="E48" s="988"/>
      <c r="F48" s="987"/>
      <c r="G48" s="551"/>
      <c r="H48" s="986"/>
      <c r="I48" s="985"/>
      <c r="J48" s="554"/>
      <c r="K48" s="565"/>
      <c r="L48" s="556"/>
      <c r="M48" s="557"/>
      <c r="O48" s="593"/>
      <c r="P48" s="593"/>
    </row>
    <row r="49" spans="1:17">
      <c r="A49" s="559"/>
      <c r="B49" s="543"/>
      <c r="C49" s="531"/>
      <c r="D49" s="989"/>
      <c r="E49" s="988"/>
      <c r="F49" s="987"/>
      <c r="G49" s="551"/>
      <c r="H49" s="986"/>
      <c r="I49" s="985"/>
      <c r="J49" s="554"/>
      <c r="K49" s="565"/>
      <c r="L49" s="556"/>
      <c r="M49" s="557"/>
      <c r="O49" s="593"/>
      <c r="P49" s="593"/>
    </row>
    <row r="50" spans="1:17">
      <c r="A50" s="559"/>
      <c r="B50" s="543"/>
      <c r="C50" s="531"/>
      <c r="D50" s="989"/>
      <c r="E50" s="988"/>
      <c r="F50" s="987"/>
      <c r="G50" s="551"/>
      <c r="H50" s="986"/>
      <c r="I50" s="985"/>
      <c r="J50" s="554"/>
      <c r="K50" s="565"/>
      <c r="L50" s="556"/>
      <c r="M50" s="557"/>
      <c r="O50" s="593"/>
      <c r="P50" s="593"/>
    </row>
    <row r="51" spans="1:17">
      <c r="A51" s="559"/>
      <c r="B51" s="543"/>
      <c r="C51" s="531"/>
      <c r="D51" s="989"/>
      <c r="E51" s="988"/>
      <c r="F51" s="987"/>
      <c r="G51" s="551"/>
      <c r="H51" s="986"/>
      <c r="I51" s="985"/>
      <c r="J51" s="554"/>
      <c r="K51" s="565"/>
      <c r="L51" s="556"/>
      <c r="M51" s="557"/>
      <c r="O51" s="593"/>
      <c r="P51" s="593"/>
    </row>
    <row r="52" spans="1:17" ht="12" thickBot="1">
      <c r="A52" s="559"/>
      <c r="B52" s="543"/>
      <c r="C52" s="531"/>
      <c r="D52" s="989"/>
      <c r="E52" s="988"/>
      <c r="F52" s="987"/>
      <c r="G52" s="551"/>
      <c r="H52" s="986"/>
      <c r="I52" s="985"/>
      <c r="J52" s="554"/>
      <c r="K52" s="565"/>
      <c r="L52" s="556"/>
      <c r="M52" s="602"/>
      <c r="O52" s="593"/>
      <c r="P52" s="593"/>
    </row>
    <row r="53" spans="1:17">
      <c r="A53" s="559"/>
      <c r="B53" s="543"/>
      <c r="C53" s="531"/>
      <c r="D53" s="989"/>
      <c r="E53" s="988"/>
      <c r="F53" s="987"/>
      <c r="G53" s="551"/>
      <c r="H53" s="986"/>
      <c r="I53" s="985"/>
      <c r="J53" s="554"/>
      <c r="K53" s="565"/>
      <c r="L53" s="603" t="s">
        <v>158</v>
      </c>
      <c r="M53" s="604">
        <f>AVERAGE(M12:M52)</f>
        <v>207</v>
      </c>
      <c r="O53" s="593"/>
      <c r="P53" s="593"/>
    </row>
    <row r="54" spans="1:17">
      <c r="A54" s="559"/>
      <c r="B54" s="543"/>
      <c r="C54" s="531"/>
      <c r="D54" s="989"/>
      <c r="E54" s="988"/>
      <c r="F54" s="987"/>
      <c r="G54" s="551"/>
      <c r="H54" s="986"/>
      <c r="I54" s="985"/>
      <c r="J54" s="554"/>
      <c r="K54" s="565"/>
      <c r="L54" s="433" t="s">
        <v>159</v>
      </c>
      <c r="M54" s="602" t="e">
        <f>STDEV(M12:M52)</f>
        <v>#DIV/0!</v>
      </c>
      <c r="N54" s="605"/>
      <c r="P54" s="593"/>
    </row>
    <row r="55" spans="1:17">
      <c r="A55" s="606" t="s">
        <v>160</v>
      </c>
      <c r="B55" s="607"/>
      <c r="C55" s="608"/>
      <c r="D55" s="984"/>
      <c r="E55" s="983"/>
      <c r="F55" s="982"/>
      <c r="G55" s="613"/>
      <c r="H55" s="981"/>
      <c r="I55" s="980"/>
      <c r="J55" s="616"/>
      <c r="K55" s="617"/>
      <c r="L55" s="433" t="s">
        <v>161</v>
      </c>
      <c r="M55" s="602" t="e">
        <f>M54/SQRT(COUNT(M12:M51))</f>
        <v>#DIV/0!</v>
      </c>
      <c r="N55" s="600"/>
      <c r="Q55" s="605"/>
    </row>
    <row r="56" spans="1:17">
      <c r="A56" s="618"/>
      <c r="B56" s="619"/>
      <c r="C56" s="620"/>
      <c r="D56" s="979"/>
      <c r="E56" s="978"/>
      <c r="F56" s="977"/>
      <c r="G56" s="976"/>
      <c r="H56" s="626"/>
      <c r="I56" s="975"/>
      <c r="J56" s="974"/>
      <c r="K56" s="629"/>
      <c r="L56" s="433" t="s">
        <v>162</v>
      </c>
      <c r="M56" s="602">
        <f>MAX(M12:M51)</f>
        <v>207</v>
      </c>
      <c r="N56" s="600"/>
      <c r="O56" s="593"/>
      <c r="P56" s="593"/>
    </row>
    <row r="57" spans="1:17" ht="12" thickBot="1">
      <c r="A57" s="630"/>
      <c r="B57" s="631"/>
      <c r="C57" s="632"/>
      <c r="D57" s="973"/>
      <c r="E57" s="972"/>
      <c r="F57" s="971"/>
      <c r="G57" s="970"/>
      <c r="H57" s="638"/>
      <c r="I57" s="969"/>
      <c r="J57" s="968"/>
      <c r="K57" s="641"/>
      <c r="L57" s="642" t="s">
        <v>163</v>
      </c>
      <c r="M57" s="643">
        <f>MIN(M12:M51)</f>
        <v>207</v>
      </c>
      <c r="N57" s="605"/>
      <c r="O57" s="593"/>
      <c r="P57" s="593"/>
    </row>
    <row r="58" spans="1:17">
      <c r="A58" s="644"/>
      <c r="B58" s="644"/>
      <c r="C58" s="645"/>
      <c r="D58" s="646"/>
      <c r="E58" s="646"/>
      <c r="F58" s="646"/>
      <c r="G58" s="647"/>
      <c r="H58" s="648"/>
      <c r="I58" s="649"/>
      <c r="J58" s="650"/>
      <c r="K58" s="651"/>
      <c r="L58" s="652"/>
      <c r="M58" s="605"/>
      <c r="O58" s="593"/>
      <c r="P58" s="593"/>
    </row>
    <row r="59" spans="1:17">
      <c r="A59" s="605"/>
      <c r="B59" s="605"/>
      <c r="C59" s="654"/>
      <c r="D59" s="654"/>
      <c r="E59" s="654"/>
      <c r="F59" s="654"/>
      <c r="G59" s="649"/>
      <c r="H59" s="648"/>
      <c r="I59" s="649"/>
      <c r="J59" s="650"/>
      <c r="K59" s="655"/>
      <c r="L59" s="652"/>
      <c r="M59" s="605"/>
      <c r="O59" s="593"/>
      <c r="P59" s="593"/>
    </row>
    <row r="60" spans="1:17">
      <c r="A60" s="656"/>
      <c r="B60" s="656"/>
      <c r="C60" s="656"/>
      <c r="D60" s="656"/>
      <c r="E60" s="650"/>
      <c r="F60" s="657"/>
      <c r="G60" s="605"/>
      <c r="H60" s="593"/>
      <c r="I60" s="605"/>
      <c r="J60" s="593"/>
      <c r="K60" s="593"/>
      <c r="L60" s="605"/>
      <c r="M60" s="605"/>
      <c r="O60" s="593"/>
      <c r="P60" s="593"/>
    </row>
    <row r="61" spans="1:17">
      <c r="A61" s="658"/>
      <c r="B61" s="658"/>
      <c r="C61" s="656"/>
      <c r="D61" s="656"/>
      <c r="E61" s="650"/>
      <c r="F61" s="657"/>
      <c r="G61" s="593"/>
      <c r="H61" s="593"/>
      <c r="I61" s="605"/>
      <c r="J61" s="593"/>
      <c r="K61" s="593"/>
      <c r="L61" s="605"/>
      <c r="M61" s="605"/>
      <c r="O61" s="593"/>
      <c r="P61" s="593"/>
    </row>
    <row r="62" spans="1:17">
      <c r="A62" s="502"/>
      <c r="B62" s="502"/>
      <c r="C62" s="656"/>
      <c r="D62" s="656"/>
      <c r="E62" s="650"/>
      <c r="F62" s="657"/>
      <c r="G62" s="593"/>
      <c r="H62" s="593"/>
      <c r="I62" s="605"/>
      <c r="J62" s="593"/>
      <c r="K62" s="593"/>
      <c r="L62" s="605"/>
      <c r="M62" s="605"/>
      <c r="O62" s="593"/>
      <c r="P62" s="593"/>
    </row>
    <row r="63" spans="1:17">
      <c r="A63" s="656"/>
      <c r="B63" s="656"/>
      <c r="C63" s="656"/>
      <c r="D63" s="656"/>
      <c r="E63" s="650"/>
      <c r="F63" s="657"/>
      <c r="G63" s="593"/>
      <c r="H63" s="593"/>
      <c r="I63" s="605"/>
      <c r="J63" s="593"/>
      <c r="K63" s="593"/>
      <c r="L63" s="605"/>
      <c r="M63" s="605"/>
      <c r="O63" s="593"/>
      <c r="P63" s="593"/>
    </row>
    <row r="64" spans="1:17">
      <c r="A64" s="656"/>
      <c r="B64" s="656"/>
      <c r="C64" s="656"/>
      <c r="D64" s="656"/>
      <c r="E64" s="650"/>
      <c r="F64" s="657"/>
      <c r="G64" s="593"/>
      <c r="H64" s="593"/>
      <c r="I64" s="605"/>
      <c r="J64" s="649"/>
      <c r="K64" s="593"/>
      <c r="L64" s="605"/>
      <c r="M64" s="605"/>
      <c r="O64" s="593"/>
      <c r="P64" s="593"/>
    </row>
    <row r="65" spans="1:16">
      <c r="A65" s="656"/>
      <c r="B65" s="656"/>
      <c r="C65" s="656"/>
      <c r="D65" s="656"/>
      <c r="E65" s="650"/>
      <c r="F65" s="657"/>
      <c r="G65" s="593"/>
      <c r="H65" s="593"/>
      <c r="I65" s="605"/>
      <c r="J65" s="649"/>
      <c r="K65" s="593"/>
      <c r="L65" s="605"/>
      <c r="M65" s="605"/>
      <c r="O65" s="593"/>
      <c r="P65" s="593"/>
    </row>
    <row r="66" spans="1:16">
      <c r="A66" s="656"/>
      <c r="B66" s="656"/>
      <c r="C66" s="656"/>
      <c r="D66" s="656"/>
      <c r="E66" s="650"/>
      <c r="F66" s="657"/>
      <c r="G66" s="593"/>
      <c r="H66" s="593"/>
      <c r="I66" s="605"/>
      <c r="J66" s="593"/>
      <c r="K66" s="593"/>
      <c r="L66" s="605"/>
      <c r="M66" s="605"/>
      <c r="O66" s="593"/>
      <c r="P66" s="593"/>
    </row>
    <row r="67" spans="1:16">
      <c r="A67" s="656"/>
      <c r="B67" s="656"/>
      <c r="C67" s="656"/>
      <c r="D67" s="656"/>
      <c r="E67" s="650"/>
      <c r="F67" s="657"/>
      <c r="G67" s="593"/>
      <c r="H67" s="593"/>
      <c r="I67" s="605"/>
      <c r="J67" s="593"/>
      <c r="K67" s="593"/>
      <c r="L67" s="605"/>
      <c r="M67" s="605"/>
      <c r="O67" s="593"/>
      <c r="P67" s="593"/>
    </row>
    <row r="68" spans="1:16">
      <c r="A68" s="656"/>
      <c r="B68" s="656"/>
      <c r="C68" s="656"/>
      <c r="D68" s="656"/>
      <c r="E68" s="650"/>
      <c r="F68" s="657"/>
      <c r="G68" s="593"/>
      <c r="H68" s="593"/>
      <c r="I68" s="605"/>
      <c r="J68" s="593"/>
      <c r="K68" s="593"/>
      <c r="L68" s="605"/>
      <c r="M68" s="605"/>
      <c r="O68" s="593"/>
      <c r="P68" s="593"/>
    </row>
    <row r="69" spans="1:16">
      <c r="A69" s="656"/>
      <c r="B69" s="656"/>
      <c r="C69" s="656"/>
      <c r="D69" s="656"/>
      <c r="E69" s="650"/>
      <c r="F69" s="657"/>
      <c r="G69" s="593"/>
      <c r="H69" s="593"/>
      <c r="I69" s="605"/>
      <c r="J69" s="593"/>
      <c r="K69" s="593"/>
      <c r="L69" s="605"/>
      <c r="M69" s="605"/>
      <c r="O69" s="593"/>
      <c r="P69" s="593"/>
    </row>
    <row r="70" spans="1:16">
      <c r="A70" s="656"/>
      <c r="B70" s="656"/>
      <c r="C70" s="656"/>
      <c r="D70" s="656"/>
      <c r="E70" s="650"/>
      <c r="F70" s="657"/>
      <c r="G70" s="593"/>
      <c r="H70" s="593"/>
      <c r="I70" s="605"/>
      <c r="J70" s="593"/>
      <c r="K70" s="593"/>
      <c r="L70" s="605"/>
      <c r="M70" s="605"/>
      <c r="O70" s="593"/>
      <c r="P70" s="593"/>
    </row>
    <row r="71" spans="1:16">
      <c r="A71" s="656"/>
      <c r="B71" s="656"/>
      <c r="C71" s="656"/>
      <c r="D71" s="656"/>
      <c r="E71" s="650"/>
      <c r="F71" s="657"/>
      <c r="G71" s="593"/>
      <c r="H71" s="593"/>
      <c r="I71" s="605"/>
      <c r="J71" s="593"/>
      <c r="K71" s="593"/>
      <c r="L71" s="605"/>
      <c r="O71" s="593"/>
      <c r="P71" s="593"/>
    </row>
    <row r="72" spans="1:16">
      <c r="A72" s="656"/>
      <c r="B72" s="656"/>
      <c r="C72" s="656"/>
      <c r="D72" s="656"/>
      <c r="E72" s="650"/>
      <c r="F72" s="657"/>
      <c r="G72" s="593"/>
      <c r="H72" s="593"/>
      <c r="I72" s="605"/>
      <c r="J72" s="593"/>
      <c r="K72" s="593"/>
      <c r="L72" s="605"/>
      <c r="O72" s="593"/>
      <c r="P72" s="593"/>
    </row>
    <row r="73" spans="1:16">
      <c r="A73" s="656"/>
      <c r="B73" s="656"/>
      <c r="C73" s="656"/>
      <c r="D73" s="656"/>
      <c r="E73" s="650"/>
      <c r="F73" s="657"/>
      <c r="G73" s="593"/>
      <c r="H73" s="593"/>
      <c r="I73" s="605"/>
      <c r="J73" s="593"/>
      <c r="K73" s="593"/>
      <c r="L73" s="593"/>
      <c r="O73" s="593"/>
      <c r="P73" s="593"/>
    </row>
    <row r="74" spans="1:16">
      <c r="A74" s="656"/>
      <c r="B74" s="656"/>
      <c r="C74" s="656"/>
      <c r="D74" s="656"/>
      <c r="E74" s="650"/>
      <c r="F74" s="657"/>
      <c r="G74" s="593"/>
      <c r="H74" s="593"/>
      <c r="I74" s="605"/>
      <c r="J74" s="593"/>
      <c r="K74" s="593"/>
      <c r="L74" s="593"/>
      <c r="O74" s="593"/>
      <c r="P74" s="593"/>
    </row>
    <row r="75" spans="1:16">
      <c r="A75" s="656"/>
      <c r="B75" s="656"/>
      <c r="C75" s="656"/>
      <c r="D75" s="656"/>
      <c r="E75" s="650"/>
      <c r="F75" s="657"/>
      <c r="G75" s="593"/>
      <c r="H75" s="593"/>
      <c r="I75" s="605"/>
      <c r="J75" s="593"/>
      <c r="K75" s="593"/>
      <c r="L75" s="593"/>
      <c r="O75" s="593"/>
      <c r="P75" s="593"/>
    </row>
    <row r="76" spans="1:16">
      <c r="A76" s="656"/>
      <c r="B76" s="656"/>
      <c r="C76" s="656"/>
      <c r="D76" s="656"/>
      <c r="E76" s="650"/>
      <c r="F76" s="657"/>
      <c r="G76" s="593"/>
      <c r="H76" s="593"/>
      <c r="I76" s="605"/>
      <c r="J76" s="593"/>
      <c r="K76" s="593"/>
      <c r="L76" s="593"/>
      <c r="O76" s="593"/>
      <c r="P76" s="593"/>
    </row>
    <row r="77" spans="1:16">
      <c r="A77" s="656"/>
      <c r="B77" s="656"/>
      <c r="C77" s="656"/>
      <c r="D77" s="656"/>
      <c r="E77" s="650"/>
      <c r="F77" s="657"/>
      <c r="G77" s="593"/>
      <c r="H77" s="593"/>
      <c r="I77" s="605"/>
      <c r="J77" s="593"/>
      <c r="K77" s="593"/>
      <c r="L77" s="593"/>
      <c r="O77" s="593"/>
      <c r="P77" s="593"/>
    </row>
    <row r="78" spans="1:16">
      <c r="A78" s="656"/>
      <c r="B78" s="656"/>
      <c r="C78" s="656"/>
      <c r="D78" s="656"/>
      <c r="E78" s="650"/>
      <c r="F78" s="657"/>
      <c r="G78" s="593"/>
      <c r="H78" s="593"/>
      <c r="I78" s="605"/>
      <c r="J78" s="593"/>
      <c r="K78" s="593"/>
      <c r="L78" s="593"/>
      <c r="O78" s="593"/>
      <c r="P78" s="593"/>
    </row>
    <row r="79" spans="1:16">
      <c r="A79" s="656"/>
      <c r="B79" s="656"/>
      <c r="C79" s="656"/>
      <c r="D79" s="656"/>
      <c r="E79" s="650"/>
      <c r="F79" s="657"/>
      <c r="G79" s="593"/>
      <c r="H79" s="593"/>
      <c r="I79" s="605"/>
      <c r="J79" s="593"/>
      <c r="K79" s="593"/>
      <c r="L79" s="593"/>
      <c r="O79" s="593"/>
      <c r="P79" s="593"/>
    </row>
    <row r="80" spans="1:16">
      <c r="A80" s="656"/>
      <c r="B80" s="656"/>
      <c r="C80" s="656"/>
      <c r="D80" s="656"/>
      <c r="E80" s="650"/>
      <c r="F80" s="657"/>
      <c r="G80" s="593"/>
      <c r="H80" s="593"/>
      <c r="I80" s="605"/>
      <c r="J80" s="593"/>
      <c r="K80" s="593"/>
      <c r="L80" s="593"/>
      <c r="O80" s="593"/>
      <c r="P80" s="593"/>
    </row>
    <row r="81" spans="1:17">
      <c r="A81" s="656"/>
      <c r="B81" s="656"/>
      <c r="C81" s="656"/>
      <c r="D81" s="656"/>
      <c r="E81" s="650"/>
      <c r="F81" s="657"/>
      <c r="G81" s="593"/>
      <c r="H81" s="593"/>
      <c r="I81" s="605"/>
      <c r="J81" s="593"/>
      <c r="K81" s="593"/>
      <c r="L81" s="593"/>
      <c r="O81" s="593"/>
      <c r="P81" s="593"/>
    </row>
    <row r="82" spans="1:17">
      <c r="A82" s="656"/>
      <c r="B82" s="656"/>
      <c r="C82" s="656"/>
      <c r="D82" s="656"/>
      <c r="E82" s="650"/>
      <c r="F82" s="657"/>
      <c r="G82" s="593"/>
      <c r="H82" s="593"/>
      <c r="I82" s="605"/>
      <c r="J82" s="593"/>
      <c r="K82" s="593"/>
      <c r="L82" s="593"/>
      <c r="O82" s="593"/>
      <c r="P82" s="593"/>
    </row>
    <row r="83" spans="1:17">
      <c r="A83" s="656"/>
      <c r="B83" s="656"/>
      <c r="C83" s="656"/>
      <c r="D83" s="656"/>
      <c r="E83" s="650"/>
      <c r="F83" s="657"/>
      <c r="G83" s="593"/>
      <c r="H83" s="593"/>
      <c r="I83" s="605"/>
      <c r="J83" s="593"/>
      <c r="K83" s="593"/>
      <c r="L83" s="593"/>
      <c r="O83" s="593"/>
      <c r="P83" s="593"/>
    </row>
    <row r="84" spans="1:17">
      <c r="A84" s="656"/>
      <c r="B84" s="656"/>
      <c r="C84" s="656"/>
      <c r="D84" s="656"/>
      <c r="E84" s="650"/>
      <c r="F84" s="657"/>
      <c r="G84" s="653"/>
      <c r="H84" s="593"/>
      <c r="I84" s="605"/>
      <c r="J84" s="593"/>
      <c r="K84" s="593"/>
      <c r="L84" s="593"/>
      <c r="O84" s="593"/>
      <c r="P84" s="593"/>
    </row>
    <row r="85" spans="1:17">
      <c r="A85" s="656"/>
      <c r="B85" s="656"/>
      <c r="C85" s="656"/>
      <c r="D85" s="656"/>
      <c r="E85" s="650"/>
      <c r="F85" s="657"/>
      <c r="G85" s="653"/>
      <c r="H85" s="593"/>
      <c r="I85" s="605"/>
      <c r="J85" s="593"/>
      <c r="K85" s="593"/>
      <c r="L85" s="593"/>
      <c r="O85" s="593"/>
      <c r="P85" s="593"/>
    </row>
    <row r="86" spans="1:17">
      <c r="A86" s="656"/>
      <c r="B86" s="656"/>
      <c r="C86" s="656"/>
      <c r="D86" s="656"/>
      <c r="E86" s="650"/>
      <c r="F86" s="657"/>
      <c r="G86" s="653"/>
      <c r="H86" s="593"/>
      <c r="I86" s="605"/>
      <c r="J86" s="593"/>
      <c r="K86" s="593"/>
      <c r="L86" s="593"/>
      <c r="O86" s="593"/>
      <c r="P86" s="593"/>
    </row>
    <row r="87" spans="1:17">
      <c r="A87" s="656"/>
      <c r="B87" s="656"/>
      <c r="C87" s="656"/>
      <c r="D87" s="656"/>
      <c r="E87" s="650"/>
      <c r="F87" s="657"/>
      <c r="G87" s="653"/>
      <c r="H87" s="593"/>
      <c r="I87" s="605"/>
      <c r="J87" s="593"/>
      <c r="K87" s="593"/>
      <c r="L87" s="593"/>
      <c r="O87" s="593"/>
      <c r="P87" s="593"/>
    </row>
    <row r="88" spans="1:17">
      <c r="A88" s="656"/>
      <c r="B88" s="656"/>
      <c r="C88" s="656"/>
      <c r="D88" s="656"/>
      <c r="E88" s="650"/>
      <c r="F88" s="657"/>
      <c r="G88" s="593"/>
      <c r="H88" s="593"/>
      <c r="I88" s="605"/>
      <c r="J88" s="593"/>
      <c r="K88" s="593"/>
      <c r="L88" s="593"/>
      <c r="O88" s="593"/>
      <c r="P88" s="593"/>
    </row>
    <row r="89" spans="1:17">
      <c r="A89" s="656"/>
      <c r="B89" s="656"/>
      <c r="C89" s="656"/>
      <c r="D89" s="656"/>
      <c r="E89" s="650"/>
      <c r="F89" s="657"/>
      <c r="G89" s="593"/>
      <c r="H89" s="593"/>
      <c r="I89" s="605"/>
      <c r="J89" s="593"/>
      <c r="K89" s="593"/>
      <c r="L89" s="593"/>
      <c r="O89" s="593"/>
      <c r="P89" s="593"/>
    </row>
    <row r="90" spans="1:17" s="656" customFormat="1">
      <c r="E90" s="650"/>
      <c r="F90" s="657"/>
      <c r="G90" s="593"/>
      <c r="H90" s="593"/>
      <c r="I90" s="605"/>
      <c r="J90" s="593"/>
      <c r="K90" s="593"/>
      <c r="L90" s="593"/>
      <c r="M90" s="593"/>
      <c r="N90" s="593"/>
      <c r="O90" s="593"/>
      <c r="P90" s="593"/>
      <c r="Q90" s="593"/>
    </row>
    <row r="91" spans="1:17" s="656" customFormat="1">
      <c r="E91" s="650"/>
      <c r="F91" s="657"/>
      <c r="G91" s="593"/>
      <c r="H91" s="593"/>
      <c r="I91" s="605"/>
      <c r="J91" s="593"/>
      <c r="K91" s="593"/>
      <c r="L91" s="593"/>
      <c r="M91" s="593"/>
      <c r="N91" s="593"/>
      <c r="O91" s="593"/>
      <c r="P91" s="593"/>
      <c r="Q91" s="593"/>
    </row>
    <row r="92" spans="1:17" s="656" customFormat="1">
      <c r="E92" s="650"/>
      <c r="F92" s="657"/>
      <c r="G92" s="593"/>
      <c r="H92" s="593"/>
      <c r="I92" s="605"/>
      <c r="J92" s="593"/>
      <c r="K92" s="593"/>
      <c r="L92" s="593"/>
      <c r="M92" s="593"/>
      <c r="N92" s="593"/>
      <c r="O92" s="593"/>
      <c r="P92" s="593"/>
      <c r="Q92" s="593"/>
    </row>
    <row r="93" spans="1:17" s="656" customFormat="1">
      <c r="E93" s="650"/>
      <c r="F93" s="657"/>
      <c r="G93" s="593"/>
      <c r="H93" s="593"/>
      <c r="I93" s="605"/>
      <c r="J93" s="593"/>
      <c r="K93" s="593"/>
      <c r="L93" s="593"/>
      <c r="M93" s="593"/>
      <c r="N93" s="593"/>
      <c r="O93" s="593"/>
      <c r="P93" s="593"/>
      <c r="Q93" s="593"/>
    </row>
    <row r="94" spans="1:17" s="656" customFormat="1">
      <c r="E94" s="650"/>
      <c r="F94" s="657"/>
      <c r="G94" s="593"/>
      <c r="H94" s="593"/>
      <c r="I94" s="605"/>
      <c r="J94" s="593"/>
      <c r="K94" s="593"/>
      <c r="L94" s="593"/>
      <c r="M94" s="593"/>
      <c r="N94" s="593"/>
      <c r="O94" s="593"/>
      <c r="P94" s="593"/>
      <c r="Q94" s="593"/>
    </row>
    <row r="95" spans="1:17" s="656" customFormat="1">
      <c r="E95" s="650"/>
      <c r="F95" s="657"/>
      <c r="G95" s="593"/>
      <c r="H95" s="593"/>
      <c r="I95" s="605"/>
      <c r="J95" s="593"/>
      <c r="K95" s="593"/>
      <c r="L95" s="593"/>
      <c r="M95" s="593"/>
    </row>
    <row r="96" spans="1:17" s="656" customFormat="1">
      <c r="E96" s="650"/>
      <c r="F96" s="657"/>
      <c r="G96" s="593"/>
      <c r="H96" s="593"/>
      <c r="I96" s="605"/>
      <c r="J96" s="593"/>
      <c r="K96" s="593"/>
      <c r="L96" s="593"/>
      <c r="M96" s="593"/>
    </row>
    <row r="97" spans="5:13" s="656" customFormat="1">
      <c r="E97" s="650"/>
      <c r="F97" s="657"/>
      <c r="G97" s="593"/>
      <c r="H97" s="593"/>
      <c r="I97" s="605"/>
      <c r="J97" s="593"/>
      <c r="K97" s="593"/>
      <c r="L97" s="593"/>
      <c r="M97" s="593"/>
    </row>
    <row r="98" spans="5:13" s="656" customFormat="1">
      <c r="E98" s="650"/>
      <c r="F98" s="657"/>
      <c r="G98" s="593"/>
      <c r="H98" s="593"/>
      <c r="I98" s="605"/>
      <c r="J98" s="593"/>
      <c r="K98" s="593"/>
      <c r="L98" s="593"/>
      <c r="M98" s="593"/>
    </row>
    <row r="99" spans="5:13" s="656" customFormat="1">
      <c r="E99" s="650"/>
      <c r="F99" s="657"/>
      <c r="G99" s="593"/>
      <c r="H99" s="593"/>
      <c r="I99" s="605"/>
      <c r="J99" s="593"/>
      <c r="K99" s="593"/>
      <c r="L99" s="593"/>
      <c r="M99" s="593"/>
    </row>
    <row r="100" spans="5:13" s="656" customFormat="1">
      <c r="E100" s="650"/>
      <c r="F100" s="657"/>
      <c r="G100" s="593"/>
      <c r="H100" s="593"/>
      <c r="I100" s="605"/>
      <c r="J100" s="593"/>
      <c r="K100" s="593"/>
      <c r="L100" s="593"/>
      <c r="M100" s="593"/>
    </row>
    <row r="101" spans="5:13" s="656" customFormat="1">
      <c r="E101" s="650"/>
      <c r="F101" s="657"/>
      <c r="G101" s="593"/>
      <c r="H101" s="593"/>
      <c r="I101" s="605"/>
      <c r="J101" s="593"/>
      <c r="K101" s="593"/>
      <c r="L101" s="593"/>
      <c r="M101" s="593"/>
    </row>
    <row r="102" spans="5:13" s="656" customFormat="1">
      <c r="E102" s="650"/>
      <c r="F102" s="657"/>
      <c r="G102" s="593"/>
      <c r="H102" s="593"/>
      <c r="I102" s="605"/>
      <c r="J102" s="593"/>
      <c r="K102" s="593"/>
      <c r="L102" s="593"/>
      <c r="M102" s="593"/>
    </row>
    <row r="103" spans="5:13" s="656" customFormat="1">
      <c r="E103" s="650"/>
      <c r="F103" s="657"/>
      <c r="G103" s="593"/>
      <c r="H103" s="593"/>
      <c r="I103" s="605"/>
      <c r="J103" s="593"/>
      <c r="K103" s="593"/>
      <c r="L103" s="593"/>
      <c r="M103" s="593"/>
    </row>
    <row r="104" spans="5:13" s="656" customFormat="1">
      <c r="E104" s="650"/>
      <c r="F104" s="657"/>
      <c r="G104" s="593"/>
      <c r="H104" s="593"/>
      <c r="I104" s="605"/>
      <c r="J104" s="593"/>
      <c r="K104" s="593"/>
      <c r="L104" s="593"/>
      <c r="M104" s="593"/>
    </row>
    <row r="105" spans="5:13" s="656" customFormat="1">
      <c r="E105" s="650"/>
      <c r="F105" s="657"/>
      <c r="G105" s="593"/>
      <c r="H105" s="593"/>
      <c r="I105" s="605"/>
      <c r="J105" s="593"/>
      <c r="K105" s="593"/>
      <c r="L105" s="593"/>
      <c r="M105" s="593"/>
    </row>
    <row r="106" spans="5:13" s="656" customFormat="1">
      <c r="E106" s="650"/>
      <c r="F106" s="657"/>
      <c r="G106" s="593"/>
      <c r="H106" s="593"/>
      <c r="I106" s="605"/>
      <c r="J106" s="593"/>
      <c r="K106" s="593"/>
      <c r="L106" s="593"/>
      <c r="M106" s="593"/>
    </row>
    <row r="107" spans="5:13" s="656" customFormat="1">
      <c r="E107" s="650"/>
      <c r="F107" s="657"/>
      <c r="G107" s="593"/>
      <c r="H107" s="593"/>
      <c r="I107" s="605"/>
      <c r="J107" s="593"/>
      <c r="K107" s="593"/>
      <c r="L107" s="593"/>
      <c r="M107" s="593"/>
    </row>
    <row r="108" spans="5:13" s="656" customFormat="1">
      <c r="E108" s="650"/>
      <c r="F108" s="657"/>
      <c r="G108" s="593"/>
      <c r="H108" s="593"/>
      <c r="I108" s="605"/>
      <c r="J108" s="593"/>
      <c r="K108" s="593"/>
      <c r="L108" s="593"/>
      <c r="M108" s="593"/>
    </row>
    <row r="109" spans="5:13" s="656" customFormat="1">
      <c r="E109" s="650"/>
      <c r="F109" s="657"/>
      <c r="G109" s="593"/>
      <c r="H109" s="593"/>
      <c r="I109" s="605"/>
      <c r="J109" s="593"/>
      <c r="K109" s="593"/>
      <c r="L109" s="593"/>
      <c r="M109" s="593"/>
    </row>
    <row r="110" spans="5:13" s="656" customFormat="1">
      <c r="E110" s="650"/>
      <c r="F110" s="657"/>
      <c r="G110" s="593"/>
      <c r="H110" s="593"/>
      <c r="I110" s="605"/>
      <c r="J110" s="593"/>
      <c r="K110" s="593"/>
      <c r="L110" s="593"/>
    </row>
    <row r="111" spans="5:13" s="656" customFormat="1">
      <c r="E111" s="650"/>
      <c r="F111" s="657"/>
      <c r="G111" s="593"/>
      <c r="H111" s="593"/>
      <c r="I111" s="605"/>
      <c r="J111" s="593"/>
      <c r="K111" s="593"/>
      <c r="L111" s="593"/>
    </row>
    <row r="112" spans="5:13" s="656" customFormat="1">
      <c r="E112" s="650"/>
      <c r="F112" s="657"/>
      <c r="G112" s="593"/>
      <c r="H112" s="593"/>
      <c r="I112" s="605"/>
      <c r="J112" s="593"/>
      <c r="K112" s="593"/>
      <c r="L112" s="593"/>
    </row>
    <row r="113" spans="5:12" s="656" customFormat="1">
      <c r="E113" s="650"/>
      <c r="F113" s="657"/>
      <c r="G113" s="593"/>
      <c r="H113" s="593"/>
      <c r="I113" s="605"/>
      <c r="J113" s="593"/>
      <c r="K113" s="593"/>
      <c r="L113" s="593"/>
    </row>
    <row r="114" spans="5:12" s="656" customFormat="1">
      <c r="E114" s="650"/>
      <c r="F114" s="657"/>
      <c r="G114" s="593"/>
      <c r="H114" s="593"/>
      <c r="I114" s="605"/>
      <c r="J114" s="593"/>
      <c r="K114" s="593"/>
      <c r="L114" s="593"/>
    </row>
    <row r="115" spans="5:12" s="656" customFormat="1">
      <c r="E115" s="650"/>
      <c r="F115" s="657"/>
      <c r="G115" s="593"/>
      <c r="H115" s="593"/>
      <c r="I115" s="605"/>
      <c r="J115" s="593"/>
      <c r="K115" s="593"/>
      <c r="L115" s="593"/>
    </row>
    <row r="116" spans="5:12" s="656" customFormat="1">
      <c r="E116" s="650"/>
      <c r="F116" s="657"/>
      <c r="G116" s="593"/>
      <c r="H116" s="593"/>
      <c r="I116" s="605"/>
      <c r="J116" s="593"/>
      <c r="K116" s="593"/>
      <c r="L116" s="593"/>
    </row>
    <row r="117" spans="5:12" s="656" customFormat="1">
      <c r="E117" s="650"/>
      <c r="F117" s="657"/>
      <c r="G117" s="593"/>
      <c r="H117" s="593"/>
      <c r="I117" s="605"/>
      <c r="J117" s="593"/>
      <c r="K117" s="593"/>
      <c r="L117" s="593"/>
    </row>
    <row r="118" spans="5:12" s="656" customFormat="1">
      <c r="E118" s="650"/>
      <c r="F118" s="657"/>
      <c r="G118" s="593"/>
      <c r="H118" s="593"/>
      <c r="I118" s="605"/>
      <c r="J118" s="593"/>
      <c r="K118" s="593"/>
      <c r="L118" s="593"/>
    </row>
    <row r="119" spans="5:12" s="656" customFormat="1">
      <c r="E119" s="650"/>
      <c r="F119" s="657"/>
      <c r="G119" s="593"/>
      <c r="H119" s="593"/>
      <c r="I119" s="605"/>
      <c r="J119" s="593"/>
      <c r="K119" s="593"/>
      <c r="L119" s="593"/>
    </row>
    <row r="120" spans="5:12" s="656" customFormat="1">
      <c r="E120" s="650"/>
      <c r="F120" s="657"/>
      <c r="G120" s="593"/>
      <c r="H120" s="593"/>
      <c r="I120" s="605"/>
      <c r="J120" s="593"/>
      <c r="K120" s="593"/>
      <c r="L120" s="593"/>
    </row>
    <row r="121" spans="5:12" s="656" customFormat="1">
      <c r="E121" s="650"/>
      <c r="F121" s="657"/>
      <c r="G121" s="593"/>
      <c r="H121" s="593"/>
      <c r="I121" s="605"/>
      <c r="J121" s="593"/>
      <c r="K121" s="593"/>
      <c r="L121" s="593"/>
    </row>
    <row r="122" spans="5:12" s="656" customFormat="1">
      <c r="E122" s="650"/>
      <c r="F122" s="657"/>
      <c r="G122" s="593"/>
      <c r="H122" s="593"/>
      <c r="I122" s="605"/>
      <c r="J122" s="593"/>
      <c r="K122" s="593"/>
      <c r="L122" s="593"/>
    </row>
    <row r="123" spans="5:12" s="656" customFormat="1">
      <c r="E123" s="650"/>
      <c r="F123" s="657"/>
      <c r="G123" s="593"/>
      <c r="H123" s="593"/>
      <c r="I123" s="605"/>
      <c r="J123" s="593"/>
      <c r="K123" s="593"/>
      <c r="L123" s="593"/>
    </row>
    <row r="124" spans="5:12" s="656" customFormat="1">
      <c r="E124" s="650"/>
      <c r="F124" s="657"/>
      <c r="G124" s="593"/>
      <c r="H124" s="593"/>
      <c r="I124" s="605"/>
      <c r="J124" s="593"/>
      <c r="K124" s="593"/>
      <c r="L124" s="593"/>
    </row>
    <row r="125" spans="5:12" s="656" customFormat="1">
      <c r="E125" s="650"/>
      <c r="F125" s="657"/>
      <c r="G125" s="593"/>
      <c r="H125" s="593"/>
      <c r="I125" s="605"/>
      <c r="J125" s="593"/>
      <c r="K125" s="593"/>
      <c r="L125" s="593"/>
    </row>
    <row r="126" spans="5:12" s="656" customFormat="1">
      <c r="E126" s="650"/>
      <c r="F126" s="657"/>
      <c r="G126" s="593"/>
      <c r="H126" s="593"/>
      <c r="I126" s="605"/>
      <c r="J126" s="593"/>
      <c r="K126" s="593"/>
      <c r="L126" s="593"/>
    </row>
    <row r="127" spans="5:12" s="656" customFormat="1">
      <c r="E127" s="650"/>
      <c r="F127" s="657"/>
      <c r="G127" s="593"/>
      <c r="H127" s="593"/>
      <c r="I127" s="605"/>
      <c r="J127" s="593"/>
      <c r="K127" s="593"/>
      <c r="L127" s="593"/>
    </row>
    <row r="128" spans="5:12" s="656" customFormat="1">
      <c r="E128" s="650"/>
      <c r="F128" s="657"/>
      <c r="G128" s="593"/>
      <c r="H128" s="593"/>
      <c r="I128" s="605"/>
      <c r="J128" s="593"/>
      <c r="K128" s="593"/>
      <c r="L128" s="593"/>
    </row>
    <row r="129" spans="5:12" s="656" customFormat="1">
      <c r="E129" s="650"/>
      <c r="F129" s="657"/>
      <c r="G129" s="593"/>
      <c r="H129" s="593"/>
      <c r="I129" s="605"/>
      <c r="J129" s="593"/>
      <c r="K129" s="593"/>
      <c r="L129" s="593"/>
    </row>
    <row r="130" spans="5:12" s="656" customFormat="1">
      <c r="E130" s="650"/>
      <c r="F130" s="657"/>
      <c r="G130" s="593"/>
      <c r="H130" s="593"/>
      <c r="I130" s="605"/>
      <c r="J130" s="593"/>
      <c r="K130" s="593"/>
      <c r="L130" s="593"/>
    </row>
    <row r="131" spans="5:12" s="656" customFormat="1">
      <c r="E131" s="650"/>
      <c r="F131" s="657"/>
      <c r="G131" s="593"/>
      <c r="H131" s="593"/>
      <c r="I131" s="605"/>
      <c r="J131" s="593"/>
      <c r="K131" s="593"/>
      <c r="L131" s="593"/>
    </row>
    <row r="132" spans="5:12" s="656" customFormat="1">
      <c r="E132" s="650"/>
      <c r="F132" s="657"/>
      <c r="G132" s="593"/>
      <c r="H132" s="593"/>
      <c r="I132" s="605"/>
      <c r="J132" s="593"/>
      <c r="K132" s="593"/>
      <c r="L132" s="593"/>
    </row>
    <row r="133" spans="5:12" s="656" customFormat="1">
      <c r="E133" s="650"/>
      <c r="F133" s="657"/>
      <c r="G133" s="593"/>
      <c r="H133" s="593"/>
      <c r="I133" s="605"/>
      <c r="J133" s="593"/>
      <c r="K133" s="593"/>
      <c r="L133" s="593"/>
    </row>
    <row r="134" spans="5:12" s="656" customFormat="1">
      <c r="E134" s="650"/>
      <c r="F134" s="657"/>
      <c r="G134" s="593"/>
      <c r="H134" s="593"/>
      <c r="I134" s="605"/>
      <c r="J134" s="593"/>
      <c r="K134" s="593"/>
      <c r="L134" s="593"/>
    </row>
    <row r="135" spans="5:12" s="656" customFormat="1">
      <c r="E135" s="650"/>
      <c r="F135" s="657"/>
      <c r="G135" s="593"/>
      <c r="H135" s="593"/>
      <c r="I135" s="605"/>
      <c r="J135" s="593"/>
      <c r="K135" s="593"/>
      <c r="L135" s="593"/>
    </row>
    <row r="136" spans="5:12" s="656" customFormat="1">
      <c r="E136" s="650"/>
      <c r="F136" s="657"/>
      <c r="G136" s="593"/>
      <c r="H136" s="593"/>
      <c r="I136" s="605"/>
      <c r="J136" s="593"/>
      <c r="K136" s="593"/>
      <c r="L136" s="593"/>
    </row>
    <row r="137" spans="5:12" s="656" customFormat="1">
      <c r="E137" s="650"/>
      <c r="F137" s="657"/>
      <c r="G137" s="593"/>
      <c r="H137" s="593"/>
      <c r="I137" s="605"/>
      <c r="J137" s="593"/>
      <c r="K137" s="593"/>
      <c r="L137" s="593"/>
    </row>
    <row r="138" spans="5:12" s="656" customFormat="1">
      <c r="E138" s="650"/>
      <c r="F138" s="657"/>
      <c r="G138" s="593"/>
      <c r="H138" s="593"/>
      <c r="I138" s="605"/>
      <c r="J138" s="593"/>
      <c r="K138" s="593"/>
      <c r="L138" s="593"/>
    </row>
    <row r="139" spans="5:12" s="656" customFormat="1">
      <c r="E139" s="650"/>
      <c r="F139" s="657"/>
      <c r="G139" s="593"/>
      <c r="H139" s="593"/>
      <c r="I139" s="605"/>
      <c r="J139" s="593"/>
      <c r="K139" s="593"/>
      <c r="L139" s="593"/>
    </row>
    <row r="140" spans="5:12" s="656" customFormat="1">
      <c r="E140" s="650"/>
      <c r="F140" s="657"/>
      <c r="G140" s="593"/>
      <c r="H140" s="593"/>
      <c r="I140" s="605"/>
      <c r="J140" s="593"/>
      <c r="K140" s="593"/>
      <c r="L140" s="593"/>
    </row>
    <row r="141" spans="5:12" s="656" customFormat="1">
      <c r="E141" s="650"/>
      <c r="F141" s="657"/>
      <c r="G141" s="593"/>
      <c r="H141" s="593"/>
      <c r="I141" s="605"/>
      <c r="J141" s="593"/>
      <c r="K141" s="593"/>
      <c r="L141" s="593"/>
    </row>
    <row r="142" spans="5:12" s="656" customFormat="1">
      <c r="E142" s="650"/>
      <c r="F142" s="657"/>
      <c r="G142" s="593"/>
      <c r="H142" s="593"/>
      <c r="I142" s="605"/>
      <c r="J142" s="593"/>
      <c r="K142" s="593"/>
      <c r="L142" s="593"/>
    </row>
    <row r="143" spans="5:12" s="656" customFormat="1">
      <c r="E143" s="650"/>
      <c r="F143" s="657"/>
      <c r="G143" s="593"/>
      <c r="H143" s="593"/>
      <c r="I143" s="605"/>
      <c r="J143" s="593"/>
      <c r="K143" s="593"/>
      <c r="L143" s="593"/>
    </row>
    <row r="144" spans="5:12" s="656" customFormat="1">
      <c r="E144" s="650"/>
      <c r="F144" s="657"/>
      <c r="G144" s="593"/>
      <c r="H144" s="593"/>
      <c r="I144" s="605"/>
      <c r="J144" s="593"/>
      <c r="K144" s="593"/>
      <c r="L144" s="593"/>
    </row>
    <row r="145" spans="1:17" s="656" customFormat="1">
      <c r="E145" s="650"/>
      <c r="F145" s="657"/>
      <c r="G145" s="593"/>
      <c r="H145" s="593"/>
      <c r="I145" s="605"/>
      <c r="J145" s="593"/>
      <c r="K145" s="593"/>
      <c r="L145" s="593"/>
    </row>
    <row r="146" spans="1:17" s="656" customFormat="1">
      <c r="E146" s="650"/>
      <c r="F146" s="657"/>
      <c r="G146" s="593"/>
      <c r="H146" s="593"/>
      <c r="I146" s="605"/>
      <c r="J146" s="593"/>
      <c r="K146" s="593"/>
      <c r="L146" s="593"/>
    </row>
    <row r="147" spans="1:17">
      <c r="A147" s="656"/>
      <c r="B147" s="656"/>
      <c r="C147" s="656"/>
      <c r="D147" s="656"/>
      <c r="E147" s="650"/>
      <c r="F147" s="657"/>
      <c r="G147" s="593"/>
      <c r="H147" s="593"/>
      <c r="I147" s="605"/>
      <c r="J147" s="593"/>
      <c r="K147" s="593"/>
      <c r="L147" s="593"/>
      <c r="M147" s="656"/>
      <c r="N147" s="656"/>
      <c r="O147" s="656"/>
      <c r="P147" s="656"/>
      <c r="Q147" s="656"/>
    </row>
    <row r="148" spans="1:17">
      <c r="A148" s="656"/>
      <c r="B148" s="656"/>
      <c r="C148" s="656"/>
      <c r="D148" s="656"/>
      <c r="E148" s="650"/>
      <c r="F148" s="657"/>
      <c r="G148" s="593"/>
      <c r="H148" s="593"/>
      <c r="I148" s="605"/>
      <c r="J148" s="593"/>
      <c r="K148" s="593"/>
      <c r="L148" s="593"/>
      <c r="M148" s="656"/>
      <c r="N148" s="656"/>
      <c r="O148" s="656"/>
      <c r="P148" s="656"/>
      <c r="Q148" s="656"/>
    </row>
    <row r="149" spans="1:17">
      <c r="A149" s="656"/>
      <c r="B149" s="656"/>
      <c r="C149" s="656"/>
      <c r="D149" s="656"/>
      <c r="E149" s="650"/>
      <c r="F149" s="657"/>
      <c r="G149" s="593"/>
      <c r="H149" s="593"/>
      <c r="I149" s="605"/>
      <c r="J149" s="593"/>
      <c r="K149" s="593"/>
      <c r="L149" s="593"/>
      <c r="M149" s="656"/>
      <c r="N149" s="656"/>
      <c r="O149" s="656"/>
      <c r="P149" s="656"/>
      <c r="Q149" s="656"/>
    </row>
    <row r="150" spans="1:17">
      <c r="A150" s="656"/>
      <c r="B150" s="656"/>
      <c r="C150" s="656"/>
      <c r="D150" s="656"/>
      <c r="E150" s="650"/>
      <c r="F150" s="657"/>
      <c r="G150" s="593"/>
      <c r="H150" s="593"/>
      <c r="I150" s="605"/>
      <c r="J150" s="593"/>
      <c r="K150" s="593"/>
      <c r="L150" s="593"/>
      <c r="M150" s="656"/>
      <c r="N150" s="656"/>
      <c r="O150" s="656"/>
      <c r="P150" s="656"/>
      <c r="Q150" s="656"/>
    </row>
    <row r="151" spans="1:17">
      <c r="A151" s="656"/>
      <c r="B151" s="656"/>
      <c r="C151" s="656"/>
      <c r="D151" s="656"/>
      <c r="E151" s="650"/>
      <c r="F151" s="657"/>
      <c r="G151" s="593"/>
      <c r="H151" s="593"/>
      <c r="I151" s="605"/>
      <c r="J151" s="593"/>
      <c r="K151" s="593"/>
      <c r="L151" s="593"/>
      <c r="M151" s="656"/>
      <c r="N151" s="656"/>
      <c r="O151" s="656"/>
      <c r="P151" s="656"/>
      <c r="Q151" s="656"/>
    </row>
    <row r="152" spans="1:17">
      <c r="A152" s="656"/>
      <c r="B152" s="656"/>
      <c r="C152" s="656"/>
      <c r="D152" s="656"/>
      <c r="E152" s="650"/>
      <c r="F152" s="657"/>
      <c r="G152" s="593"/>
      <c r="H152" s="593"/>
      <c r="I152" s="605"/>
      <c r="J152" s="593"/>
      <c r="K152" s="593"/>
      <c r="L152" s="593"/>
      <c r="M152" s="656"/>
    </row>
    <row r="153" spans="1:17">
      <c r="A153" s="656"/>
      <c r="B153" s="656"/>
      <c r="C153" s="656"/>
      <c r="D153" s="656"/>
      <c r="E153" s="650"/>
      <c r="F153" s="657"/>
      <c r="G153" s="593"/>
      <c r="H153" s="593"/>
      <c r="I153" s="605"/>
      <c r="J153" s="593"/>
      <c r="K153" s="593"/>
      <c r="L153" s="593"/>
      <c r="M153" s="656"/>
    </row>
    <row r="154" spans="1:17">
      <c r="A154" s="656"/>
      <c r="B154" s="656"/>
      <c r="C154" s="656"/>
      <c r="D154" s="656"/>
      <c r="E154" s="650"/>
      <c r="F154" s="657"/>
      <c r="G154" s="593"/>
      <c r="H154" s="593"/>
      <c r="I154" s="605"/>
      <c r="J154" s="593"/>
      <c r="K154" s="593"/>
      <c r="L154" s="593"/>
      <c r="M154" s="656"/>
    </row>
    <row r="155" spans="1:17">
      <c r="A155" s="656"/>
      <c r="B155" s="656"/>
      <c r="C155" s="656"/>
      <c r="D155" s="656"/>
      <c r="E155" s="650"/>
      <c r="F155" s="657"/>
      <c r="G155" s="593"/>
      <c r="H155" s="593"/>
      <c r="I155" s="605"/>
      <c r="J155" s="593"/>
      <c r="K155" s="593"/>
      <c r="L155" s="593"/>
      <c r="M155" s="656"/>
    </row>
    <row r="156" spans="1:17">
      <c r="J156" s="593"/>
      <c r="K156" s="593"/>
      <c r="L156" s="593"/>
      <c r="M156" s="656"/>
    </row>
    <row r="157" spans="1:17">
      <c r="J157" s="593"/>
      <c r="K157" s="593"/>
      <c r="L157" s="593"/>
      <c r="M157" s="656"/>
    </row>
    <row r="158" spans="1:17">
      <c r="J158" s="593"/>
      <c r="K158" s="593"/>
      <c r="L158" s="593"/>
      <c r="M158" s="656"/>
    </row>
    <row r="159" spans="1:17">
      <c r="J159" s="593"/>
      <c r="K159" s="593"/>
      <c r="L159" s="593"/>
      <c r="M159" s="656"/>
    </row>
    <row r="160" spans="1:17">
      <c r="J160" s="593"/>
      <c r="K160" s="593"/>
      <c r="L160" s="593"/>
      <c r="M160" s="656"/>
    </row>
    <row r="161" spans="10:13">
      <c r="J161" s="593"/>
      <c r="K161" s="593"/>
      <c r="L161" s="593"/>
      <c r="M161" s="656"/>
    </row>
    <row r="162" spans="10:13">
      <c r="K162" s="593"/>
      <c r="L162" s="593"/>
      <c r="M162" s="656"/>
    </row>
    <row r="163" spans="10:13">
      <c r="K163" s="593"/>
      <c r="L163" s="593"/>
      <c r="M163" s="656"/>
    </row>
    <row r="164" spans="10:13">
      <c r="K164" s="593"/>
      <c r="L164" s="593"/>
      <c r="M164" s="656"/>
    </row>
    <row r="165" spans="10:13">
      <c r="L165" s="593"/>
      <c r="M165" s="656"/>
    </row>
    <row r="166" spans="10:13">
      <c r="L166" s="593"/>
      <c r="M166" s="656"/>
    </row>
    <row r="167" spans="10:13">
      <c r="L167" s="593"/>
    </row>
    <row r="168" spans="10:13">
      <c r="L168" s="593"/>
    </row>
    <row r="169" spans="10:13">
      <c r="L169" s="593"/>
    </row>
  </sheetData>
  <mergeCells count="1">
    <mergeCell ref="L7:M7"/>
  </mergeCells>
  <dataValidations count="1">
    <dataValidation type="list" allowBlank="1" showInputMessage="1" showErrorMessage="1" sqref="B5" xr:uid="{925866D0-7A90-45F9-BC73-2466D3D42F0F}">
      <formula1>$AB$5:$AB$8</formula1>
    </dataValidation>
  </dataValidations>
  <pageMargins left="0.7" right="0.7" top="0.75" bottom="0.75" header="0.3" footer="0.3"/>
  <pageSetup orientation="portrait"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ACC7E-161A-4948-B992-31B5E975178B}">
  <dimension ref="A1:M58"/>
  <sheetViews>
    <sheetView topLeftCell="B1" workbookViewId="0">
      <selection activeCell="P10" sqref="P10"/>
    </sheetView>
  </sheetViews>
  <sheetFormatPr defaultColWidth="8.85546875" defaultRowHeight="12.75"/>
  <cols>
    <col min="1" max="1" width="8.85546875" style="11"/>
    <col min="2" max="2" width="9.140625" style="11" bestFit="1" customWidth="1"/>
    <col min="3" max="11" width="8.85546875" style="11"/>
    <col min="12" max="12" width="16.7109375" style="11" customWidth="1"/>
    <col min="13" max="13" width="26.7109375" style="11" customWidth="1"/>
    <col min="14" max="16384" width="8.85546875" style="11"/>
  </cols>
  <sheetData>
    <row r="1" spans="1:13">
      <c r="A1" s="1027" t="s">
        <v>108</v>
      </c>
      <c r="B1" s="1026" t="s">
        <v>164</v>
      </c>
      <c r="C1" s="426"/>
      <c r="D1" s="1026"/>
      <c r="E1" s="427"/>
      <c r="F1" s="427"/>
      <c r="G1" s="428"/>
      <c r="H1" s="429" t="s">
        <v>188</v>
      </c>
      <c r="I1" s="430"/>
      <c r="J1" s="431"/>
      <c r="K1" s="1026"/>
      <c r="L1" s="1026"/>
      <c r="M1" s="1025"/>
    </row>
    <row r="2" spans="1:13">
      <c r="A2" s="1019" t="s">
        <v>110</v>
      </c>
      <c r="B2" s="444" t="s">
        <v>223</v>
      </c>
      <c r="C2" s="436"/>
      <c r="D2" s="444"/>
      <c r="E2" s="437"/>
      <c r="F2" s="437"/>
      <c r="G2" s="438"/>
      <c r="H2" s="439" t="s">
        <v>187</v>
      </c>
      <c r="I2" s="1024"/>
      <c r="J2" s="441"/>
      <c r="K2" s="444"/>
      <c r="L2" s="444"/>
      <c r="M2" s="1020"/>
    </row>
    <row r="3" spans="1:13">
      <c r="A3" s="1022" t="s">
        <v>112</v>
      </c>
      <c r="B3" s="731">
        <v>45161</v>
      </c>
      <c r="C3" s="436"/>
      <c r="D3" s="437"/>
      <c r="E3" s="437"/>
      <c r="F3" s="437"/>
      <c r="G3" s="438"/>
      <c r="H3" s="443" t="s">
        <v>186</v>
      </c>
      <c r="I3" s="1021">
        <f>M53/100</f>
        <v>3.1074999999999999</v>
      </c>
      <c r="J3" s="441"/>
      <c r="K3" s="444"/>
      <c r="L3" s="444"/>
      <c r="M3" s="1023"/>
    </row>
    <row r="4" spans="1:13">
      <c r="A4" s="1022" t="s">
        <v>114</v>
      </c>
      <c r="B4" s="444" t="s">
        <v>182</v>
      </c>
      <c r="C4" s="436"/>
      <c r="D4" s="437"/>
      <c r="E4" s="437"/>
      <c r="F4" s="437"/>
      <c r="G4" s="438"/>
      <c r="H4" s="443" t="s">
        <v>185</v>
      </c>
      <c r="I4" s="1021"/>
      <c r="J4" s="441"/>
      <c r="K4" s="444"/>
      <c r="L4" s="444"/>
      <c r="M4" s="1020"/>
    </row>
    <row r="5" spans="1:13">
      <c r="A5" s="1019" t="s">
        <v>116</v>
      </c>
      <c r="B5" s="450"/>
      <c r="C5" s="436"/>
      <c r="D5" s="437"/>
      <c r="E5" s="437"/>
      <c r="F5" s="437"/>
      <c r="G5" s="438"/>
      <c r="H5" s="443"/>
      <c r="I5" s="1018"/>
      <c r="J5" s="441"/>
      <c r="K5" s="444"/>
      <c r="L5" s="444"/>
      <c r="M5" s="480"/>
    </row>
    <row r="6" spans="1:13" ht="13.5" thickBot="1">
      <c r="A6" s="1017"/>
      <c r="B6" s="1010"/>
      <c r="C6" s="1016"/>
      <c r="D6" s="1015"/>
      <c r="E6" s="1015"/>
      <c r="F6" s="1015"/>
      <c r="G6" s="1012"/>
      <c r="H6" s="1014"/>
      <c r="I6" s="1013"/>
      <c r="J6" s="1012"/>
      <c r="K6" s="1011"/>
      <c r="L6" s="1010"/>
      <c r="M6" s="1009"/>
    </row>
    <row r="7" spans="1:13">
      <c r="A7" s="1008" t="s">
        <v>118</v>
      </c>
      <c r="B7" s="1004"/>
      <c r="C7" s="1007"/>
      <c r="D7" s="1006"/>
      <c r="E7" s="1005" t="s">
        <v>119</v>
      </c>
      <c r="F7" s="1004"/>
      <c r="G7" s="1003" t="s">
        <v>120</v>
      </c>
      <c r="H7" s="464"/>
      <c r="I7" s="1002" t="s">
        <v>121</v>
      </c>
      <c r="J7" s="1002"/>
      <c r="K7" s="465"/>
      <c r="L7" s="1129" t="s">
        <v>122</v>
      </c>
      <c r="M7" s="1130"/>
    </row>
    <row r="8" spans="1:13">
      <c r="A8" s="466"/>
      <c r="B8" s="461"/>
      <c r="C8" s="467"/>
      <c r="D8" s="476"/>
      <c r="E8" s="1000"/>
      <c r="F8" s="476"/>
      <c r="G8" s="999"/>
      <c r="H8" s="478"/>
      <c r="I8" s="502"/>
      <c r="J8" s="502"/>
      <c r="K8" s="479"/>
      <c r="L8" s="480"/>
      <c r="M8" s="480"/>
    </row>
    <row r="9" spans="1:13">
      <c r="A9" s="492"/>
      <c r="B9" s="492"/>
      <c r="C9" s="484"/>
      <c r="D9" s="1001"/>
      <c r="E9" s="1000" t="s">
        <v>125</v>
      </c>
      <c r="F9" s="476"/>
      <c r="G9" s="999"/>
      <c r="H9" s="478"/>
      <c r="I9" s="605"/>
      <c r="J9" s="605"/>
      <c r="K9" s="479"/>
      <c r="L9" s="488"/>
      <c r="M9" s="489"/>
    </row>
    <row r="10" spans="1:13">
      <c r="A10" s="493" t="s">
        <v>126</v>
      </c>
      <c r="B10" s="494" t="s">
        <v>127</v>
      </c>
      <c r="C10" s="495" t="s">
        <v>128</v>
      </c>
      <c r="D10" s="501" t="s">
        <v>138</v>
      </c>
      <c r="E10" s="499" t="s">
        <v>139</v>
      </c>
      <c r="F10" s="501" t="s">
        <v>140</v>
      </c>
      <c r="G10" s="999" t="s">
        <v>141</v>
      </c>
      <c r="H10" s="478" t="s">
        <v>142</v>
      </c>
      <c r="I10" s="502" t="s">
        <v>142</v>
      </c>
      <c r="J10" s="502" t="s">
        <v>141</v>
      </c>
      <c r="K10" s="503" t="s">
        <v>143</v>
      </c>
      <c r="L10" s="488" t="s">
        <v>144</v>
      </c>
      <c r="M10" s="488" t="s">
        <v>145</v>
      </c>
    </row>
    <row r="11" spans="1:13" ht="13.5" thickBot="1">
      <c r="A11" s="505" t="s">
        <v>146</v>
      </c>
      <c r="B11" s="506" t="s">
        <v>146</v>
      </c>
      <c r="C11" s="507" t="s">
        <v>147</v>
      </c>
      <c r="D11" s="516" t="s">
        <v>149</v>
      </c>
      <c r="E11" s="514" t="s">
        <v>147</v>
      </c>
      <c r="F11" s="516" t="s">
        <v>147</v>
      </c>
      <c r="G11" s="998" t="s">
        <v>150</v>
      </c>
      <c r="H11" s="518" t="s">
        <v>151</v>
      </c>
      <c r="I11" s="517" t="s">
        <v>151</v>
      </c>
      <c r="J11" s="517" t="s">
        <v>150</v>
      </c>
      <c r="K11" s="520"/>
      <c r="L11" s="521"/>
      <c r="M11" s="522" t="s">
        <v>147</v>
      </c>
    </row>
    <row r="12" spans="1:13" ht="22.5">
      <c r="A12" s="542"/>
      <c r="B12" s="543"/>
      <c r="C12" s="531"/>
      <c r="D12" s="989"/>
      <c r="E12" s="997"/>
      <c r="F12" s="996"/>
      <c r="G12" s="995"/>
      <c r="H12" s="552"/>
      <c r="I12" s="994"/>
      <c r="J12" s="993"/>
      <c r="K12" s="556"/>
      <c r="L12" s="556" t="s">
        <v>226</v>
      </c>
      <c r="M12" s="557">
        <v>319</v>
      </c>
    </row>
    <row r="13" spans="1:13" ht="22.5">
      <c r="A13" s="542"/>
      <c r="B13" s="543"/>
      <c r="C13" s="531"/>
      <c r="D13" s="989"/>
      <c r="E13" s="988"/>
      <c r="F13" s="987"/>
      <c r="G13" s="551"/>
      <c r="H13" s="986"/>
      <c r="I13" s="985"/>
      <c r="J13" s="554"/>
      <c r="K13" s="555"/>
      <c r="L13" s="556" t="s">
        <v>227</v>
      </c>
      <c r="M13" s="557">
        <v>311</v>
      </c>
    </row>
    <row r="14" spans="1:13" ht="22.5">
      <c r="A14" s="542"/>
      <c r="B14" s="543"/>
      <c r="C14" s="531"/>
      <c r="D14" s="989"/>
      <c r="E14" s="988"/>
      <c r="F14" s="987"/>
      <c r="G14" s="551"/>
      <c r="H14" s="986"/>
      <c r="I14" s="985"/>
      <c r="J14" s="554"/>
      <c r="K14" s="555"/>
      <c r="L14" s="556" t="s">
        <v>228</v>
      </c>
      <c r="M14" s="558">
        <v>312</v>
      </c>
    </row>
    <row r="15" spans="1:13" ht="22.5">
      <c r="A15" s="542"/>
      <c r="B15" s="543"/>
      <c r="C15" s="531"/>
      <c r="D15" s="989"/>
      <c r="E15" s="988"/>
      <c r="F15" s="987"/>
      <c r="G15" s="551"/>
      <c r="H15" s="986"/>
      <c r="I15" s="985"/>
      <c r="J15" s="554"/>
      <c r="K15" s="555"/>
      <c r="L15" s="556" t="s">
        <v>229</v>
      </c>
      <c r="M15" s="557">
        <v>312</v>
      </c>
    </row>
    <row r="16" spans="1:13">
      <c r="A16" s="559"/>
      <c r="B16" s="543"/>
      <c r="C16" s="531"/>
      <c r="D16" s="989"/>
      <c r="E16" s="988"/>
      <c r="F16" s="987"/>
      <c r="G16" s="551"/>
      <c r="H16" s="986"/>
      <c r="I16" s="985"/>
      <c r="J16" s="554"/>
      <c r="K16" s="555"/>
      <c r="L16" s="556" t="s">
        <v>230</v>
      </c>
      <c r="M16" s="557">
        <v>308</v>
      </c>
    </row>
    <row r="17" spans="1:13">
      <c r="A17" s="559"/>
      <c r="B17" s="543"/>
      <c r="C17" s="531"/>
      <c r="D17" s="989"/>
      <c r="E17" s="988"/>
      <c r="F17" s="987"/>
      <c r="G17" s="551"/>
      <c r="H17" s="986"/>
      <c r="I17" s="985"/>
      <c r="J17" s="554"/>
      <c r="K17" s="992"/>
      <c r="L17" s="556"/>
      <c r="M17" s="557"/>
    </row>
    <row r="18" spans="1:13">
      <c r="A18" s="559"/>
      <c r="B18" s="543"/>
      <c r="C18" s="531"/>
      <c r="D18" s="989"/>
      <c r="E18" s="988"/>
      <c r="F18" s="987"/>
      <c r="G18" s="551"/>
      <c r="H18" s="986"/>
      <c r="I18" s="985"/>
      <c r="J18" s="554"/>
      <c r="K18" s="560"/>
      <c r="L18" s="556"/>
      <c r="M18" s="557"/>
    </row>
    <row r="19" spans="1:13">
      <c r="A19" s="559"/>
      <c r="B19" s="543"/>
      <c r="C19" s="531"/>
      <c r="D19" s="989"/>
      <c r="E19" s="988"/>
      <c r="F19" s="987"/>
      <c r="G19" s="551"/>
      <c r="H19" s="986"/>
      <c r="I19" s="985"/>
      <c r="J19" s="554"/>
      <c r="K19" s="560"/>
      <c r="L19" s="556"/>
      <c r="M19" s="557"/>
    </row>
    <row r="20" spans="1:13">
      <c r="A20" s="559"/>
      <c r="B20" s="543"/>
      <c r="C20" s="531"/>
      <c r="D20" s="989"/>
      <c r="E20" s="988"/>
      <c r="F20" s="987"/>
      <c r="G20" s="551"/>
      <c r="H20" s="986"/>
      <c r="I20" s="985"/>
      <c r="J20" s="554"/>
      <c r="K20" s="555"/>
      <c r="L20" s="556"/>
      <c r="M20" s="557"/>
    </row>
    <row r="21" spans="1:13">
      <c r="A21" s="559"/>
      <c r="B21" s="543"/>
      <c r="C21" s="531"/>
      <c r="D21" s="989"/>
      <c r="E21" s="988"/>
      <c r="F21" s="987"/>
      <c r="G21" s="551"/>
      <c r="H21" s="986"/>
      <c r="I21" s="985"/>
      <c r="J21" s="554"/>
      <c r="K21" s="563"/>
      <c r="L21" s="556"/>
      <c r="M21" s="557"/>
    </row>
    <row r="22" spans="1:13">
      <c r="A22" s="559"/>
      <c r="B22" s="543"/>
      <c r="C22" s="531"/>
      <c r="D22" s="989"/>
      <c r="E22" s="988"/>
      <c r="F22" s="987"/>
      <c r="G22" s="551"/>
      <c r="H22" s="986"/>
      <c r="I22" s="985"/>
      <c r="J22" s="554"/>
      <c r="K22" s="555"/>
      <c r="L22" s="556"/>
      <c r="M22" s="566"/>
    </row>
    <row r="23" spans="1:13">
      <c r="A23" s="559"/>
      <c r="B23" s="543"/>
      <c r="C23" s="531"/>
      <c r="D23" s="989"/>
      <c r="E23" s="988"/>
      <c r="F23" s="987"/>
      <c r="G23" s="551"/>
      <c r="H23" s="986"/>
      <c r="I23" s="985"/>
      <c r="J23" s="554"/>
      <c r="K23" s="991"/>
      <c r="L23" s="556"/>
      <c r="M23" s="581"/>
    </row>
    <row r="24" spans="1:13">
      <c r="A24" s="559"/>
      <c r="B24" s="543"/>
      <c r="C24" s="531"/>
      <c r="D24" s="989"/>
      <c r="E24" s="988"/>
      <c r="F24" s="987"/>
      <c r="G24" s="551"/>
      <c r="H24" s="986"/>
      <c r="I24" s="985"/>
      <c r="J24" s="554"/>
      <c r="K24" s="990"/>
      <c r="L24" s="556"/>
      <c r="M24" s="581"/>
    </row>
    <row r="25" spans="1:13">
      <c r="A25" s="559"/>
      <c r="B25" s="543"/>
      <c r="C25" s="531"/>
      <c r="D25" s="989"/>
      <c r="E25" s="988"/>
      <c r="F25" s="987"/>
      <c r="G25" s="551"/>
      <c r="H25" s="986"/>
      <c r="I25" s="985"/>
      <c r="J25" s="554"/>
      <c r="K25" s="990"/>
      <c r="L25" s="556"/>
      <c r="M25" s="581"/>
    </row>
    <row r="26" spans="1:13">
      <c r="A26" s="559"/>
      <c r="B26" s="543"/>
      <c r="C26" s="531"/>
      <c r="D26" s="989"/>
      <c r="E26" s="988"/>
      <c r="F26" s="987"/>
      <c r="G26" s="551"/>
      <c r="H26" s="986"/>
      <c r="I26" s="985"/>
      <c r="J26" s="554"/>
      <c r="K26" s="990"/>
      <c r="L26" s="556"/>
      <c r="M26" s="557"/>
    </row>
    <row r="27" spans="1:13">
      <c r="A27" s="559"/>
      <c r="B27" s="543"/>
      <c r="C27" s="531"/>
      <c r="D27" s="989"/>
      <c r="E27" s="988"/>
      <c r="F27" s="987"/>
      <c r="G27" s="551"/>
      <c r="H27" s="986"/>
      <c r="I27" s="985"/>
      <c r="J27" s="554"/>
      <c r="K27" s="990"/>
      <c r="L27" s="556"/>
      <c r="M27" s="557"/>
    </row>
    <row r="28" spans="1:13">
      <c r="A28" s="559"/>
      <c r="B28" s="543"/>
      <c r="C28" s="531"/>
      <c r="D28" s="989"/>
      <c r="E28" s="988"/>
      <c r="F28" s="987"/>
      <c r="G28" s="551"/>
      <c r="H28" s="986"/>
      <c r="I28" s="985"/>
      <c r="J28" s="554"/>
      <c r="K28" s="990"/>
      <c r="L28" s="556"/>
      <c r="M28" s="557"/>
    </row>
    <row r="29" spans="1:13">
      <c r="A29" s="559"/>
      <c r="B29" s="543"/>
      <c r="C29" s="531"/>
      <c r="D29" s="989"/>
      <c r="E29" s="988"/>
      <c r="F29" s="987"/>
      <c r="G29" s="551"/>
      <c r="H29" s="986"/>
      <c r="I29" s="985"/>
      <c r="J29" s="554"/>
      <c r="K29" s="990"/>
      <c r="L29" s="556"/>
      <c r="M29" s="557"/>
    </row>
    <row r="30" spans="1:13">
      <c r="A30" s="559"/>
      <c r="B30" s="543"/>
      <c r="C30" s="531"/>
      <c r="D30" s="989"/>
      <c r="E30" s="988"/>
      <c r="F30" s="987"/>
      <c r="G30" s="551"/>
      <c r="H30" s="986"/>
      <c r="I30" s="985"/>
      <c r="J30" s="554"/>
      <c r="K30" s="990"/>
      <c r="L30" s="556"/>
      <c r="M30" s="557"/>
    </row>
    <row r="31" spans="1:13">
      <c r="A31" s="559"/>
      <c r="B31" s="543"/>
      <c r="C31" s="531"/>
      <c r="D31" s="989"/>
      <c r="E31" s="988"/>
      <c r="F31" s="987"/>
      <c r="G31" s="551"/>
      <c r="H31" s="986"/>
      <c r="I31" s="985"/>
      <c r="J31" s="554"/>
      <c r="K31" s="990"/>
      <c r="L31" s="556"/>
      <c r="M31" s="557"/>
    </row>
    <row r="32" spans="1:13">
      <c r="A32" s="559"/>
      <c r="B32" s="543"/>
      <c r="C32" s="531"/>
      <c r="D32" s="989"/>
      <c r="E32" s="988"/>
      <c r="F32" s="987"/>
      <c r="G32" s="551"/>
      <c r="H32" s="986"/>
      <c r="I32" s="985"/>
      <c r="J32" s="554"/>
      <c r="K32" s="565"/>
      <c r="L32" s="556"/>
      <c r="M32" s="557"/>
    </row>
    <row r="33" spans="1:13">
      <c r="A33" s="559"/>
      <c r="B33" s="543"/>
      <c r="C33" s="531"/>
      <c r="D33" s="989"/>
      <c r="E33" s="988"/>
      <c r="F33" s="987"/>
      <c r="G33" s="551"/>
      <c r="H33" s="986"/>
      <c r="I33" s="985"/>
      <c r="J33" s="554"/>
      <c r="K33" s="565"/>
      <c r="L33" s="556"/>
      <c r="M33" s="557"/>
    </row>
    <row r="34" spans="1:13">
      <c r="A34" s="559"/>
      <c r="B34" s="543"/>
      <c r="C34" s="531"/>
      <c r="D34" s="989"/>
      <c r="E34" s="988"/>
      <c r="F34" s="987"/>
      <c r="G34" s="551"/>
      <c r="H34" s="986"/>
      <c r="I34" s="985"/>
      <c r="J34" s="554"/>
      <c r="K34" s="565"/>
      <c r="L34" s="556"/>
      <c r="M34" s="557"/>
    </row>
    <row r="35" spans="1:13">
      <c r="A35" s="559"/>
      <c r="B35" s="543"/>
      <c r="C35" s="531"/>
      <c r="D35" s="989"/>
      <c r="E35" s="988"/>
      <c r="F35" s="987"/>
      <c r="G35" s="551"/>
      <c r="H35" s="986"/>
      <c r="I35" s="985"/>
      <c r="J35" s="554"/>
      <c r="K35" s="565"/>
      <c r="L35" s="556"/>
      <c r="M35" s="557"/>
    </row>
    <row r="36" spans="1:13">
      <c r="A36" s="559"/>
      <c r="B36" s="543"/>
      <c r="C36" s="531"/>
      <c r="D36" s="989"/>
      <c r="E36" s="988"/>
      <c r="F36" s="987"/>
      <c r="G36" s="551"/>
      <c r="H36" s="986"/>
      <c r="I36" s="985"/>
      <c r="J36" s="554"/>
      <c r="K36" s="565"/>
      <c r="L36" s="556"/>
      <c r="M36" s="557"/>
    </row>
    <row r="37" spans="1:13">
      <c r="A37" s="559"/>
      <c r="B37" s="543"/>
      <c r="C37" s="531"/>
      <c r="D37" s="989"/>
      <c r="E37" s="988"/>
      <c r="F37" s="987"/>
      <c r="G37" s="551"/>
      <c r="H37" s="986"/>
      <c r="I37" s="985"/>
      <c r="J37" s="554"/>
      <c r="K37" s="565"/>
      <c r="L37" s="556"/>
      <c r="M37" s="557"/>
    </row>
    <row r="38" spans="1:13">
      <c r="A38" s="559"/>
      <c r="B38" s="543"/>
      <c r="C38" s="531"/>
      <c r="D38" s="989"/>
      <c r="E38" s="988"/>
      <c r="F38" s="987"/>
      <c r="G38" s="551"/>
      <c r="H38" s="986"/>
      <c r="I38" s="985"/>
      <c r="J38" s="554"/>
      <c r="K38" s="565"/>
      <c r="L38" s="556"/>
      <c r="M38" s="557"/>
    </row>
    <row r="39" spans="1:13">
      <c r="A39" s="559"/>
      <c r="B39" s="543"/>
      <c r="C39" s="531"/>
      <c r="D39" s="989"/>
      <c r="E39" s="988"/>
      <c r="F39" s="987"/>
      <c r="G39" s="551"/>
      <c r="H39" s="986"/>
      <c r="I39" s="985"/>
      <c r="J39" s="554"/>
      <c r="K39" s="565"/>
      <c r="L39" s="556"/>
      <c r="M39" s="557"/>
    </row>
    <row r="40" spans="1:13">
      <c r="A40" s="559"/>
      <c r="B40" s="543"/>
      <c r="C40" s="531"/>
      <c r="D40" s="989"/>
      <c r="E40" s="988"/>
      <c r="F40" s="987"/>
      <c r="G40" s="551"/>
      <c r="H40" s="986"/>
      <c r="I40" s="985"/>
      <c r="J40" s="554"/>
      <c r="K40" s="565"/>
      <c r="L40" s="556"/>
      <c r="M40" s="557"/>
    </row>
    <row r="41" spans="1:13">
      <c r="A41" s="559"/>
      <c r="B41" s="543"/>
      <c r="C41" s="531"/>
      <c r="D41" s="989"/>
      <c r="E41" s="988"/>
      <c r="F41" s="987"/>
      <c r="G41" s="551"/>
      <c r="H41" s="986"/>
      <c r="I41" s="985"/>
      <c r="J41" s="554"/>
      <c r="K41" s="565"/>
      <c r="L41" s="556"/>
      <c r="M41" s="557"/>
    </row>
    <row r="42" spans="1:13">
      <c r="A42" s="559"/>
      <c r="B42" s="543"/>
      <c r="C42" s="531"/>
      <c r="D42" s="989"/>
      <c r="E42" s="988"/>
      <c r="F42" s="987"/>
      <c r="G42" s="551"/>
      <c r="H42" s="986"/>
      <c r="I42" s="985"/>
      <c r="J42" s="554"/>
      <c r="K42" s="565"/>
      <c r="L42" s="556"/>
      <c r="M42" s="557"/>
    </row>
    <row r="43" spans="1:13">
      <c r="A43" s="559"/>
      <c r="B43" s="543"/>
      <c r="C43" s="531"/>
      <c r="D43" s="989"/>
      <c r="E43" s="988"/>
      <c r="F43" s="987"/>
      <c r="G43" s="551"/>
      <c r="H43" s="986"/>
      <c r="I43" s="985"/>
      <c r="J43" s="554"/>
      <c r="K43" s="565"/>
      <c r="L43" s="556"/>
      <c r="M43" s="557"/>
    </row>
    <row r="44" spans="1:13">
      <c r="A44" s="559"/>
      <c r="B44" s="543"/>
      <c r="C44" s="531"/>
      <c r="D44" s="989"/>
      <c r="E44" s="988"/>
      <c r="F44" s="987"/>
      <c r="G44" s="551"/>
      <c r="H44" s="986"/>
      <c r="I44" s="985"/>
      <c r="J44" s="554"/>
      <c r="K44" s="565"/>
      <c r="L44" s="556"/>
      <c r="M44" s="557"/>
    </row>
    <row r="45" spans="1:13">
      <c r="A45" s="559"/>
      <c r="B45" s="543"/>
      <c r="C45" s="531"/>
      <c r="D45" s="989"/>
      <c r="E45" s="988"/>
      <c r="F45" s="987"/>
      <c r="G45" s="551"/>
      <c r="H45" s="986"/>
      <c r="I45" s="985"/>
      <c r="J45" s="554"/>
      <c r="K45" s="565"/>
      <c r="L45" s="556"/>
      <c r="M45" s="557"/>
    </row>
    <row r="46" spans="1:13">
      <c r="A46" s="559"/>
      <c r="B46" s="543"/>
      <c r="C46" s="531"/>
      <c r="D46" s="989"/>
      <c r="E46" s="988"/>
      <c r="F46" s="987"/>
      <c r="G46" s="551"/>
      <c r="H46" s="986"/>
      <c r="I46" s="985"/>
      <c r="J46" s="554"/>
      <c r="K46" s="565"/>
      <c r="L46" s="556"/>
      <c r="M46" s="557"/>
    </row>
    <row r="47" spans="1:13">
      <c r="A47" s="559"/>
      <c r="B47" s="543"/>
      <c r="C47" s="531"/>
      <c r="D47" s="989"/>
      <c r="E47" s="988"/>
      <c r="F47" s="987"/>
      <c r="G47" s="551"/>
      <c r="H47" s="986"/>
      <c r="I47" s="985"/>
      <c r="J47" s="554"/>
      <c r="K47" s="565"/>
      <c r="L47" s="556"/>
      <c r="M47" s="557"/>
    </row>
    <row r="48" spans="1:13">
      <c r="A48" s="559"/>
      <c r="B48" s="543"/>
      <c r="C48" s="531"/>
      <c r="D48" s="989"/>
      <c r="E48" s="988"/>
      <c r="F48" s="987"/>
      <c r="G48" s="551"/>
      <c r="H48" s="986"/>
      <c r="I48" s="985"/>
      <c r="J48" s="554"/>
      <c r="K48" s="565"/>
      <c r="L48" s="556"/>
      <c r="M48" s="557"/>
    </row>
    <row r="49" spans="1:13">
      <c r="A49" s="559"/>
      <c r="B49" s="543"/>
      <c r="C49" s="531"/>
      <c r="D49" s="989"/>
      <c r="E49" s="988"/>
      <c r="F49" s="987"/>
      <c r="G49" s="551"/>
      <c r="H49" s="986"/>
      <c r="I49" s="985"/>
      <c r="J49" s="554"/>
      <c r="K49" s="565"/>
      <c r="L49" s="556"/>
      <c r="M49" s="557"/>
    </row>
    <row r="50" spans="1:13">
      <c r="A50" s="559"/>
      <c r="B50" s="543"/>
      <c r="C50" s="531"/>
      <c r="D50" s="989"/>
      <c r="E50" s="988"/>
      <c r="F50" s="987"/>
      <c r="G50" s="551"/>
      <c r="H50" s="986"/>
      <c r="I50" s="985"/>
      <c r="J50" s="554"/>
      <c r="K50" s="565"/>
      <c r="L50" s="556"/>
      <c r="M50" s="557"/>
    </row>
    <row r="51" spans="1:13">
      <c r="A51" s="559"/>
      <c r="B51" s="543"/>
      <c r="C51" s="531"/>
      <c r="D51" s="989"/>
      <c r="E51" s="988"/>
      <c r="F51" s="987"/>
      <c r="G51" s="551"/>
      <c r="H51" s="986"/>
      <c r="I51" s="985"/>
      <c r="J51" s="554"/>
      <c r="K51" s="565"/>
      <c r="L51" s="556"/>
      <c r="M51" s="557"/>
    </row>
    <row r="52" spans="1:13" ht="13.5" thickBot="1">
      <c r="A52" s="559"/>
      <c r="B52" s="543"/>
      <c r="C52" s="531"/>
      <c r="D52" s="989"/>
      <c r="E52" s="988"/>
      <c r="F52" s="987"/>
      <c r="G52" s="551"/>
      <c r="H52" s="986"/>
      <c r="I52" s="985"/>
      <c r="J52" s="554"/>
      <c r="K52" s="565"/>
      <c r="L52" s="556"/>
      <c r="M52" s="602"/>
    </row>
    <row r="53" spans="1:13">
      <c r="A53" s="559"/>
      <c r="B53" s="543"/>
      <c r="C53" s="531"/>
      <c r="D53" s="989"/>
      <c r="E53" s="988"/>
      <c r="F53" s="987"/>
      <c r="G53" s="551"/>
      <c r="H53" s="986"/>
      <c r="I53" s="985"/>
      <c r="J53" s="554"/>
      <c r="K53" s="565"/>
      <c r="L53" s="603" t="s">
        <v>158</v>
      </c>
      <c r="M53" s="604">
        <f>AVERAGE(M13:M16)</f>
        <v>310.75</v>
      </c>
    </row>
    <row r="54" spans="1:13">
      <c r="A54" s="559"/>
      <c r="B54" s="543"/>
      <c r="C54" s="531"/>
      <c r="D54" s="989"/>
      <c r="E54" s="988"/>
      <c r="F54" s="987"/>
      <c r="G54" s="551"/>
      <c r="H54" s="986"/>
      <c r="I54" s="985"/>
      <c r="J54" s="554"/>
      <c r="K54" s="565"/>
      <c r="L54" s="433" t="s">
        <v>159</v>
      </c>
      <c r="M54" s="602"/>
    </row>
    <row r="55" spans="1:13">
      <c r="A55" s="606" t="s">
        <v>160</v>
      </c>
      <c r="B55" s="607"/>
      <c r="C55" s="608"/>
      <c r="D55" s="984"/>
      <c r="E55" s="983"/>
      <c r="F55" s="982"/>
      <c r="G55" s="613"/>
      <c r="H55" s="981"/>
      <c r="I55" s="980"/>
      <c r="J55" s="616"/>
      <c r="K55" s="617"/>
      <c r="L55" s="433" t="s">
        <v>161</v>
      </c>
      <c r="M55" s="602"/>
    </row>
    <row r="56" spans="1:13">
      <c r="A56" s="618"/>
      <c r="B56" s="619"/>
      <c r="C56" s="620"/>
      <c r="D56" s="979"/>
      <c r="E56" s="978"/>
      <c r="F56" s="977"/>
      <c r="G56" s="976"/>
      <c r="H56" s="626"/>
      <c r="I56" s="975"/>
      <c r="J56" s="974"/>
      <c r="K56" s="629"/>
      <c r="L56" s="433" t="s">
        <v>162</v>
      </c>
      <c r="M56" s="602"/>
    </row>
    <row r="57" spans="1:13" ht="13.5" thickBot="1">
      <c r="A57" s="630"/>
      <c r="B57" s="631"/>
      <c r="C57" s="632"/>
      <c r="D57" s="973"/>
      <c r="E57" s="972"/>
      <c r="F57" s="971"/>
      <c r="G57" s="970"/>
      <c r="H57" s="638"/>
      <c r="I57" s="969"/>
      <c r="J57" s="968"/>
      <c r="K57" s="641"/>
      <c r="L57" s="642" t="s">
        <v>163</v>
      </c>
      <c r="M57" s="643"/>
    </row>
    <row r="58" spans="1:13">
      <c r="A58" s="644"/>
      <c r="B58" s="644"/>
      <c r="C58" s="645"/>
      <c r="D58" s="646"/>
      <c r="E58" s="646"/>
      <c r="F58" s="646"/>
      <c r="G58" s="647"/>
      <c r="H58" s="648"/>
      <c r="I58" s="649"/>
      <c r="J58" s="650"/>
      <c r="K58" s="651"/>
      <c r="L58" s="652"/>
      <c r="M58" s="605"/>
    </row>
  </sheetData>
  <mergeCells count="1">
    <mergeCell ref="L7:M7"/>
  </mergeCells>
  <dataValidations count="1">
    <dataValidation type="list" allowBlank="1" showInputMessage="1" showErrorMessage="1" sqref="B5" xr:uid="{86607C72-E721-4ED1-A15C-AB7B4719E157}">
      <formula1>$AB$5:$AB$8</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36"/>
  <sheetViews>
    <sheetView topLeftCell="J1" zoomScale="85" zoomScaleNormal="85" workbookViewId="0">
      <selection activeCell="C32" sqref="C32"/>
    </sheetView>
  </sheetViews>
  <sheetFormatPr defaultColWidth="17.28515625" defaultRowHeight="15.75" customHeight="1"/>
  <cols>
    <col min="1" max="1" width="12.42578125" style="20" customWidth="1"/>
    <col min="2" max="2" width="27.28515625" style="20" customWidth="1"/>
    <col min="3" max="3" width="11.28515625" style="20" bestFit="1" customWidth="1"/>
    <col min="4" max="4" width="14.140625" style="20" customWidth="1"/>
    <col min="5" max="5" width="11.5703125" style="20" customWidth="1"/>
    <col min="6" max="7" width="13.7109375" style="20" bestFit="1" customWidth="1"/>
    <col min="8" max="8" width="14.42578125" style="20" bestFit="1" customWidth="1"/>
    <col min="9" max="9" width="17.28515625" style="20" bestFit="1" customWidth="1"/>
    <col min="10" max="10" width="19.5703125" style="20" bestFit="1" customWidth="1"/>
    <col min="11" max="11" width="12.42578125" style="20" customWidth="1"/>
    <col min="12" max="12" width="18" style="20" customWidth="1"/>
    <col min="13" max="13" width="16.42578125" style="20" customWidth="1"/>
    <col min="14" max="14" width="11.5703125" style="20" bestFit="1" customWidth="1"/>
    <col min="15" max="15" width="11.28515625" style="20" bestFit="1" customWidth="1"/>
    <col min="16" max="16" width="8.42578125" style="20" bestFit="1" customWidth="1"/>
    <col min="17" max="17" width="7.85546875" style="20" bestFit="1" customWidth="1"/>
    <col min="18" max="18" width="14.7109375" style="20" bestFit="1" customWidth="1"/>
    <col min="19" max="19" width="20.7109375" style="20" bestFit="1" customWidth="1"/>
    <col min="20" max="20" width="21" style="20" bestFit="1" customWidth="1"/>
    <col min="21" max="21" width="8.7109375" style="20" bestFit="1" customWidth="1"/>
    <col min="22" max="16384" width="17.28515625" style="20"/>
  </cols>
  <sheetData>
    <row r="1" spans="1:23" ht="15.75" customHeight="1">
      <c r="A1" s="24"/>
      <c r="B1" s="25"/>
      <c r="C1" s="45"/>
      <c r="D1" s="26"/>
      <c r="E1" s="27"/>
      <c r="F1" s="28"/>
      <c r="G1" s="29"/>
      <c r="H1" s="50"/>
      <c r="I1" s="29"/>
      <c r="J1" s="49"/>
      <c r="K1" s="28"/>
      <c r="L1" s="56"/>
      <c r="M1" s="57"/>
      <c r="N1" s="29"/>
      <c r="O1" s="58"/>
      <c r="P1" s="30"/>
      <c r="Q1" s="30"/>
      <c r="R1" s="30"/>
      <c r="S1" s="59"/>
      <c r="T1" s="1083" t="s">
        <v>11</v>
      </c>
      <c r="U1" s="1084"/>
      <c r="V1" s="1085"/>
      <c r="W1" s="54"/>
    </row>
    <row r="2" spans="1:23" ht="15.75" customHeight="1">
      <c r="A2" s="31"/>
      <c r="B2" s="4"/>
      <c r="C2" s="22"/>
      <c r="D2" s="15"/>
      <c r="E2" s="364"/>
      <c r="F2" s="365"/>
      <c r="G2" s="3"/>
      <c r="H2" s="51"/>
      <c r="I2" s="3"/>
      <c r="J2" s="5"/>
      <c r="K2" s="1"/>
      <c r="L2" s="60"/>
      <c r="M2" s="61"/>
      <c r="N2" s="5"/>
      <c r="O2" s="62"/>
      <c r="S2" s="63"/>
      <c r="T2" s="1086" t="s">
        <v>12</v>
      </c>
      <c r="U2" s="1087"/>
      <c r="V2" s="366"/>
      <c r="W2" s="12"/>
    </row>
    <row r="3" spans="1:23" ht="15.75" customHeight="1">
      <c r="A3" s="31"/>
      <c r="B3" s="4"/>
      <c r="C3" s="22"/>
      <c r="D3" s="19"/>
      <c r="E3" s="1088" t="s">
        <v>13</v>
      </c>
      <c r="F3" s="1089"/>
      <c r="G3" s="1090"/>
      <c r="H3" s="52"/>
      <c r="I3" s="365"/>
      <c r="J3" s="5"/>
      <c r="K3" s="365"/>
      <c r="L3" s="55"/>
      <c r="M3" s="2"/>
      <c r="N3" s="5"/>
      <c r="O3" s="64"/>
      <c r="P3" s="5"/>
      <c r="Q3" s="5"/>
      <c r="R3" s="17"/>
      <c r="S3" s="65"/>
      <c r="T3" s="1091" t="s">
        <v>14</v>
      </c>
      <c r="U3" s="1092"/>
      <c r="V3" s="366"/>
      <c r="W3" s="18"/>
    </row>
    <row r="4" spans="1:23" s="74" customFormat="1" ht="51">
      <c r="A4" s="32" t="s">
        <v>15</v>
      </c>
      <c r="B4" s="6" t="s">
        <v>16</v>
      </c>
      <c r="C4" s="23" t="s">
        <v>17</v>
      </c>
      <c r="D4" s="66" t="s">
        <v>18</v>
      </c>
      <c r="E4" s="67" t="s">
        <v>19</v>
      </c>
      <c r="F4" s="6" t="s">
        <v>20</v>
      </c>
      <c r="G4" s="10" t="s">
        <v>21</v>
      </c>
      <c r="H4" s="53" t="s">
        <v>22</v>
      </c>
      <c r="I4" s="10" t="s">
        <v>23</v>
      </c>
      <c r="J4" s="10" t="s">
        <v>24</v>
      </c>
      <c r="K4" s="6" t="s">
        <v>25</v>
      </c>
      <c r="L4" s="68" t="s">
        <v>26</v>
      </c>
      <c r="M4" s="68" t="s">
        <v>27</v>
      </c>
      <c r="N4" s="10" t="s">
        <v>28</v>
      </c>
      <c r="O4" s="69" t="s">
        <v>29</v>
      </c>
      <c r="P4" s="10" t="s">
        <v>30</v>
      </c>
      <c r="Q4" s="10" t="s">
        <v>31</v>
      </c>
      <c r="R4" s="70" t="s">
        <v>3</v>
      </c>
      <c r="S4" s="71" t="s">
        <v>4</v>
      </c>
      <c r="T4" s="72" t="s">
        <v>32</v>
      </c>
      <c r="U4" s="72" t="s">
        <v>33</v>
      </c>
      <c r="V4" s="73" t="s">
        <v>0</v>
      </c>
      <c r="W4" s="23" t="s">
        <v>34</v>
      </c>
    </row>
    <row r="5" spans="1:23" ht="15.75" customHeight="1" thickBot="1">
      <c r="A5" s="33" t="s">
        <v>35</v>
      </c>
      <c r="B5" s="34"/>
      <c r="C5" s="46"/>
      <c r="D5" s="35"/>
      <c r="E5" s="37" t="s">
        <v>36</v>
      </c>
      <c r="F5" s="37" t="s">
        <v>36</v>
      </c>
      <c r="G5" s="37" t="s">
        <v>36</v>
      </c>
      <c r="H5" s="116" t="s">
        <v>36</v>
      </c>
      <c r="I5" s="116" t="s">
        <v>36</v>
      </c>
      <c r="J5" s="37" t="s">
        <v>36</v>
      </c>
      <c r="K5" s="36" t="s">
        <v>37</v>
      </c>
      <c r="L5" s="47" t="s">
        <v>36</v>
      </c>
      <c r="M5" s="38" t="s">
        <v>36</v>
      </c>
      <c r="N5" s="38" t="s">
        <v>37</v>
      </c>
      <c r="O5" s="75" t="s">
        <v>38</v>
      </c>
      <c r="P5" s="39" t="s">
        <v>38</v>
      </c>
      <c r="Q5" s="39" t="s">
        <v>38</v>
      </c>
      <c r="R5" s="42" t="s">
        <v>38</v>
      </c>
      <c r="S5" s="76" t="s">
        <v>38</v>
      </c>
      <c r="T5" s="40" t="s">
        <v>36</v>
      </c>
      <c r="U5" s="40" t="s">
        <v>36</v>
      </c>
      <c r="V5" s="41" t="s">
        <v>36</v>
      </c>
      <c r="W5" s="43"/>
    </row>
    <row r="6" spans="1:23" s="307" customFormat="1" ht="15.75" customHeight="1">
      <c r="A6" s="310">
        <v>43952</v>
      </c>
      <c r="B6" s="77" t="s">
        <v>43</v>
      </c>
      <c r="C6" s="77" t="s">
        <v>45</v>
      </c>
      <c r="D6" s="78" t="s">
        <v>40</v>
      </c>
      <c r="E6" s="311">
        <v>12.2</v>
      </c>
      <c r="F6" s="311">
        <v>0.25</v>
      </c>
      <c r="G6" s="312">
        <v>11.95</v>
      </c>
      <c r="H6" s="313"/>
      <c r="I6" s="311">
        <v>2.0449999999999999</v>
      </c>
      <c r="J6" s="311">
        <v>2.3223809523809522</v>
      </c>
      <c r="K6" s="314">
        <v>0.41</v>
      </c>
      <c r="L6" s="311">
        <v>9.9049999999999994</v>
      </c>
      <c r="M6" s="311"/>
      <c r="N6" s="312"/>
      <c r="O6" s="311"/>
      <c r="P6" s="311">
        <v>0.83844999999999992</v>
      </c>
      <c r="Q6" s="311"/>
      <c r="R6" s="311"/>
      <c r="S6" s="312"/>
      <c r="V6" s="308"/>
      <c r="W6" s="691"/>
    </row>
    <row r="7" spans="1:23" s="307" customFormat="1" ht="15.75" customHeight="1">
      <c r="A7" s="310">
        <v>44065</v>
      </c>
      <c r="B7" s="77" t="s">
        <v>43</v>
      </c>
      <c r="C7" s="77" t="s">
        <v>45</v>
      </c>
      <c r="D7" s="78" t="s">
        <v>41</v>
      </c>
      <c r="E7" s="311">
        <v>9.15</v>
      </c>
      <c r="F7" s="311">
        <v>2.39</v>
      </c>
      <c r="G7" s="312">
        <v>6.76</v>
      </c>
      <c r="H7" s="313">
        <v>0</v>
      </c>
      <c r="I7" s="311"/>
      <c r="J7" s="311"/>
      <c r="K7" s="314"/>
      <c r="L7" s="311"/>
      <c r="M7" s="311"/>
      <c r="N7" s="312"/>
      <c r="O7" s="311">
        <v>-3.6689499999999997</v>
      </c>
      <c r="P7" s="311"/>
      <c r="Q7" s="311">
        <v>-2.8304999999999998</v>
      </c>
      <c r="R7" s="311"/>
      <c r="S7" s="312"/>
      <c r="V7" s="308"/>
      <c r="W7" s="692"/>
    </row>
    <row r="8" spans="1:23" s="307" customFormat="1" ht="15.75" customHeight="1">
      <c r="A8" s="310">
        <v>44313</v>
      </c>
      <c r="B8" s="77" t="s">
        <v>44</v>
      </c>
      <c r="C8" s="77" t="s">
        <v>45</v>
      </c>
      <c r="D8" s="78" t="s">
        <v>40</v>
      </c>
      <c r="E8" s="311">
        <v>9.15</v>
      </c>
      <c r="F8" s="311">
        <v>2.0299999999999998</v>
      </c>
      <c r="G8" s="312">
        <v>7.12</v>
      </c>
      <c r="H8" s="313"/>
      <c r="I8" s="311">
        <v>0.8125</v>
      </c>
      <c r="J8" s="311">
        <v>0.97624999999999995</v>
      </c>
      <c r="K8" s="314">
        <v>0.37</v>
      </c>
      <c r="L8" s="311">
        <v>6.1437499999999998</v>
      </c>
      <c r="M8" s="311"/>
      <c r="N8" s="312"/>
      <c r="O8" s="311"/>
      <c r="P8" s="311">
        <v>0.30062499999999998</v>
      </c>
      <c r="Q8" s="311"/>
      <c r="R8" s="311">
        <v>-0.55462500000000003</v>
      </c>
      <c r="S8" s="312"/>
      <c r="V8" s="308"/>
      <c r="W8" s="692"/>
    </row>
    <row r="9" spans="1:23" s="307" customFormat="1" ht="15.75" customHeight="1">
      <c r="A9" s="310">
        <v>44413</v>
      </c>
      <c r="B9" s="315" t="s">
        <v>95</v>
      </c>
      <c r="C9" s="315" t="s">
        <v>45</v>
      </c>
      <c r="D9" s="316" t="s">
        <v>41</v>
      </c>
      <c r="E9" s="311">
        <v>6.1</v>
      </c>
      <c r="F9" s="311">
        <v>2.63</v>
      </c>
      <c r="G9" s="312">
        <v>3.4699999999999998</v>
      </c>
      <c r="H9" s="313"/>
      <c r="I9" s="311"/>
      <c r="J9" s="311"/>
      <c r="K9" s="314"/>
      <c r="L9" s="311"/>
      <c r="M9" s="311"/>
      <c r="N9" s="312"/>
      <c r="O9" s="311"/>
      <c r="P9" s="311"/>
      <c r="Q9" s="311">
        <v>-2.4063750000000002</v>
      </c>
      <c r="R9" s="311"/>
      <c r="S9" s="312"/>
      <c r="V9" s="308"/>
      <c r="W9" s="692"/>
    </row>
    <row r="10" spans="1:23" s="307" customFormat="1" ht="15.75" customHeight="1">
      <c r="A10" s="310">
        <v>44429</v>
      </c>
      <c r="B10" s="315" t="s">
        <v>95</v>
      </c>
      <c r="C10" s="688" t="s">
        <v>45</v>
      </c>
      <c r="D10" s="316" t="s">
        <v>41</v>
      </c>
      <c r="E10" s="311">
        <v>3.05</v>
      </c>
      <c r="F10" s="311">
        <v>0.1</v>
      </c>
      <c r="G10" s="312">
        <v>2.9499999999999997</v>
      </c>
      <c r="H10" s="313">
        <f>G10-G9</f>
        <v>-0.52</v>
      </c>
      <c r="I10" s="311"/>
      <c r="J10" s="311"/>
      <c r="K10" s="314"/>
      <c r="L10" s="311"/>
      <c r="M10" s="311"/>
      <c r="N10" s="312"/>
      <c r="O10" s="311">
        <v>-3.1750000000000003</v>
      </c>
      <c r="P10" s="311"/>
      <c r="Q10" s="311">
        <v>-2.8743750000000001</v>
      </c>
      <c r="R10" s="311"/>
      <c r="S10" s="312">
        <v>0</v>
      </c>
      <c r="V10" s="308"/>
      <c r="W10" s="692"/>
    </row>
    <row r="11" spans="1:23" s="307" customFormat="1" ht="15.75" customHeight="1">
      <c r="A11" s="310">
        <v>44669</v>
      </c>
      <c r="B11" s="315" t="s">
        <v>106</v>
      </c>
      <c r="C11" s="688" t="s">
        <v>45</v>
      </c>
      <c r="D11" s="316" t="s">
        <v>40</v>
      </c>
      <c r="E11" s="311">
        <v>5.35</v>
      </c>
      <c r="F11" s="311">
        <v>1.68</v>
      </c>
      <c r="G11" s="312">
        <f>E11-F11</f>
        <v>3.67</v>
      </c>
      <c r="H11" s="313"/>
      <c r="I11" s="311">
        <f>1.27</f>
        <v>1.27</v>
      </c>
      <c r="J11" s="311">
        <v>1.34</v>
      </c>
      <c r="K11" s="314">
        <v>0.32</v>
      </c>
      <c r="L11" s="311">
        <f>G11-I11</f>
        <v>2.4</v>
      </c>
      <c r="M11" s="311"/>
      <c r="N11" s="312"/>
      <c r="O11" s="311"/>
      <c r="P11" s="311">
        <f>I11*K11</f>
        <v>0.40640000000000004</v>
      </c>
      <c r="Q11" s="311"/>
      <c r="R11" s="311">
        <f>(L11-G10)*0.9</f>
        <v>-0.49499999999999983</v>
      </c>
      <c r="S11" s="312"/>
      <c r="V11" s="308"/>
      <c r="W11" s="692"/>
    </row>
    <row r="12" spans="1:23" s="307" customFormat="1" ht="15.75" customHeight="1">
      <c r="A12" s="310"/>
      <c r="B12" s="315"/>
      <c r="C12" s="688"/>
      <c r="D12" s="316"/>
      <c r="E12" s="311"/>
      <c r="F12" s="311"/>
      <c r="G12" s="312"/>
      <c r="H12" s="313"/>
      <c r="I12" s="311"/>
      <c r="J12" s="311"/>
      <c r="K12" s="314"/>
      <c r="L12" s="311"/>
      <c r="M12" s="311"/>
      <c r="N12" s="312"/>
      <c r="O12" s="311"/>
      <c r="P12" s="311"/>
      <c r="Q12" s="311"/>
      <c r="R12" s="311"/>
      <c r="S12" s="312"/>
      <c r="V12" s="308"/>
      <c r="W12" s="692"/>
    </row>
    <row r="13" spans="1:23" ht="15.75" customHeight="1">
      <c r="A13" s="13"/>
      <c r="B13" s="13"/>
      <c r="C13" s="686"/>
      <c r="D13" s="689"/>
      <c r="E13" s="14"/>
      <c r="F13" s="14"/>
      <c r="G13" s="678"/>
      <c r="H13" s="681"/>
      <c r="I13" s="13"/>
      <c r="J13" s="13"/>
      <c r="K13" s="686"/>
      <c r="L13" s="13"/>
      <c r="M13" s="13"/>
      <c r="N13" s="678"/>
      <c r="O13" s="13"/>
      <c r="P13" s="13"/>
      <c r="Q13" s="13"/>
      <c r="R13" s="7"/>
      <c r="S13" s="684"/>
      <c r="T13" s="7"/>
      <c r="U13" s="7"/>
      <c r="V13" s="63"/>
      <c r="W13" s="693"/>
    </row>
    <row r="14" spans="1:23" ht="15.75" customHeight="1">
      <c r="A14" s="379">
        <v>44413</v>
      </c>
      <c r="B14" s="376" t="s">
        <v>95</v>
      </c>
      <c r="C14" s="687" t="s">
        <v>103</v>
      </c>
      <c r="D14" s="690" t="s">
        <v>41</v>
      </c>
      <c r="E14" s="377">
        <v>6.1</v>
      </c>
      <c r="F14" s="377">
        <v>1.7</v>
      </c>
      <c r="G14" s="679">
        <v>4.3999999999999995</v>
      </c>
      <c r="H14" s="682"/>
      <c r="I14" s="376"/>
      <c r="J14" s="376"/>
      <c r="K14" s="687"/>
      <c r="L14" s="376"/>
      <c r="M14" s="376"/>
      <c r="N14" s="680"/>
      <c r="O14" s="376"/>
      <c r="P14" s="376"/>
      <c r="Q14" s="376"/>
      <c r="R14" s="378"/>
      <c r="S14" s="114"/>
      <c r="T14" s="378"/>
      <c r="U14" s="378"/>
      <c r="V14" s="685"/>
      <c r="W14" s="694"/>
    </row>
    <row r="15" spans="1:23" ht="15.75" customHeight="1">
      <c r="A15" s="379">
        <v>44429</v>
      </c>
      <c r="B15" s="376" t="s">
        <v>95</v>
      </c>
      <c r="C15" s="687" t="s">
        <v>103</v>
      </c>
      <c r="D15" s="690" t="s">
        <v>41</v>
      </c>
      <c r="E15" s="377">
        <v>6.1</v>
      </c>
      <c r="F15" s="377">
        <v>2.15</v>
      </c>
      <c r="G15" s="679">
        <v>3.9499999999999997</v>
      </c>
      <c r="H15" s="683">
        <f>G15-G14</f>
        <v>-0.44999999999999973</v>
      </c>
      <c r="I15" s="376"/>
      <c r="J15" s="376"/>
      <c r="K15" s="687"/>
      <c r="L15" s="376"/>
      <c r="M15" s="376"/>
      <c r="N15" s="680"/>
      <c r="O15" s="376"/>
      <c r="P15" s="376"/>
      <c r="Q15" s="376"/>
      <c r="R15" s="378"/>
      <c r="S15" s="114"/>
      <c r="T15" s="378"/>
      <c r="U15" s="378"/>
      <c r="V15" s="685"/>
      <c r="W15" s="694"/>
    </row>
    <row r="16" spans="1:23" s="132" customFormat="1" ht="15.75" customHeight="1">
      <c r="A16" s="278">
        <v>44669</v>
      </c>
      <c r="B16" s="279" t="s">
        <v>106</v>
      </c>
      <c r="C16" s="280" t="s">
        <v>103</v>
      </c>
      <c r="D16" s="281" t="s">
        <v>40</v>
      </c>
      <c r="E16" s="282">
        <v>6.75</v>
      </c>
      <c r="F16" s="282">
        <v>2.0499999999999998</v>
      </c>
      <c r="G16" s="283">
        <f>E16-F16</f>
        <v>4.7</v>
      </c>
      <c r="H16" s="713"/>
      <c r="I16" s="279">
        <v>1.25</v>
      </c>
      <c r="J16" s="279">
        <v>1.34</v>
      </c>
      <c r="K16" s="280">
        <v>0.32</v>
      </c>
      <c r="L16" s="282">
        <f>G16-I16</f>
        <v>3.45</v>
      </c>
      <c r="M16" s="279"/>
      <c r="N16" s="712"/>
      <c r="O16" s="279"/>
      <c r="P16" s="279">
        <f>I16*K16</f>
        <v>0.4</v>
      </c>
      <c r="Q16" s="279"/>
      <c r="R16" s="714">
        <f>(L16-G15)*0.9</f>
        <v>-0.44999999999999962</v>
      </c>
      <c r="S16" s="715"/>
      <c r="T16" s="714"/>
      <c r="U16" s="714"/>
      <c r="V16" s="716"/>
      <c r="W16" s="717"/>
    </row>
    <row r="17" spans="1:23" ht="15.75" customHeight="1">
      <c r="A17" s="376"/>
      <c r="B17" s="376"/>
      <c r="C17" s="687"/>
      <c r="D17" s="690"/>
      <c r="E17" s="377"/>
      <c r="F17" s="377"/>
      <c r="G17" s="680"/>
      <c r="H17" s="682"/>
      <c r="I17" s="376"/>
      <c r="J17" s="376"/>
      <c r="K17" s="687"/>
      <c r="L17" s="376"/>
      <c r="M17" s="376"/>
      <c r="N17" s="680"/>
      <c r="O17" s="376"/>
      <c r="P17" s="376"/>
      <c r="Q17" s="376"/>
      <c r="R17" s="378"/>
      <c r="S17" s="114"/>
      <c r="T17" s="378"/>
      <c r="U17" s="378"/>
      <c r="V17" s="685"/>
      <c r="W17" s="694"/>
    </row>
    <row r="18" spans="1:23" s="48" customFormat="1" ht="15.75" customHeight="1">
      <c r="A18" s="332"/>
      <c r="B18" s="332"/>
      <c r="C18" s="695"/>
      <c r="D18" s="696"/>
      <c r="E18" s="697"/>
      <c r="F18" s="697"/>
      <c r="G18" s="698"/>
      <c r="H18" s="699"/>
      <c r="I18" s="332"/>
      <c r="J18" s="332"/>
      <c r="K18" s="695"/>
      <c r="L18" s="332"/>
      <c r="M18" s="332"/>
      <c r="N18" s="698"/>
      <c r="O18" s="332"/>
      <c r="P18" s="332"/>
      <c r="Q18" s="332"/>
      <c r="R18" s="16"/>
      <c r="S18" s="399"/>
      <c r="T18" s="16"/>
      <c r="U18" s="16"/>
      <c r="V18" s="700"/>
      <c r="W18" s="701"/>
    </row>
    <row r="19" spans="1:23" s="728" customFormat="1" ht="15.75" customHeight="1">
      <c r="A19" s="729">
        <v>44669</v>
      </c>
      <c r="B19" s="718" t="s">
        <v>106</v>
      </c>
      <c r="C19" s="719" t="s">
        <v>170</v>
      </c>
      <c r="D19" s="720" t="s">
        <v>40</v>
      </c>
      <c r="E19" s="721">
        <v>9.15</v>
      </c>
      <c r="F19" s="721">
        <v>-2.9</v>
      </c>
      <c r="G19" s="730">
        <f>E19-F19</f>
        <v>12.05</v>
      </c>
      <c r="H19" s="723"/>
      <c r="I19" s="718">
        <v>1.31</v>
      </c>
      <c r="J19" s="718">
        <v>1.34</v>
      </c>
      <c r="K19" s="719">
        <v>0.32</v>
      </c>
      <c r="L19" s="721">
        <f>G19-I19</f>
        <v>10.74</v>
      </c>
      <c r="M19" s="718"/>
      <c r="N19" s="722"/>
      <c r="O19" s="718"/>
      <c r="P19" s="721">
        <f>K19*I19</f>
        <v>0.41920000000000002</v>
      </c>
      <c r="Q19" s="718"/>
      <c r="R19" s="724"/>
      <c r="S19" s="725"/>
      <c r="T19" s="724"/>
      <c r="U19" s="724"/>
      <c r="V19" s="726"/>
      <c r="W19" s="727"/>
    </row>
    <row r="20" spans="1:23" s="711" customFormat="1" ht="15.75" customHeight="1">
      <c r="A20" s="951">
        <v>44797</v>
      </c>
      <c r="B20" s="702" t="s">
        <v>179</v>
      </c>
      <c r="C20" s="703" t="s">
        <v>170</v>
      </c>
      <c r="D20" s="704" t="s">
        <v>41</v>
      </c>
      <c r="E20" s="705">
        <v>9.15</v>
      </c>
      <c r="F20" s="705">
        <v>2.2799999999999998</v>
      </c>
      <c r="G20" s="952">
        <f>E20-F20</f>
        <v>6.870000000000001</v>
      </c>
      <c r="H20" s="707"/>
      <c r="I20" s="702"/>
      <c r="J20" s="702"/>
      <c r="K20" s="703"/>
      <c r="L20" s="702"/>
      <c r="M20" s="702"/>
      <c r="N20" s="706"/>
      <c r="O20" s="705">
        <f>Q20-P19</f>
        <v>-3.9021999999999992</v>
      </c>
      <c r="P20" s="702"/>
      <c r="Q20" s="705">
        <f>(G20-L19)*0.9</f>
        <v>-3.4829999999999992</v>
      </c>
      <c r="R20" s="708"/>
      <c r="S20" s="706">
        <v>0</v>
      </c>
      <c r="T20" s="708"/>
      <c r="U20" s="708"/>
      <c r="V20" s="709"/>
      <c r="W20" s="710"/>
    </row>
    <row r="21" spans="1:23" s="711" customFormat="1" ht="15.75" customHeight="1">
      <c r="A21" s="951">
        <v>45033</v>
      </c>
      <c r="B21" s="702" t="s">
        <v>182</v>
      </c>
      <c r="C21" s="702" t="s">
        <v>170</v>
      </c>
      <c r="D21" s="702" t="s">
        <v>40</v>
      </c>
      <c r="E21" s="705">
        <v>9.15</v>
      </c>
      <c r="F21" s="705">
        <v>1.1000000000000001</v>
      </c>
      <c r="G21" s="705">
        <f>E21-F21</f>
        <v>8.0500000000000007</v>
      </c>
      <c r="H21" s="702"/>
      <c r="I21" s="702">
        <f>AVERAGE('20230417_Probes_AU'!M12:M15)/100</f>
        <v>1.53</v>
      </c>
      <c r="J21" s="702">
        <f>AVERAGE(1.64,1.51,1.52,1.45)</f>
        <v>1.53</v>
      </c>
      <c r="K21" s="705">
        <f>'20230416_Pit_AB'!I4</f>
        <v>0.39104554865424435</v>
      </c>
      <c r="L21" s="705">
        <f>G21-J21</f>
        <v>6.5200000000000005</v>
      </c>
      <c r="M21" s="702"/>
      <c r="N21" s="702"/>
      <c r="O21" s="705"/>
      <c r="P21" s="705">
        <f>J21*K21</f>
        <v>0.59829968944099388</v>
      </c>
      <c r="Q21" s="705"/>
      <c r="R21" s="1028">
        <f>(L21-G20)*0.9</f>
        <v>-0.3150000000000005</v>
      </c>
      <c r="S21" s="702"/>
      <c r="T21" s="708">
        <v>579467.40899999999</v>
      </c>
      <c r="U21" s="708">
        <v>7016099.1809999999</v>
      </c>
      <c r="V21" s="711">
        <v>1436.6289999999999</v>
      </c>
    </row>
    <row r="22" spans="1:23" s="711" customFormat="1" ht="15.75" customHeight="1">
      <c r="A22" s="951">
        <v>45092</v>
      </c>
      <c r="B22" s="702" t="s">
        <v>213</v>
      </c>
      <c r="C22" s="702" t="s">
        <v>170</v>
      </c>
      <c r="D22" s="702" t="s">
        <v>40</v>
      </c>
      <c r="E22" s="705">
        <v>9.15</v>
      </c>
      <c r="F22" s="705">
        <f>E22-G22</f>
        <v>1.7600000000000007</v>
      </c>
      <c r="G22" s="705">
        <v>7.39</v>
      </c>
      <c r="H22" s="705">
        <f>G22-G21</f>
        <v>-0.66000000000000103</v>
      </c>
      <c r="I22" s="702"/>
      <c r="J22" s="702"/>
      <c r="K22" s="705"/>
      <c r="L22" s="705"/>
      <c r="M22" s="702"/>
      <c r="N22" s="702"/>
      <c r="O22" s="705"/>
      <c r="P22" s="705"/>
      <c r="Q22" s="705"/>
      <c r="R22" s="1028"/>
      <c r="S22" s="702"/>
      <c r="T22" s="708"/>
      <c r="U22" s="708"/>
    </row>
    <row r="23" spans="1:23" s="711" customFormat="1" ht="15.75" customHeight="1">
      <c r="A23" s="951">
        <v>45161</v>
      </c>
      <c r="B23" s="702" t="s">
        <v>214</v>
      </c>
      <c r="C23" s="702" t="s">
        <v>170</v>
      </c>
      <c r="D23" s="702" t="s">
        <v>41</v>
      </c>
      <c r="E23" s="705">
        <v>6.1</v>
      </c>
      <c r="F23" s="705">
        <f>E23-G23</f>
        <v>3.0399999999999996</v>
      </c>
      <c r="G23" s="705">
        <v>3.06</v>
      </c>
      <c r="H23" s="705"/>
      <c r="I23" s="702"/>
      <c r="J23" s="702"/>
      <c r="K23" s="705"/>
      <c r="L23" s="705"/>
      <c r="M23" s="702"/>
      <c r="N23" s="702"/>
      <c r="O23" s="705">
        <f>Q23-P21</f>
        <v>-3.7122996894409943</v>
      </c>
      <c r="P23" s="705"/>
      <c r="Q23" s="705">
        <f>(G23-L21)*0.9</f>
        <v>-3.1140000000000003</v>
      </c>
      <c r="R23" s="1028"/>
      <c r="S23" s="702"/>
      <c r="T23" s="708"/>
      <c r="U23" s="708"/>
    </row>
    <row r="24" spans="1:23" s="711" customFormat="1" ht="15.75" customHeight="1">
      <c r="A24" s="951"/>
      <c r="B24" s="702"/>
      <c r="C24" s="702"/>
      <c r="D24" s="702"/>
      <c r="E24" s="705"/>
      <c r="F24" s="705"/>
      <c r="G24" s="705"/>
      <c r="H24" s="705"/>
      <c r="I24" s="702"/>
      <c r="J24" s="702"/>
      <c r="K24" s="705"/>
      <c r="L24" s="705"/>
      <c r="M24" s="702"/>
      <c r="N24" s="702"/>
      <c r="O24" s="705"/>
      <c r="P24" s="705"/>
      <c r="Q24" s="705"/>
      <c r="R24" s="1028"/>
      <c r="S24" s="702"/>
      <c r="T24" s="708"/>
      <c r="U24" s="708"/>
    </row>
    <row r="25" spans="1:23" s="711" customFormat="1" ht="15.75" customHeight="1">
      <c r="A25" s="951"/>
      <c r="B25" s="702"/>
      <c r="C25" s="702"/>
      <c r="D25" s="702"/>
      <c r="E25" s="705"/>
      <c r="F25" s="705"/>
      <c r="G25" s="705"/>
      <c r="H25" s="705"/>
      <c r="I25" s="702"/>
      <c r="J25" s="702"/>
      <c r="K25" s="705"/>
      <c r="L25" s="705"/>
      <c r="M25" s="702"/>
      <c r="N25" s="702"/>
      <c r="O25" s="705"/>
      <c r="P25" s="705"/>
      <c r="Q25" s="705"/>
      <c r="R25" s="1028"/>
      <c r="S25" s="702"/>
      <c r="T25" s="708"/>
      <c r="U25" s="708"/>
    </row>
    <row r="26" spans="1:23" ht="15.75" customHeight="1">
      <c r="A26" s="13"/>
      <c r="B26" s="13"/>
      <c r="C26" s="13"/>
      <c r="D26" s="13"/>
      <c r="E26" s="14"/>
      <c r="F26" s="14"/>
      <c r="G26" s="13"/>
      <c r="H26" s="13"/>
      <c r="I26" s="13"/>
      <c r="J26" s="13"/>
      <c r="K26" s="13"/>
      <c r="L26" s="13"/>
      <c r="M26" s="13"/>
      <c r="N26" s="13"/>
      <c r="O26" s="13"/>
      <c r="P26" s="13"/>
      <c r="Q26" s="13"/>
      <c r="R26" s="7"/>
      <c r="S26" s="7"/>
      <c r="T26" s="7"/>
      <c r="U26" s="7"/>
    </row>
    <row r="27" spans="1:23" ht="15.75" customHeight="1" thickBot="1">
      <c r="A27" s="13"/>
      <c r="B27" s="13"/>
      <c r="C27" s="13"/>
      <c r="D27" s="13"/>
      <c r="E27" s="14"/>
      <c r="F27" s="14"/>
      <c r="G27" s="13"/>
      <c r="H27" s="13"/>
      <c r="I27" s="13"/>
      <c r="J27" s="13"/>
      <c r="K27" s="13"/>
      <c r="L27" s="13"/>
      <c r="M27" s="13"/>
      <c r="N27" s="13"/>
      <c r="O27" s="13"/>
      <c r="P27" s="13"/>
      <c r="Q27" s="13"/>
      <c r="R27" s="7"/>
      <c r="S27" s="7"/>
      <c r="T27" s="7"/>
      <c r="U27" s="7"/>
    </row>
    <row r="28" spans="1:23" ht="15.75" customHeight="1">
      <c r="A28" s="1093" t="s">
        <v>46</v>
      </c>
      <c r="B28" s="1094"/>
      <c r="C28" s="1097" t="s">
        <v>47</v>
      </c>
      <c r="D28" s="1098"/>
      <c r="E28" s="79" t="s">
        <v>48</v>
      </c>
      <c r="F28" s="80"/>
      <c r="G28" s="79" t="s">
        <v>49</v>
      </c>
      <c r="H28" s="80"/>
      <c r="I28" s="81" t="s">
        <v>50</v>
      </c>
      <c r="Q28" s="48"/>
      <c r="R28" s="16"/>
      <c r="S28" s="16"/>
      <c r="T28" s="16"/>
      <c r="U28" s="7"/>
    </row>
    <row r="29" spans="1:23" ht="15.75" customHeight="1">
      <c r="A29" s="1095"/>
      <c r="B29" s="1096"/>
      <c r="C29" s="82" t="s">
        <v>51</v>
      </c>
      <c r="D29" s="82" t="s">
        <v>52</v>
      </c>
      <c r="E29" s="83">
        <f>A20</f>
        <v>44797</v>
      </c>
      <c r="F29" s="84" t="s">
        <v>53</v>
      </c>
      <c r="G29" s="85">
        <f>A21</f>
        <v>45033</v>
      </c>
      <c r="H29" s="84" t="s">
        <v>53</v>
      </c>
      <c r="I29" s="86">
        <f>A23</f>
        <v>45161</v>
      </c>
      <c r="Q29" s="48"/>
      <c r="R29" s="21"/>
      <c r="S29" s="21"/>
      <c r="T29" s="16"/>
      <c r="U29" s="7"/>
    </row>
    <row r="30" spans="1:23" ht="15.75" customHeight="1">
      <c r="A30" s="87"/>
      <c r="B30" s="88" t="s">
        <v>54</v>
      </c>
      <c r="C30" s="9">
        <f>P21</f>
        <v>0.59829968944099388</v>
      </c>
      <c r="D30" s="9"/>
      <c r="E30" s="8"/>
      <c r="F30" s="8"/>
      <c r="G30" s="89"/>
      <c r="H30" s="9"/>
      <c r="I30" s="90"/>
      <c r="Q30" s="48"/>
      <c r="R30" s="21"/>
      <c r="S30" s="21"/>
      <c r="T30" s="16"/>
      <c r="U30" s="7"/>
    </row>
    <row r="31" spans="1:23" ht="15.75" customHeight="1">
      <c r="A31" s="87"/>
      <c r="B31" s="88" t="s">
        <v>55</v>
      </c>
      <c r="C31" s="9">
        <f>O23</f>
        <v>-3.7122996894409943</v>
      </c>
      <c r="D31" s="9"/>
      <c r="E31" s="8"/>
      <c r="F31" s="8"/>
      <c r="G31" s="89"/>
      <c r="H31" s="9"/>
      <c r="I31" s="90"/>
      <c r="Q31" s="48"/>
      <c r="R31" s="21"/>
      <c r="S31" s="21"/>
      <c r="T31" s="16"/>
      <c r="U31" s="7"/>
    </row>
    <row r="32" spans="1:23" ht="15.75" customHeight="1">
      <c r="A32" s="87"/>
      <c r="B32" s="88" t="s">
        <v>56</v>
      </c>
      <c r="C32" s="9">
        <f>Q23</f>
        <v>-3.1140000000000003</v>
      </c>
      <c r="D32" s="9"/>
      <c r="E32" s="8"/>
      <c r="F32" s="8"/>
      <c r="G32" s="89"/>
      <c r="H32" s="9"/>
      <c r="I32" s="90"/>
      <c r="Q32" s="48"/>
      <c r="R32" s="21"/>
      <c r="S32" s="21"/>
      <c r="T32" s="16"/>
      <c r="U32" s="7"/>
    </row>
    <row r="33" spans="1:21" ht="15.75" customHeight="1">
      <c r="A33" s="87"/>
      <c r="B33" s="91" t="s">
        <v>57</v>
      </c>
      <c r="C33" s="9">
        <v>0</v>
      </c>
      <c r="D33" s="9"/>
      <c r="E33" s="8"/>
      <c r="F33" s="8"/>
      <c r="G33" s="9"/>
      <c r="H33" s="9"/>
      <c r="I33" s="90"/>
      <c r="Q33" s="48"/>
      <c r="R33" s="21"/>
      <c r="S33" s="21"/>
      <c r="T33" s="16"/>
      <c r="U33" s="7"/>
    </row>
    <row r="34" spans="1:21" ht="15.75" customHeight="1">
      <c r="A34" s="87"/>
      <c r="B34" s="92" t="s">
        <v>58</v>
      </c>
      <c r="C34" s="9">
        <f>R21</f>
        <v>-0.3150000000000005</v>
      </c>
      <c r="D34" s="9"/>
      <c r="E34" s="8"/>
      <c r="F34" s="8"/>
      <c r="G34" s="9"/>
      <c r="H34" s="9"/>
      <c r="I34" s="90"/>
      <c r="Q34" s="48"/>
      <c r="R34" s="21"/>
      <c r="S34" s="21"/>
      <c r="T34" s="16"/>
      <c r="U34" s="7"/>
    </row>
    <row r="35" spans="1:21" ht="15.75" customHeight="1" thickBot="1">
      <c r="A35" s="93"/>
      <c r="B35" s="94" t="s">
        <v>59</v>
      </c>
      <c r="C35" s="95">
        <v>0</v>
      </c>
      <c r="D35" s="95"/>
      <c r="E35" s="96"/>
      <c r="F35" s="96"/>
      <c r="G35" s="97"/>
      <c r="H35" s="97"/>
      <c r="I35" s="98"/>
      <c r="Q35" s="48"/>
      <c r="R35" s="21"/>
      <c r="S35" s="21"/>
      <c r="T35" s="16"/>
      <c r="U35" s="7"/>
    </row>
    <row r="36" spans="1:21" ht="15.75" customHeight="1">
      <c r="A36" s="7"/>
      <c r="B36" s="7"/>
      <c r="C36" s="7"/>
      <c r="D36" s="7"/>
      <c r="E36" s="7"/>
      <c r="F36" s="7"/>
      <c r="G36" s="7"/>
      <c r="H36" s="7"/>
      <c r="I36" s="7"/>
      <c r="J36" s="7"/>
      <c r="K36" s="7"/>
      <c r="L36" s="7"/>
      <c r="M36" s="7"/>
      <c r="N36" s="7"/>
      <c r="O36" s="7"/>
      <c r="P36" s="7"/>
      <c r="Q36" s="16"/>
      <c r="R36" s="16"/>
      <c r="S36" s="16"/>
      <c r="T36" s="16"/>
      <c r="U36" s="7"/>
    </row>
  </sheetData>
  <mergeCells count="6">
    <mergeCell ref="T1:V1"/>
    <mergeCell ref="T2:U2"/>
    <mergeCell ref="E3:G3"/>
    <mergeCell ref="T3:U3"/>
    <mergeCell ref="A28:B29"/>
    <mergeCell ref="C28:D28"/>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W32"/>
  <sheetViews>
    <sheetView topLeftCell="L1" zoomScale="85" zoomScaleNormal="85" workbookViewId="0">
      <selection sqref="A1:XFD1"/>
    </sheetView>
  </sheetViews>
  <sheetFormatPr defaultColWidth="17.28515625" defaultRowHeight="15.75" customHeight="1"/>
  <cols>
    <col min="1" max="1" width="12.42578125" style="309" customWidth="1"/>
    <col min="2" max="2" width="27.28515625" style="309" customWidth="1"/>
    <col min="3" max="3" width="11.28515625" style="309" bestFit="1" customWidth="1"/>
    <col min="4" max="4" width="20" style="309" bestFit="1" customWidth="1"/>
    <col min="5" max="5" width="10.5703125" style="309" bestFit="1" customWidth="1"/>
    <col min="6" max="7" width="13.7109375" style="309" bestFit="1" customWidth="1"/>
    <col min="8" max="8" width="14.42578125" style="309" bestFit="1" customWidth="1"/>
    <col min="9" max="9" width="17.28515625" style="309" bestFit="1" customWidth="1"/>
    <col min="10" max="10" width="19.5703125" style="309" bestFit="1" customWidth="1"/>
    <col min="11" max="11" width="16.42578125" style="309" bestFit="1" customWidth="1"/>
    <col min="12" max="12" width="18" style="309" customWidth="1"/>
    <col min="13" max="13" width="22.140625" style="309" customWidth="1"/>
    <col min="14" max="14" width="11.5703125" style="309" bestFit="1" customWidth="1"/>
    <col min="15" max="15" width="11.28515625" style="309" bestFit="1" customWidth="1"/>
    <col min="16" max="17" width="7.85546875" style="309" bestFit="1" customWidth="1"/>
    <col min="18" max="18" width="14.7109375" style="309" bestFit="1" customWidth="1"/>
    <col min="19" max="19" width="20.7109375" style="309" bestFit="1" customWidth="1"/>
    <col min="20" max="20" width="21" style="309" bestFit="1" customWidth="1"/>
    <col min="21" max="21" width="8.7109375" style="309" bestFit="1" customWidth="1"/>
    <col min="22" max="16384" width="17.28515625" style="309"/>
  </cols>
  <sheetData>
    <row r="3" spans="1:23" ht="35.65" customHeight="1">
      <c r="A3" s="31"/>
      <c r="B3" s="4"/>
      <c r="C3" s="22"/>
      <c r="D3" s="19"/>
      <c r="E3" s="1088" t="s">
        <v>13</v>
      </c>
      <c r="F3" s="1089"/>
      <c r="G3" s="1090"/>
      <c r="H3" s="52"/>
      <c r="I3" s="365"/>
      <c r="J3" s="5"/>
      <c r="K3" s="365"/>
      <c r="L3" s="55"/>
      <c r="M3" s="2"/>
      <c r="N3" s="5"/>
      <c r="O3" s="64"/>
      <c r="P3" s="5"/>
      <c r="Q3" s="5"/>
      <c r="R3" s="17"/>
      <c r="S3" s="65"/>
      <c r="T3" s="1091" t="s">
        <v>14</v>
      </c>
      <c r="U3" s="1092"/>
      <c r="V3" s="366"/>
      <c r="W3" s="18"/>
    </row>
    <row r="4" spans="1:23" s="317" customFormat="1" ht="35.65" customHeight="1">
      <c r="A4" s="32" t="s">
        <v>15</v>
      </c>
      <c r="B4" s="6" t="s">
        <v>16</v>
      </c>
      <c r="C4" s="23" t="s">
        <v>17</v>
      </c>
      <c r="D4" s="66" t="s">
        <v>18</v>
      </c>
      <c r="E4" s="67" t="s">
        <v>19</v>
      </c>
      <c r="F4" s="6" t="s">
        <v>20</v>
      </c>
      <c r="G4" s="10" t="s">
        <v>21</v>
      </c>
      <c r="H4" s="53" t="s">
        <v>22</v>
      </c>
      <c r="I4" s="10" t="s">
        <v>23</v>
      </c>
      <c r="J4" s="10" t="s">
        <v>24</v>
      </c>
      <c r="K4" s="6" t="s">
        <v>25</v>
      </c>
      <c r="L4" s="68" t="s">
        <v>26</v>
      </c>
      <c r="M4" s="68" t="s">
        <v>27</v>
      </c>
      <c r="N4" s="10" t="s">
        <v>28</v>
      </c>
      <c r="O4" s="69" t="s">
        <v>29</v>
      </c>
      <c r="P4" s="10" t="s">
        <v>30</v>
      </c>
      <c r="Q4" s="10" t="s">
        <v>31</v>
      </c>
      <c r="R4" s="70" t="s">
        <v>3</v>
      </c>
      <c r="S4" s="71" t="s">
        <v>4</v>
      </c>
      <c r="T4" s="72" t="s">
        <v>32</v>
      </c>
      <c r="U4" s="72" t="s">
        <v>33</v>
      </c>
      <c r="V4" s="73" t="s">
        <v>0</v>
      </c>
      <c r="W4" s="23" t="s">
        <v>34</v>
      </c>
    </row>
    <row r="5" spans="1:23" ht="15.75" customHeight="1" thickBot="1">
      <c r="A5" s="33" t="s">
        <v>35</v>
      </c>
      <c r="B5" s="34"/>
      <c r="C5" s="46"/>
      <c r="D5" s="35"/>
      <c r="E5" s="37" t="s">
        <v>36</v>
      </c>
      <c r="F5" s="37" t="s">
        <v>36</v>
      </c>
      <c r="G5" s="117" t="s">
        <v>36</v>
      </c>
      <c r="H5" s="117" t="s">
        <v>36</v>
      </c>
      <c r="I5" s="37" t="s">
        <v>36</v>
      </c>
      <c r="J5" s="37" t="s">
        <v>36</v>
      </c>
      <c r="K5" s="36" t="s">
        <v>37</v>
      </c>
      <c r="L5" s="47" t="s">
        <v>36</v>
      </c>
      <c r="M5" s="38" t="s">
        <v>36</v>
      </c>
      <c r="N5" s="38" t="s">
        <v>37</v>
      </c>
      <c r="O5" s="75" t="s">
        <v>38</v>
      </c>
      <c r="P5" s="39" t="s">
        <v>38</v>
      </c>
      <c r="Q5" s="39" t="s">
        <v>38</v>
      </c>
      <c r="R5" s="42" t="s">
        <v>38</v>
      </c>
      <c r="S5" s="76" t="s">
        <v>38</v>
      </c>
      <c r="T5" s="40" t="s">
        <v>36</v>
      </c>
      <c r="U5" s="40" t="s">
        <v>36</v>
      </c>
      <c r="V5" s="41" t="s">
        <v>36</v>
      </c>
      <c r="W5" s="43"/>
    </row>
    <row r="6" spans="1:23" ht="15.75" customHeight="1">
      <c r="A6" s="319">
        <v>43951</v>
      </c>
      <c r="B6" s="320" t="s">
        <v>43</v>
      </c>
      <c r="C6" s="321" t="s">
        <v>61</v>
      </c>
      <c r="D6" s="322" t="s">
        <v>40</v>
      </c>
      <c r="E6" s="323">
        <v>12.2</v>
      </c>
      <c r="F6" s="323">
        <v>1.1200000000000001</v>
      </c>
      <c r="G6" s="324">
        <v>11.079999999999998</v>
      </c>
      <c r="H6" s="325"/>
      <c r="I6" s="323">
        <v>2.1850000000000001</v>
      </c>
      <c r="J6" s="323">
        <v>2.1483333333333334</v>
      </c>
      <c r="K6" s="326">
        <v>0.41</v>
      </c>
      <c r="L6" s="323">
        <v>8.8949999999999978</v>
      </c>
      <c r="M6" s="323"/>
      <c r="N6" s="324"/>
      <c r="O6" s="323"/>
      <c r="P6" s="323">
        <v>0.89584999999999992</v>
      </c>
      <c r="Q6" s="323"/>
      <c r="R6" s="323"/>
      <c r="S6" s="324"/>
      <c r="T6" s="327"/>
      <c r="U6" s="327"/>
      <c r="V6" s="328"/>
      <c r="W6" s="327"/>
    </row>
    <row r="7" spans="1:23" ht="15.75" customHeight="1">
      <c r="A7" s="319">
        <v>44063</v>
      </c>
      <c r="B7" s="327" t="s">
        <v>43</v>
      </c>
      <c r="C7" s="329" t="s">
        <v>61</v>
      </c>
      <c r="D7" s="330" t="s">
        <v>41</v>
      </c>
      <c r="E7" s="323">
        <v>6.1</v>
      </c>
      <c r="F7" s="323">
        <v>0.16</v>
      </c>
      <c r="G7" s="324">
        <v>5.94</v>
      </c>
      <c r="H7" s="325">
        <v>0</v>
      </c>
      <c r="I7" s="323"/>
      <c r="J7" s="323"/>
      <c r="K7" s="326"/>
      <c r="L7" s="323"/>
      <c r="M7" s="323"/>
      <c r="N7" s="324"/>
      <c r="O7" s="323">
        <v>-3.5553499999999976</v>
      </c>
      <c r="P7" s="323"/>
      <c r="Q7" s="323">
        <v>-2.6594999999999978</v>
      </c>
      <c r="R7" s="323"/>
      <c r="S7" s="324"/>
      <c r="T7" s="327"/>
      <c r="U7" s="327"/>
      <c r="V7" s="328"/>
      <c r="W7" s="327"/>
    </row>
    <row r="8" spans="1:23" ht="15.75" customHeight="1">
      <c r="A8" s="319">
        <v>44313</v>
      </c>
      <c r="B8" s="327" t="s">
        <v>60</v>
      </c>
      <c r="C8" s="329" t="s">
        <v>61</v>
      </c>
      <c r="D8" s="330" t="s">
        <v>40</v>
      </c>
      <c r="E8" s="323">
        <v>9.15</v>
      </c>
      <c r="F8" s="323">
        <v>2.1800000000000002</v>
      </c>
      <c r="G8" s="324">
        <v>6.9700000000000006</v>
      </c>
      <c r="H8" s="325"/>
      <c r="I8" s="323">
        <v>1.2150000000000001</v>
      </c>
      <c r="J8" s="323">
        <v>1.2</v>
      </c>
      <c r="K8" s="326">
        <v>0.37</v>
      </c>
      <c r="L8" s="323">
        <v>5.7550000000000008</v>
      </c>
      <c r="M8" s="323"/>
      <c r="N8" s="324"/>
      <c r="O8" s="323"/>
      <c r="P8" s="323">
        <v>0.44955000000000001</v>
      </c>
      <c r="Q8" s="323"/>
      <c r="R8" s="323">
        <v>-0.16649999999999965</v>
      </c>
      <c r="S8" s="324"/>
      <c r="T8" s="327"/>
      <c r="U8" s="327"/>
      <c r="V8" s="328"/>
      <c r="W8" s="327"/>
    </row>
    <row r="9" spans="1:23" ht="15.75" customHeight="1">
      <c r="A9" s="319">
        <v>44429</v>
      </c>
      <c r="B9" s="327" t="s">
        <v>95</v>
      </c>
      <c r="C9" s="329" t="s">
        <v>61</v>
      </c>
      <c r="D9" s="330" t="s">
        <v>41</v>
      </c>
      <c r="E9" s="323">
        <v>3.05</v>
      </c>
      <c r="F9" s="323">
        <v>0.39</v>
      </c>
      <c r="G9" s="324">
        <f>E9-F9</f>
        <v>2.6599999999999997</v>
      </c>
      <c r="H9" s="325"/>
      <c r="I9" s="323"/>
      <c r="J9" s="323"/>
      <c r="K9" s="326"/>
      <c r="L9" s="323"/>
      <c r="M9" s="323"/>
      <c r="N9" s="324"/>
      <c r="O9" s="323">
        <f>Q9-P8</f>
        <v>-3.2350500000000011</v>
      </c>
      <c r="P9" s="323"/>
      <c r="Q9" s="323">
        <f>(G9-L8)*0.9</f>
        <v>-2.7855000000000012</v>
      </c>
      <c r="R9" s="323"/>
      <c r="S9" s="324">
        <v>0</v>
      </c>
      <c r="T9" s="327"/>
      <c r="U9" s="327"/>
      <c r="V9" s="328"/>
      <c r="W9" s="327"/>
    </row>
    <row r="10" spans="1:23" ht="15.75" customHeight="1">
      <c r="A10" s="319">
        <v>44669</v>
      </c>
      <c r="B10" s="320" t="s">
        <v>106</v>
      </c>
      <c r="C10" s="321" t="s">
        <v>61</v>
      </c>
      <c r="D10" s="322" t="s">
        <v>40</v>
      </c>
      <c r="E10" s="323">
        <v>6.1</v>
      </c>
      <c r="F10" s="323">
        <v>2.52</v>
      </c>
      <c r="G10" s="324">
        <f>E10-F10</f>
        <v>3.5799999999999996</v>
      </c>
      <c r="H10" s="325"/>
      <c r="I10" s="323">
        <v>1.38</v>
      </c>
      <c r="J10" s="323"/>
      <c r="K10" s="326">
        <f>K13</f>
        <v>0.36</v>
      </c>
      <c r="L10" s="323">
        <f>G10-I10</f>
        <v>2.1999999999999997</v>
      </c>
      <c r="M10" s="323"/>
      <c r="N10" s="324"/>
      <c r="O10" s="323"/>
      <c r="P10" s="323">
        <f>K10*I10</f>
        <v>0.49679999999999996</v>
      </c>
      <c r="Q10" s="323"/>
      <c r="R10" s="323">
        <f>(L10-G9)*0.9</f>
        <v>-0.41399999999999998</v>
      </c>
      <c r="S10" s="324"/>
      <c r="T10" s="327"/>
      <c r="U10" s="327"/>
      <c r="V10" s="328"/>
      <c r="W10" s="327"/>
    </row>
    <row r="11" spans="1:23" ht="15.75" customHeight="1">
      <c r="A11" s="319"/>
      <c r="B11" s="320"/>
      <c r="C11" s="321"/>
      <c r="D11" s="322"/>
      <c r="E11" s="323"/>
      <c r="F11" s="323"/>
      <c r="G11" s="324"/>
      <c r="H11" s="325"/>
      <c r="I11" s="323"/>
      <c r="J11" s="323"/>
      <c r="K11" s="326"/>
      <c r="L11" s="323"/>
      <c r="M11" s="323"/>
      <c r="N11" s="324"/>
      <c r="O11" s="323"/>
      <c r="P11" s="323"/>
      <c r="Q11" s="323"/>
      <c r="R11" s="323"/>
      <c r="S11" s="324"/>
      <c r="T11" s="327"/>
      <c r="U11" s="327"/>
      <c r="V11" s="328"/>
      <c r="W11" s="327"/>
    </row>
    <row r="12" spans="1:23" s="318" customFormat="1" ht="15.75" customHeight="1">
      <c r="A12" s="732"/>
      <c r="C12" s="733"/>
      <c r="D12" s="734"/>
      <c r="E12" s="735"/>
      <c r="F12" s="735"/>
      <c r="G12" s="736"/>
      <c r="H12" s="737"/>
      <c r="I12" s="735"/>
      <c r="J12" s="735"/>
      <c r="K12" s="738"/>
      <c r="L12" s="735"/>
      <c r="N12" s="736"/>
      <c r="O12" s="735"/>
      <c r="P12" s="735"/>
      <c r="Q12" s="735"/>
      <c r="R12" s="735"/>
      <c r="S12" s="736"/>
      <c r="V12" s="739"/>
    </row>
    <row r="13" spans="1:23" s="741" customFormat="1" ht="15.75" customHeight="1">
      <c r="A13" s="740">
        <v>44669</v>
      </c>
      <c r="B13" s="749" t="s">
        <v>106</v>
      </c>
      <c r="C13" s="750" t="s">
        <v>171</v>
      </c>
      <c r="D13" s="751" t="s">
        <v>40</v>
      </c>
      <c r="E13" s="744">
        <v>9.15</v>
      </c>
      <c r="F13" s="744">
        <v>-1.89</v>
      </c>
      <c r="G13" s="745">
        <f>E13-F13</f>
        <v>11.040000000000001</v>
      </c>
      <c r="H13" s="746"/>
      <c r="I13" s="744">
        <f>AVERAGE(1.73,1.96,1.97,1.74)</f>
        <v>1.85</v>
      </c>
      <c r="J13" s="744">
        <v>1.61</v>
      </c>
      <c r="K13" s="747">
        <f>(0.4+0.32)/2</f>
        <v>0.36</v>
      </c>
      <c r="L13" s="744">
        <f>G13-I13</f>
        <v>9.1900000000000013</v>
      </c>
      <c r="M13" s="735"/>
      <c r="N13" s="745"/>
      <c r="O13" s="744"/>
      <c r="P13" s="744">
        <f>I13*K13</f>
        <v>0.66600000000000004</v>
      </c>
      <c r="Q13" s="744"/>
      <c r="R13" s="744"/>
      <c r="S13" s="745"/>
      <c r="V13" s="748"/>
    </row>
    <row r="14" spans="1:23" s="741" customFormat="1" ht="15.75" customHeight="1">
      <c r="A14" s="740">
        <v>44797</v>
      </c>
      <c r="B14" s="741" t="s">
        <v>179</v>
      </c>
      <c r="C14" s="742" t="s">
        <v>171</v>
      </c>
      <c r="D14" s="743" t="s">
        <v>41</v>
      </c>
      <c r="E14" s="744">
        <v>9.15</v>
      </c>
      <c r="F14" s="744">
        <v>3.08</v>
      </c>
      <c r="G14" s="745">
        <f>E14-F14</f>
        <v>6.07</v>
      </c>
      <c r="H14" s="746"/>
      <c r="I14" s="744"/>
      <c r="J14" s="744"/>
      <c r="K14" s="747"/>
      <c r="L14" s="744"/>
      <c r="M14" s="744"/>
      <c r="N14" s="745"/>
      <c r="O14" s="744">
        <f>Q14-P13</f>
        <v>-3.4740000000000011</v>
      </c>
      <c r="Q14" s="744">
        <f>(G14-L13)*0.9</f>
        <v>-2.8080000000000012</v>
      </c>
      <c r="R14" s="744"/>
      <c r="S14" s="745">
        <v>0</v>
      </c>
      <c r="V14" s="748"/>
    </row>
    <row r="15" spans="1:23" s="741" customFormat="1" ht="15.75" customHeight="1">
      <c r="A15" s="740">
        <v>45033</v>
      </c>
      <c r="B15" s="741" t="s">
        <v>182</v>
      </c>
      <c r="C15" s="741" t="s">
        <v>171</v>
      </c>
      <c r="D15" s="741" t="s">
        <v>40</v>
      </c>
      <c r="E15" s="744">
        <v>8.6</v>
      </c>
      <c r="F15" s="744">
        <v>0.86</v>
      </c>
      <c r="G15" s="744">
        <f>E15-F15</f>
        <v>7.7399999999999993</v>
      </c>
      <c r="H15" s="744"/>
      <c r="I15" s="744">
        <f>AVERAGE('20230416_Pit_AB'!M13:M16)/100</f>
        <v>1.875</v>
      </c>
      <c r="J15" s="744">
        <f>AVERAGE('20230416_Pit_AB'!M12:M16)/100</f>
        <v>1.9</v>
      </c>
      <c r="K15" s="744">
        <f>'20230416_Pit_AB'!I4</f>
        <v>0.39104554865424435</v>
      </c>
      <c r="L15" s="744">
        <f>G15-I15</f>
        <v>5.8649999999999993</v>
      </c>
      <c r="M15" s="744"/>
      <c r="N15" s="744"/>
      <c r="O15" s="744"/>
      <c r="P15" s="744">
        <f>J15*K15</f>
        <v>0.74298654244306417</v>
      </c>
      <c r="Q15" s="744"/>
      <c r="R15" s="744">
        <f>(L15-G14)*0.9</f>
        <v>-0.18450000000000086</v>
      </c>
      <c r="S15" s="744"/>
      <c r="T15" s="741">
        <v>579444.03799999994</v>
      </c>
      <c r="U15" s="741">
        <v>7016902.6040000003</v>
      </c>
      <c r="V15" s="741">
        <v>1533.3910000000001</v>
      </c>
    </row>
    <row r="16" spans="1:23" s="741" customFormat="1" ht="15.75" customHeight="1">
      <c r="A16" s="740">
        <v>45161</v>
      </c>
      <c r="B16" s="741" t="s">
        <v>231</v>
      </c>
      <c r="C16" s="741" t="s">
        <v>171</v>
      </c>
      <c r="D16" s="741" t="s">
        <v>41</v>
      </c>
      <c r="E16" s="744">
        <f>3.05+5.55</f>
        <v>8.6</v>
      </c>
      <c r="F16" s="744">
        <f>0.14+5.55</f>
        <v>5.6899999999999995</v>
      </c>
      <c r="G16" s="744">
        <f>E16-F16</f>
        <v>2.91</v>
      </c>
      <c r="H16" s="744"/>
      <c r="I16" s="744"/>
      <c r="J16" s="744"/>
      <c r="K16" s="744"/>
      <c r="L16" s="744"/>
      <c r="M16" s="744"/>
      <c r="N16" s="744"/>
      <c r="O16" s="744">
        <f t="shared" ref="O16" si="0">Q16-P15</f>
        <v>-3.4024865424430635</v>
      </c>
      <c r="P16" s="744"/>
      <c r="Q16" s="744">
        <f t="shared" ref="Q16" si="1">(G16-L15)*0.9</f>
        <v>-2.6594999999999995</v>
      </c>
      <c r="R16" s="744"/>
      <c r="S16" s="744">
        <v>0</v>
      </c>
    </row>
    <row r="17" spans="1:21" s="318" customFormat="1" ht="15.75" customHeight="1">
      <c r="A17" s="732"/>
      <c r="E17" s="735"/>
      <c r="F17" s="735"/>
      <c r="G17" s="735"/>
      <c r="H17" s="735"/>
      <c r="I17" s="735"/>
      <c r="J17" s="735"/>
      <c r="K17" s="735"/>
      <c r="L17" s="744"/>
      <c r="M17" s="735"/>
      <c r="N17" s="735"/>
      <c r="O17" s="735"/>
      <c r="P17" s="735"/>
      <c r="Q17" s="735"/>
      <c r="R17" s="735"/>
      <c r="S17" s="735"/>
    </row>
    <row r="18" spans="1:21" s="1074" customFormat="1" ht="15.75" customHeight="1">
      <c r="A18" s="1073">
        <v>45033</v>
      </c>
      <c r="B18" s="1074" t="s">
        <v>221</v>
      </c>
      <c r="C18" s="1076" t="s">
        <v>232</v>
      </c>
      <c r="D18" s="1077" t="s">
        <v>40</v>
      </c>
      <c r="E18" s="1075">
        <v>9.15</v>
      </c>
      <c r="F18" s="1075">
        <v>0.96</v>
      </c>
      <c r="G18" s="1078">
        <f>E18-F18</f>
        <v>8.1900000000000013</v>
      </c>
      <c r="H18" s="1079"/>
      <c r="I18" s="1075">
        <f>J18</f>
        <v>1.9</v>
      </c>
      <c r="J18" s="1075">
        <f>'20230416_Pit_AB'!I3</f>
        <v>1.9</v>
      </c>
      <c r="K18" s="1075">
        <f>'20230416_Pit_AB'!I4</f>
        <v>0.39104554865424435</v>
      </c>
      <c r="L18" s="1075">
        <f>G18-I18</f>
        <v>6.2900000000000009</v>
      </c>
      <c r="M18" s="1075"/>
      <c r="N18" s="1078"/>
      <c r="O18" s="1075"/>
      <c r="P18" s="1075">
        <f>I18*K18</f>
        <v>0.74298654244306417</v>
      </c>
      <c r="Q18" s="1075"/>
      <c r="R18" s="1075"/>
      <c r="S18" s="1078"/>
    </row>
    <row r="19" spans="1:21" s="1074" customFormat="1" ht="15.75" customHeight="1">
      <c r="A19" s="1073">
        <v>45161</v>
      </c>
      <c r="B19" s="1074" t="s">
        <v>221</v>
      </c>
      <c r="C19" s="1076" t="s">
        <v>232</v>
      </c>
      <c r="D19" s="1077" t="s">
        <v>41</v>
      </c>
      <c r="E19" s="1075">
        <v>9.15</v>
      </c>
      <c r="F19" s="1074">
        <f>6.1-0.29</f>
        <v>5.81</v>
      </c>
      <c r="G19" s="1078">
        <f>E19-F19</f>
        <v>3.3400000000000007</v>
      </c>
      <c r="H19" s="1079">
        <f>G19-G18</f>
        <v>-4.8500000000000005</v>
      </c>
      <c r="I19" s="1075">
        <v>0</v>
      </c>
      <c r="J19" s="1075">
        <v>0</v>
      </c>
      <c r="K19" s="1075"/>
      <c r="L19" s="1075">
        <f>L18</f>
        <v>6.2900000000000009</v>
      </c>
      <c r="M19" s="1075"/>
      <c r="N19" s="1078"/>
      <c r="O19" s="1075">
        <f>Q19-P18</f>
        <v>-3.3979865424430642</v>
      </c>
      <c r="Q19" s="1075">
        <f>(G19-L19)*0.9</f>
        <v>-2.6550000000000002</v>
      </c>
      <c r="R19" s="1075"/>
      <c r="S19" s="1078">
        <v>0</v>
      </c>
    </row>
    <row r="20" spans="1:21" s="1074" customFormat="1" ht="15.75" customHeight="1">
      <c r="A20" s="1073"/>
      <c r="C20" s="1076"/>
      <c r="D20" s="1077"/>
      <c r="E20" s="1075"/>
      <c r="F20" s="1075"/>
      <c r="G20" s="1078"/>
      <c r="H20" s="1079"/>
      <c r="I20" s="1075"/>
      <c r="J20" s="1075"/>
      <c r="K20" s="1075"/>
      <c r="L20" s="1075"/>
      <c r="M20" s="1075"/>
      <c r="N20" s="1078"/>
      <c r="O20" s="1075"/>
      <c r="Q20" s="1075"/>
      <c r="R20" s="1075"/>
      <c r="S20" s="1078"/>
    </row>
    <row r="21" spans="1:21" s="1074" customFormat="1" ht="15.75" customHeight="1">
      <c r="A21" s="1073"/>
      <c r="C21" s="1076"/>
      <c r="D21" s="1077"/>
      <c r="E21" s="1075"/>
      <c r="F21" s="1075"/>
      <c r="G21" s="1078"/>
      <c r="H21" s="1079"/>
      <c r="I21" s="1075"/>
      <c r="J21" s="1075"/>
      <c r="K21" s="1075"/>
      <c r="L21" s="1075"/>
      <c r="M21" s="1075"/>
      <c r="N21" s="1078"/>
      <c r="O21" s="1075"/>
      <c r="Q21" s="1075"/>
      <c r="R21" s="1075"/>
      <c r="S21" s="1078"/>
    </row>
    <row r="22" spans="1:21" s="1074" customFormat="1" ht="15.75" customHeight="1">
      <c r="A22" s="1073"/>
      <c r="C22" s="1076"/>
      <c r="D22" s="1077"/>
      <c r="E22" s="1075"/>
      <c r="F22" s="1075"/>
      <c r="G22" s="1078"/>
      <c r="H22" s="1079"/>
      <c r="I22" s="1075"/>
      <c r="J22" s="1075"/>
      <c r="K22" s="1075"/>
      <c r="L22" s="1075"/>
      <c r="M22" s="1075"/>
      <c r="N22" s="1078"/>
      <c r="O22" s="1075"/>
      <c r="Q22" s="1075"/>
      <c r="R22" s="1075"/>
      <c r="S22" s="1078"/>
    </row>
    <row r="23" spans="1:21" ht="15.75" customHeight="1" thickBot="1">
      <c r="A23" s="13"/>
      <c r="B23" s="13"/>
      <c r="C23" s="13"/>
      <c r="D23" s="13"/>
      <c r="E23" s="14"/>
      <c r="F23" s="14"/>
      <c r="G23" s="13"/>
      <c r="H23" s="13"/>
      <c r="I23" s="13"/>
      <c r="J23" s="13"/>
      <c r="K23" s="13"/>
      <c r="L23" s="13"/>
      <c r="M23" s="13"/>
      <c r="N23" s="13"/>
      <c r="O23" s="13"/>
      <c r="P23" s="13"/>
      <c r="Q23" s="13"/>
      <c r="R23" s="13"/>
      <c r="S23" s="13"/>
      <c r="T23" s="13"/>
      <c r="U23" s="13"/>
    </row>
    <row r="24" spans="1:21" ht="15.75" customHeight="1">
      <c r="A24" s="1093" t="s">
        <v>46</v>
      </c>
      <c r="B24" s="1094"/>
      <c r="C24" s="1097" t="s">
        <v>47</v>
      </c>
      <c r="D24" s="1098"/>
      <c r="E24" s="79" t="s">
        <v>48</v>
      </c>
      <c r="F24" s="331"/>
      <c r="G24" s="79" t="s">
        <v>49</v>
      </c>
      <c r="H24" s="331"/>
      <c r="I24" s="81" t="s">
        <v>50</v>
      </c>
      <c r="Q24" s="318"/>
      <c r="R24" s="332"/>
      <c r="S24" s="332"/>
      <c r="T24" s="332"/>
      <c r="U24" s="13"/>
    </row>
    <row r="25" spans="1:21" ht="15.75" customHeight="1">
      <c r="A25" s="1095"/>
      <c r="B25" s="1096"/>
      <c r="C25" s="84" t="s">
        <v>51</v>
      </c>
      <c r="D25" s="84" t="s">
        <v>52</v>
      </c>
      <c r="E25" s="333">
        <f>A14</f>
        <v>44797</v>
      </c>
      <c r="F25" s="84" t="s">
        <v>53</v>
      </c>
      <c r="G25" s="334">
        <f>A18</f>
        <v>45033</v>
      </c>
      <c r="H25" s="84" t="s">
        <v>53</v>
      </c>
      <c r="I25" s="335">
        <f>A19</f>
        <v>45161</v>
      </c>
      <c r="Q25" s="318"/>
      <c r="R25" s="336"/>
      <c r="S25" s="336"/>
      <c r="T25" s="332"/>
      <c r="U25" s="13"/>
    </row>
    <row r="26" spans="1:21" ht="15.75" customHeight="1">
      <c r="A26" s="337"/>
      <c r="B26" s="338" t="s">
        <v>54</v>
      </c>
      <c r="C26" s="339">
        <f>P15</f>
        <v>0.74298654244306417</v>
      </c>
      <c r="D26" s="339"/>
      <c r="E26" s="340"/>
      <c r="F26" s="340"/>
      <c r="G26" s="341"/>
      <c r="H26" s="339"/>
      <c r="I26" s="342"/>
      <c r="Q26" s="318"/>
      <c r="R26" s="336"/>
      <c r="S26" s="336"/>
      <c r="T26" s="332"/>
      <c r="U26" s="13"/>
    </row>
    <row r="27" spans="1:21" ht="15.75" customHeight="1">
      <c r="A27" s="337"/>
      <c r="B27" s="338" t="s">
        <v>55</v>
      </c>
      <c r="C27" s="339">
        <f>O16</f>
        <v>-3.4024865424430635</v>
      </c>
      <c r="D27" s="339"/>
      <c r="E27" s="340"/>
      <c r="F27" s="340"/>
      <c r="G27" s="341"/>
      <c r="H27" s="339"/>
      <c r="I27" s="342"/>
      <c r="Q27" s="318"/>
      <c r="R27" s="336"/>
      <c r="S27" s="336"/>
      <c r="T27" s="332"/>
      <c r="U27" s="13"/>
    </row>
    <row r="28" spans="1:21" ht="15.75" customHeight="1">
      <c r="A28" s="337"/>
      <c r="B28" s="338" t="s">
        <v>56</v>
      </c>
      <c r="C28" s="339">
        <f>Q16</f>
        <v>-2.6594999999999995</v>
      </c>
      <c r="D28" s="339"/>
      <c r="E28" s="340"/>
      <c r="F28" s="340"/>
      <c r="G28" s="341"/>
      <c r="H28" s="339"/>
      <c r="I28" s="342"/>
      <c r="Q28" s="318"/>
      <c r="R28" s="336"/>
      <c r="S28" s="336"/>
      <c r="T28" s="332"/>
      <c r="U28" s="13"/>
    </row>
    <row r="29" spans="1:21" ht="15.75" customHeight="1">
      <c r="A29" s="337"/>
      <c r="B29" s="343" t="s">
        <v>57</v>
      </c>
      <c r="C29" s="339">
        <v>0</v>
      </c>
      <c r="D29" s="339"/>
      <c r="E29" s="340"/>
      <c r="F29" s="340"/>
      <c r="G29" s="339"/>
      <c r="H29" s="339"/>
      <c r="I29" s="342"/>
      <c r="Q29" s="318"/>
      <c r="R29" s="336"/>
      <c r="S29" s="336"/>
      <c r="T29" s="332"/>
      <c r="U29" s="13"/>
    </row>
    <row r="30" spans="1:21" ht="15.75" customHeight="1">
      <c r="A30" s="337"/>
      <c r="B30" s="344" t="s">
        <v>58</v>
      </c>
      <c r="C30" s="339">
        <f>R15</f>
        <v>-0.18450000000000086</v>
      </c>
      <c r="D30" s="339"/>
      <c r="E30" s="340"/>
      <c r="F30" s="340"/>
      <c r="G30" s="339"/>
      <c r="H30" s="339"/>
      <c r="I30" s="342"/>
      <c r="Q30" s="318"/>
      <c r="R30" s="336"/>
      <c r="S30" s="336"/>
      <c r="T30" s="332"/>
      <c r="U30" s="13"/>
    </row>
    <row r="31" spans="1:21" ht="15.75" customHeight="1" thickBot="1">
      <c r="A31" s="345"/>
      <c r="B31" s="346" t="s">
        <v>59</v>
      </c>
      <c r="C31" s="347">
        <v>0</v>
      </c>
      <c r="D31" s="347"/>
      <c r="E31" s="348"/>
      <c r="F31" s="348"/>
      <c r="G31" s="349"/>
      <c r="H31" s="349"/>
      <c r="I31" s="350"/>
      <c r="Q31" s="318"/>
      <c r="R31" s="336"/>
      <c r="S31" s="336"/>
      <c r="T31" s="332"/>
      <c r="U31" s="13"/>
    </row>
    <row r="32" spans="1:21" ht="15.75" customHeight="1">
      <c r="A32" s="13"/>
      <c r="B32" s="13"/>
      <c r="C32" s="13"/>
      <c r="D32" s="13"/>
      <c r="E32" s="13"/>
      <c r="F32" s="13"/>
      <c r="G32" s="13"/>
      <c r="H32" s="13"/>
      <c r="I32" s="13"/>
      <c r="J32" s="13"/>
      <c r="K32" s="13"/>
      <c r="L32" s="13"/>
      <c r="M32" s="13"/>
      <c r="N32" s="13"/>
      <c r="O32" s="13"/>
      <c r="P32" s="13"/>
      <c r="Q32" s="332"/>
      <c r="R32" s="332"/>
      <c r="S32" s="332"/>
      <c r="T32" s="332"/>
      <c r="U32" s="13"/>
    </row>
  </sheetData>
  <mergeCells count="4">
    <mergeCell ref="E3:G3"/>
    <mergeCell ref="T3:U3"/>
    <mergeCell ref="A24:B25"/>
    <mergeCell ref="C24:D24"/>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36"/>
  <sheetViews>
    <sheetView topLeftCell="G1" zoomScale="80" zoomScaleNormal="80" workbookViewId="0">
      <selection activeCell="C33" sqref="C33"/>
    </sheetView>
  </sheetViews>
  <sheetFormatPr defaultColWidth="17.28515625" defaultRowHeight="15.75" customHeight="1"/>
  <cols>
    <col min="1" max="1" width="12.42578125" style="20" customWidth="1"/>
    <col min="2" max="2" width="27.28515625" style="20" customWidth="1"/>
    <col min="3" max="3" width="11.28515625" style="20" bestFit="1" customWidth="1"/>
    <col min="4" max="4" width="20" style="20" bestFit="1" customWidth="1"/>
    <col min="5" max="5" width="12.7109375" style="20" customWidth="1"/>
    <col min="6" max="7" width="13.7109375" style="20" bestFit="1" customWidth="1"/>
    <col min="8" max="8" width="14.42578125" style="20" bestFit="1" customWidth="1"/>
    <col min="9" max="9" width="17.28515625" style="20" bestFit="1" customWidth="1"/>
    <col min="10" max="10" width="19.5703125" style="20" bestFit="1" customWidth="1"/>
    <col min="11" max="11" width="16.42578125" style="20" bestFit="1" customWidth="1"/>
    <col min="12" max="12" width="18" style="20" customWidth="1"/>
    <col min="13" max="13" width="22.140625" style="20" customWidth="1"/>
    <col min="14" max="14" width="11.5703125" style="20" bestFit="1" customWidth="1"/>
    <col min="15" max="15" width="11.28515625" style="20" bestFit="1" customWidth="1"/>
    <col min="16" max="17" width="7.85546875" style="20" bestFit="1" customWidth="1"/>
    <col min="18" max="18" width="14.7109375" style="20" bestFit="1" customWidth="1"/>
    <col min="19" max="19" width="20.7109375" style="20" bestFit="1" customWidth="1"/>
    <col min="20" max="20" width="21" style="20" bestFit="1" customWidth="1"/>
    <col min="21" max="21" width="8.7109375" style="20" bestFit="1" customWidth="1"/>
    <col min="22" max="16384" width="17.28515625" style="20"/>
  </cols>
  <sheetData>
    <row r="1" spans="1:23" ht="15" customHeight="1">
      <c r="A1" s="24"/>
      <c r="B1" s="25"/>
      <c r="C1" s="45"/>
      <c r="D1" s="26"/>
      <c r="E1" s="27"/>
      <c r="F1" s="28"/>
      <c r="G1" s="29"/>
      <c r="H1" s="50"/>
      <c r="I1" s="29"/>
      <c r="J1" s="49"/>
      <c r="K1" s="28"/>
      <c r="L1" s="56"/>
      <c r="M1" s="57"/>
      <c r="N1" s="29"/>
      <c r="O1" s="58"/>
      <c r="P1" s="30"/>
      <c r="Q1" s="30"/>
      <c r="R1" s="30"/>
      <c r="S1" s="59"/>
      <c r="T1" s="1083" t="s">
        <v>11</v>
      </c>
      <c r="U1" s="1084"/>
      <c r="V1" s="1085"/>
      <c r="W1" s="54"/>
    </row>
    <row r="2" spans="1:23" ht="15" customHeight="1">
      <c r="A2" s="31"/>
      <c r="B2" s="4"/>
      <c r="C2" s="22"/>
      <c r="D2" s="15"/>
      <c r="E2" s="364"/>
      <c r="F2" s="365"/>
      <c r="G2" s="3"/>
      <c r="H2" s="51"/>
      <c r="I2" s="3"/>
      <c r="J2" s="5"/>
      <c r="K2" s="1"/>
      <c r="L2" s="60"/>
      <c r="M2" s="61"/>
      <c r="N2" s="5"/>
      <c r="O2" s="62"/>
      <c r="S2" s="63"/>
      <c r="T2" s="1086" t="s">
        <v>12</v>
      </c>
      <c r="U2" s="1087"/>
      <c r="V2" s="366"/>
      <c r="W2" s="12"/>
    </row>
    <row r="3" spans="1:23" ht="15" customHeight="1">
      <c r="A3" s="31"/>
      <c r="B3" s="4"/>
      <c r="C3" s="22"/>
      <c r="D3" s="19"/>
      <c r="E3" s="1088" t="s">
        <v>13</v>
      </c>
      <c r="F3" s="1089"/>
      <c r="G3" s="1090"/>
      <c r="H3" s="52"/>
      <c r="I3" s="365"/>
      <c r="J3" s="5"/>
      <c r="K3" s="365"/>
      <c r="L3" s="55"/>
      <c r="M3" s="2"/>
      <c r="N3" s="5"/>
      <c r="O3" s="64"/>
      <c r="P3" s="5"/>
      <c r="Q3" s="5"/>
      <c r="R3" s="17"/>
      <c r="S3" s="65"/>
      <c r="T3" s="1091" t="s">
        <v>14</v>
      </c>
      <c r="U3" s="1092"/>
      <c r="V3" s="366"/>
      <c r="W3" s="18"/>
    </row>
    <row r="4" spans="1:23" s="74" customFormat="1" ht="38.25">
      <c r="A4" s="32" t="s">
        <v>15</v>
      </c>
      <c r="B4" s="6" t="s">
        <v>16</v>
      </c>
      <c r="C4" s="23" t="s">
        <v>17</v>
      </c>
      <c r="D4" s="66" t="s">
        <v>18</v>
      </c>
      <c r="E4" s="67" t="s">
        <v>19</v>
      </c>
      <c r="F4" s="6" t="s">
        <v>20</v>
      </c>
      <c r="G4" s="10" t="s">
        <v>21</v>
      </c>
      <c r="H4" s="53" t="s">
        <v>22</v>
      </c>
      <c r="I4" s="10" t="s">
        <v>23</v>
      </c>
      <c r="J4" s="10" t="s">
        <v>24</v>
      </c>
      <c r="K4" s="6" t="s">
        <v>25</v>
      </c>
      <c r="L4" s="68" t="s">
        <v>26</v>
      </c>
      <c r="M4" s="68" t="s">
        <v>27</v>
      </c>
      <c r="N4" s="10" t="s">
        <v>28</v>
      </c>
      <c r="O4" s="69" t="s">
        <v>29</v>
      </c>
      <c r="P4" s="10" t="s">
        <v>30</v>
      </c>
      <c r="Q4" s="10" t="s">
        <v>31</v>
      </c>
      <c r="R4" s="70" t="s">
        <v>3</v>
      </c>
      <c r="S4" s="71" t="s">
        <v>4</v>
      </c>
      <c r="T4" s="72" t="s">
        <v>32</v>
      </c>
      <c r="U4" s="72" t="s">
        <v>33</v>
      </c>
      <c r="V4" s="73" t="s">
        <v>0</v>
      </c>
      <c r="W4" s="23" t="s">
        <v>34</v>
      </c>
    </row>
    <row r="5" spans="1:23" ht="15.75" customHeight="1" thickBot="1">
      <c r="A5" s="33" t="s">
        <v>35</v>
      </c>
      <c r="B5" s="34"/>
      <c r="C5" s="46"/>
      <c r="D5" s="35"/>
      <c r="E5" s="37" t="s">
        <v>36</v>
      </c>
      <c r="F5" s="37" t="s">
        <v>36</v>
      </c>
      <c r="G5" s="37" t="s">
        <v>36</v>
      </c>
      <c r="H5" s="37" t="s">
        <v>36</v>
      </c>
      <c r="I5" s="37" t="s">
        <v>36</v>
      </c>
      <c r="J5" s="37" t="s">
        <v>36</v>
      </c>
      <c r="K5" s="36" t="s">
        <v>37</v>
      </c>
      <c r="L5" s="47" t="s">
        <v>36</v>
      </c>
      <c r="M5" s="38" t="s">
        <v>36</v>
      </c>
      <c r="N5" s="38" t="s">
        <v>37</v>
      </c>
      <c r="O5" s="75" t="s">
        <v>38</v>
      </c>
      <c r="P5" s="39" t="s">
        <v>38</v>
      </c>
      <c r="Q5" s="39" t="s">
        <v>38</v>
      </c>
      <c r="R5" s="42" t="s">
        <v>38</v>
      </c>
      <c r="S5" s="76" t="s">
        <v>38</v>
      </c>
      <c r="T5" s="40" t="s">
        <v>36</v>
      </c>
      <c r="U5" s="40" t="s">
        <v>36</v>
      </c>
      <c r="V5" s="41" t="s">
        <v>36</v>
      </c>
      <c r="W5" s="43"/>
    </row>
    <row r="6" spans="1:23" s="48" customFormat="1" ht="15" customHeight="1">
      <c r="A6" s="105">
        <v>43951</v>
      </c>
      <c r="B6" s="106" t="s">
        <v>43</v>
      </c>
      <c r="C6" s="107" t="s">
        <v>64</v>
      </c>
      <c r="D6" s="108" t="s">
        <v>40</v>
      </c>
      <c r="E6" s="109">
        <v>12.2</v>
      </c>
      <c r="F6" s="110">
        <v>2.23</v>
      </c>
      <c r="G6" s="110">
        <v>9.9699999999999989</v>
      </c>
      <c r="H6" s="111"/>
      <c r="I6" s="110">
        <v>3.6675</v>
      </c>
      <c r="J6" s="110">
        <v>3.7494117647058824</v>
      </c>
      <c r="K6" s="110">
        <v>0.41</v>
      </c>
      <c r="L6" s="112">
        <v>6.3024999999999984</v>
      </c>
      <c r="M6" s="110"/>
      <c r="N6" s="110"/>
      <c r="O6" s="385"/>
      <c r="P6" s="363">
        <v>1.5036749999999999</v>
      </c>
      <c r="Q6" s="363"/>
      <c r="R6" s="363"/>
      <c r="S6" s="386"/>
      <c r="T6" s="113"/>
      <c r="U6" s="110"/>
      <c r="V6" s="114"/>
      <c r="W6" s="115"/>
    </row>
    <row r="7" spans="1:23" s="48" customFormat="1" ht="15" customHeight="1">
      <c r="A7" s="105">
        <v>44063</v>
      </c>
      <c r="B7" s="106" t="s">
        <v>43</v>
      </c>
      <c r="C7" s="107" t="s">
        <v>64</v>
      </c>
      <c r="D7" s="108" t="s">
        <v>41</v>
      </c>
      <c r="E7" s="109">
        <v>6.1</v>
      </c>
      <c r="F7" s="110">
        <v>0.31</v>
      </c>
      <c r="G7" s="110">
        <v>5.79</v>
      </c>
      <c r="H7" s="111">
        <v>0</v>
      </c>
      <c r="I7" s="110"/>
      <c r="J7" s="110"/>
      <c r="K7" s="110"/>
      <c r="L7" s="112"/>
      <c r="M7" s="110"/>
      <c r="N7" s="110"/>
      <c r="O7" s="385">
        <v>-1.9649249999999985</v>
      </c>
      <c r="P7" s="363"/>
      <c r="Q7" s="363">
        <v>-0.46124999999999855</v>
      </c>
      <c r="R7" s="363"/>
      <c r="S7" s="386"/>
      <c r="T7" s="113"/>
      <c r="U7" s="110"/>
      <c r="V7" s="114"/>
      <c r="W7" s="115"/>
    </row>
    <row r="8" spans="1:23" s="48" customFormat="1" ht="15" customHeight="1">
      <c r="A8" s="105">
        <v>44313</v>
      </c>
      <c r="B8" s="106" t="s">
        <v>60</v>
      </c>
      <c r="C8" s="107" t="s">
        <v>64</v>
      </c>
      <c r="D8" s="108" t="s">
        <v>40</v>
      </c>
      <c r="E8" s="109">
        <v>9.15</v>
      </c>
      <c r="F8" s="110">
        <v>1.33</v>
      </c>
      <c r="G8" s="110">
        <v>7.82</v>
      </c>
      <c r="H8" s="111"/>
      <c r="I8" s="110">
        <v>2.2400000000000002</v>
      </c>
      <c r="J8" s="110">
        <v>2.3391666666666664</v>
      </c>
      <c r="K8" s="363">
        <v>0.37</v>
      </c>
      <c r="L8" s="112">
        <v>5.58</v>
      </c>
      <c r="M8" s="110"/>
      <c r="N8" s="110"/>
      <c r="O8" s="385"/>
      <c r="P8" s="363">
        <v>0.82880000000000009</v>
      </c>
      <c r="Q8" s="363"/>
      <c r="R8" s="363">
        <v>-0.18899999999999997</v>
      </c>
      <c r="S8" s="386"/>
      <c r="T8" s="113"/>
      <c r="U8" s="110"/>
      <c r="V8" s="114"/>
      <c r="W8" s="115" t="s">
        <v>65</v>
      </c>
    </row>
    <row r="9" spans="1:23" s="48" customFormat="1" ht="15" customHeight="1">
      <c r="A9" s="105">
        <v>44429</v>
      </c>
      <c r="B9" s="106" t="s">
        <v>95</v>
      </c>
      <c r="C9" s="107" t="s">
        <v>64</v>
      </c>
      <c r="D9" s="108" t="s">
        <v>63</v>
      </c>
      <c r="E9" s="109">
        <v>6.1</v>
      </c>
      <c r="F9" s="110">
        <v>1.61</v>
      </c>
      <c r="G9" s="110">
        <f>E9-F9</f>
        <v>4.4899999999999993</v>
      </c>
      <c r="H9" s="111"/>
      <c r="I9" s="110">
        <v>0.16</v>
      </c>
      <c r="J9" s="110">
        <v>0.16</v>
      </c>
      <c r="K9" s="363">
        <v>0.37</v>
      </c>
      <c r="L9" s="112"/>
      <c r="M9" s="110"/>
      <c r="N9" s="110"/>
      <c r="O9" s="385"/>
      <c r="P9" s="363"/>
      <c r="Q9" s="363"/>
      <c r="R9" s="363"/>
      <c r="S9" s="386">
        <f>I9*K9</f>
        <v>5.9200000000000003E-2</v>
      </c>
      <c r="T9" s="113"/>
      <c r="U9" s="110"/>
      <c r="V9" s="114"/>
      <c r="W9" s="115"/>
    </row>
    <row r="10" spans="1:23" s="48" customFormat="1" ht="15" customHeight="1">
      <c r="A10" s="105">
        <v>44429</v>
      </c>
      <c r="B10" s="106" t="s">
        <v>95</v>
      </c>
      <c r="C10" s="107" t="s">
        <v>64</v>
      </c>
      <c r="D10" s="108" t="s">
        <v>41</v>
      </c>
      <c r="E10" s="109">
        <v>6.1</v>
      </c>
      <c r="F10" s="110">
        <f>F9+I9</f>
        <v>1.77</v>
      </c>
      <c r="G10" s="110">
        <f>E10-F10</f>
        <v>4.33</v>
      </c>
      <c r="H10" s="111"/>
      <c r="I10" s="110"/>
      <c r="J10" s="110"/>
      <c r="K10" s="363"/>
      <c r="L10" s="112"/>
      <c r="M10" s="110"/>
      <c r="N10" s="110"/>
      <c r="O10" s="385">
        <f>Q10-P8</f>
        <v>-1.9538000000000002</v>
      </c>
      <c r="P10" s="363"/>
      <c r="Q10" s="363">
        <f>(G10-L8)*0.9</f>
        <v>-1.125</v>
      </c>
      <c r="R10" s="363"/>
      <c r="S10" s="386"/>
      <c r="T10" s="113"/>
      <c r="U10" s="110"/>
      <c r="V10" s="114"/>
      <c r="W10" s="115"/>
    </row>
    <row r="11" spans="1:23" s="48" customFormat="1" ht="15" customHeight="1">
      <c r="A11" s="105">
        <v>44668</v>
      </c>
      <c r="B11" s="106" t="s">
        <v>165</v>
      </c>
      <c r="C11" s="107" t="s">
        <v>64</v>
      </c>
      <c r="D11" s="108" t="s">
        <v>40</v>
      </c>
      <c r="E11" s="109"/>
      <c r="F11" s="110"/>
      <c r="G11" s="110">
        <v>6.99</v>
      </c>
      <c r="H11" s="111"/>
      <c r="I11" s="110">
        <v>2.77</v>
      </c>
      <c r="J11" s="110">
        <v>2.71</v>
      </c>
      <c r="K11" s="363">
        <v>0.4</v>
      </c>
      <c r="L11" s="112">
        <f>G11-I11</f>
        <v>4.2200000000000006</v>
      </c>
      <c r="M11" s="110"/>
      <c r="N11" s="110"/>
      <c r="O11" s="385"/>
      <c r="P11" s="363">
        <f>I11*K11</f>
        <v>1.1080000000000001</v>
      </c>
      <c r="Q11" s="363"/>
      <c r="R11" s="363">
        <f>(L11-G10)*0.9</f>
        <v>-9.8999999999999491E-2</v>
      </c>
      <c r="S11" s="386"/>
      <c r="T11" s="113"/>
      <c r="U11" s="110"/>
      <c r="V11" s="114"/>
      <c r="W11" s="115"/>
    </row>
    <row r="12" spans="1:23" s="48" customFormat="1" ht="15" customHeight="1">
      <c r="A12" s="105">
        <v>44796</v>
      </c>
      <c r="B12" s="106" t="s">
        <v>106</v>
      </c>
      <c r="C12" s="107" t="s">
        <v>64</v>
      </c>
      <c r="D12" s="108" t="s">
        <v>41</v>
      </c>
      <c r="E12" s="109">
        <v>6.1</v>
      </c>
      <c r="F12" s="110">
        <v>0.43</v>
      </c>
      <c r="G12" s="110">
        <v>2.62</v>
      </c>
      <c r="H12" s="111"/>
      <c r="I12" s="110"/>
      <c r="J12" s="110"/>
      <c r="K12" s="363"/>
      <c r="L12" s="112"/>
      <c r="M12" s="110"/>
      <c r="N12" s="110"/>
      <c r="O12" s="385">
        <f>Q12-P11</f>
        <v>-2.5480000000000009</v>
      </c>
      <c r="P12" s="363"/>
      <c r="Q12" s="363">
        <f>(G12-L11)*0.9</f>
        <v>-1.4400000000000006</v>
      </c>
      <c r="R12" s="363"/>
      <c r="S12" s="386">
        <v>0</v>
      </c>
      <c r="T12" s="113"/>
      <c r="U12" s="110"/>
      <c r="V12" s="114"/>
      <c r="W12" s="115"/>
    </row>
    <row r="13" spans="1:23" s="48" customFormat="1" ht="15" customHeight="1">
      <c r="A13" s="105">
        <v>45160</v>
      </c>
      <c r="B13" s="106" t="s">
        <v>218</v>
      </c>
      <c r="C13" s="107" t="s">
        <v>64</v>
      </c>
      <c r="D13" s="108" t="s">
        <v>41</v>
      </c>
      <c r="E13" s="109">
        <v>6.1</v>
      </c>
      <c r="F13" s="110">
        <v>4.3600000000000003</v>
      </c>
      <c r="G13" s="110">
        <f>E13-F13</f>
        <v>1.7399999999999993</v>
      </c>
      <c r="H13" s="111"/>
      <c r="I13" s="110"/>
      <c r="J13" s="110"/>
      <c r="K13" s="363"/>
      <c r="L13" s="112"/>
      <c r="M13" s="110"/>
      <c r="N13" s="110"/>
      <c r="O13" s="385"/>
      <c r="P13" s="363"/>
      <c r="Q13" s="363">
        <f>(G13-G12)*0.9</f>
        <v>-0.7920000000000007</v>
      </c>
      <c r="R13" s="363"/>
      <c r="S13" s="386"/>
      <c r="T13" s="113"/>
      <c r="U13" s="110"/>
      <c r="V13" s="114"/>
      <c r="W13" s="115"/>
    </row>
    <row r="14" spans="1:23" s="48" customFormat="1" ht="15" customHeight="1">
      <c r="A14" s="105"/>
      <c r="B14" s="106"/>
      <c r="C14" s="107"/>
      <c r="D14" s="108"/>
      <c r="E14" s="109"/>
      <c r="F14" s="110"/>
      <c r="G14" s="110"/>
      <c r="H14" s="111"/>
      <c r="I14" s="110"/>
      <c r="J14" s="110"/>
      <c r="K14" s="363"/>
      <c r="L14" s="112"/>
      <c r="M14" s="110"/>
      <c r="N14" s="110"/>
      <c r="O14" s="385"/>
      <c r="P14" s="363"/>
      <c r="Q14" s="363"/>
      <c r="R14" s="363"/>
      <c r="S14" s="386"/>
      <c r="T14" s="113"/>
      <c r="U14" s="110"/>
      <c r="V14" s="114"/>
      <c r="W14" s="115"/>
    </row>
    <row r="15" spans="1:23" s="48" customFormat="1" ht="15" customHeight="1">
      <c r="A15" s="387"/>
      <c r="B15" s="388"/>
      <c r="C15" s="389"/>
      <c r="D15" s="390"/>
      <c r="E15" s="391"/>
      <c r="F15" s="392"/>
      <c r="G15" s="392"/>
      <c r="H15" s="393"/>
      <c r="I15" s="392"/>
      <c r="J15" s="392"/>
      <c r="K15" s="394"/>
      <c r="L15" s="395"/>
      <c r="M15" s="392"/>
      <c r="N15" s="392"/>
      <c r="O15" s="396"/>
      <c r="P15" s="394"/>
      <c r="Q15" s="394"/>
      <c r="R15" s="394"/>
      <c r="S15" s="397"/>
      <c r="T15" s="398"/>
      <c r="U15" s="392"/>
      <c r="V15" s="399"/>
      <c r="W15" s="400"/>
    </row>
    <row r="16" spans="1:23" s="415" customFormat="1" ht="15" customHeight="1">
      <c r="A16" s="401">
        <v>44668</v>
      </c>
      <c r="B16" s="402" t="s">
        <v>106</v>
      </c>
      <c r="C16" s="403" t="s">
        <v>107</v>
      </c>
      <c r="D16" s="404" t="s">
        <v>40</v>
      </c>
      <c r="E16" s="405">
        <v>9.15</v>
      </c>
      <c r="F16" s="406">
        <v>-0.85</v>
      </c>
      <c r="G16" s="406">
        <f>E16-F16</f>
        <v>10</v>
      </c>
      <c r="H16" s="407"/>
      <c r="I16" s="406"/>
      <c r="J16" s="406">
        <v>2.71</v>
      </c>
      <c r="K16" s="408">
        <v>0.4</v>
      </c>
      <c r="L16" s="409">
        <f>10.85-2.71</f>
        <v>8.14</v>
      </c>
      <c r="M16" s="406"/>
      <c r="N16" s="406"/>
      <c r="O16" s="410"/>
      <c r="P16" s="408">
        <f>J16*K16</f>
        <v>1.0840000000000001</v>
      </c>
      <c r="Q16" s="408"/>
      <c r="R16" s="408"/>
      <c r="S16" s="411"/>
      <c r="T16" s="412"/>
      <c r="U16" s="406"/>
      <c r="V16" s="413"/>
      <c r="W16" s="414"/>
    </row>
    <row r="17" spans="1:23" s="415" customFormat="1" ht="15" customHeight="1">
      <c r="A17" s="401">
        <v>44796</v>
      </c>
      <c r="B17" s="402" t="s">
        <v>106</v>
      </c>
      <c r="C17" s="403" t="s">
        <v>107</v>
      </c>
      <c r="D17" s="404" t="s">
        <v>41</v>
      </c>
      <c r="E17" s="405">
        <v>9.5</v>
      </c>
      <c r="F17" s="406">
        <f>E17-G17</f>
        <v>3.5999999999999996</v>
      </c>
      <c r="G17" s="406">
        <v>5.9</v>
      </c>
      <c r="H17" s="407"/>
      <c r="I17" s="406"/>
      <c r="J17" s="406"/>
      <c r="K17" s="408"/>
      <c r="L17" s="409"/>
      <c r="M17" s="406"/>
      <c r="N17" s="406"/>
      <c r="O17" s="410">
        <f>Q17-P16</f>
        <v>-3.1000000000000005</v>
      </c>
      <c r="P17" s="408"/>
      <c r="Q17" s="408">
        <f>(G17-L16)*0.9</f>
        <v>-2.0160000000000005</v>
      </c>
      <c r="R17" s="408"/>
      <c r="S17" s="411">
        <v>0</v>
      </c>
      <c r="T17" s="412"/>
      <c r="U17" s="406"/>
      <c r="V17" s="413"/>
      <c r="W17" s="414"/>
    </row>
    <row r="18" spans="1:23" s="415" customFormat="1" ht="15" customHeight="1">
      <c r="A18" s="1041">
        <v>45032</v>
      </c>
      <c r="B18" s="1042" t="s">
        <v>182</v>
      </c>
      <c r="C18" s="1050" t="s">
        <v>107</v>
      </c>
      <c r="D18" s="1051" t="s">
        <v>40</v>
      </c>
      <c r="E18" s="1043">
        <v>9.5</v>
      </c>
      <c r="F18" s="1043">
        <v>0</v>
      </c>
      <c r="G18" s="1047">
        <f>E18-F18</f>
        <v>9.5</v>
      </c>
      <c r="H18" s="1048"/>
      <c r="I18" s="1044">
        <v>3.6</v>
      </c>
      <c r="J18" s="1045">
        <f>'20230416_Pit_B'!$I$3</f>
        <v>3.49</v>
      </c>
      <c r="K18" s="1052">
        <f>'20230416_Pit_B'!$I$4</f>
        <v>0.40052977712824256</v>
      </c>
      <c r="L18" s="1045">
        <f>G18-J18</f>
        <v>6.01</v>
      </c>
      <c r="M18" s="1045"/>
      <c r="N18" s="1049"/>
      <c r="O18" s="1044"/>
      <c r="P18" s="1045">
        <f>J18*K18</f>
        <v>1.3978489221775665</v>
      </c>
      <c r="Q18" s="1044"/>
      <c r="R18" s="1045">
        <v>0</v>
      </c>
      <c r="S18" s="1044"/>
      <c r="T18" s="1046">
        <v>579725.03700000001</v>
      </c>
      <c r="U18" s="1046">
        <v>7018399.4069999997</v>
      </c>
      <c r="V18" s="1046">
        <v>1679.2449999999999</v>
      </c>
      <c r="W18" s="1046"/>
    </row>
    <row r="19" spans="1:23" s="415" customFormat="1" ht="15" customHeight="1">
      <c r="A19" s="1041">
        <v>45160</v>
      </c>
      <c r="B19" s="1042" t="s">
        <v>214</v>
      </c>
      <c r="C19" s="1050" t="s">
        <v>107</v>
      </c>
      <c r="D19" s="1051" t="s">
        <v>41</v>
      </c>
      <c r="E19" s="1043">
        <v>9.5</v>
      </c>
      <c r="F19" s="1043">
        <f>E19-G19</f>
        <v>4.53</v>
      </c>
      <c r="G19" s="1047">
        <v>4.97</v>
      </c>
      <c r="H19" s="1048"/>
      <c r="I19" s="1044"/>
      <c r="J19" s="1045"/>
      <c r="K19" s="1052"/>
      <c r="L19" s="1045"/>
      <c r="M19" s="1045"/>
      <c r="N19" s="1049"/>
      <c r="O19" s="1045">
        <f>Q20-P18</f>
        <v>-2.2348489221775671</v>
      </c>
      <c r="P19" s="1045"/>
      <c r="Q19" s="1044"/>
      <c r="R19" s="1045"/>
      <c r="S19" s="1044"/>
      <c r="T19" s="1046"/>
      <c r="U19" s="1046"/>
      <c r="V19" s="1046"/>
      <c r="W19" s="1046"/>
    </row>
    <row r="20" spans="1:23" s="415" customFormat="1" ht="15" customHeight="1">
      <c r="A20" s="1041">
        <v>45160</v>
      </c>
      <c r="B20" s="1042" t="s">
        <v>214</v>
      </c>
      <c r="C20" s="1050" t="s">
        <v>107</v>
      </c>
      <c r="D20" s="1051" t="s">
        <v>41</v>
      </c>
      <c r="E20" s="1043">
        <v>9.15</v>
      </c>
      <c r="F20" s="1043">
        <f>E20-G20</f>
        <v>4.1800000000000006</v>
      </c>
      <c r="G20" s="1047">
        <v>4.97</v>
      </c>
      <c r="H20" s="1048"/>
      <c r="I20" s="1044"/>
      <c r="J20" s="1045"/>
      <c r="K20" s="1052"/>
      <c r="L20" s="1045"/>
      <c r="M20" s="1045"/>
      <c r="N20" s="1049"/>
      <c r="O20" s="1044"/>
      <c r="P20" s="1045"/>
      <c r="Q20" s="1044">
        <f>(G20-G17)*0.9</f>
        <v>-0.83700000000000052</v>
      </c>
      <c r="R20" s="1045"/>
      <c r="S20" s="1044"/>
      <c r="T20" s="1046"/>
      <c r="U20" s="1046"/>
      <c r="V20" s="1046"/>
      <c r="W20" s="1046"/>
    </row>
    <row r="21" spans="1:23" s="415" customFormat="1" ht="15" customHeight="1">
      <c r="A21" s="1041"/>
      <c r="B21" s="1042"/>
      <c r="C21" s="1050"/>
      <c r="D21" s="1051"/>
      <c r="E21" s="1043"/>
      <c r="F21" s="1043"/>
      <c r="G21" s="1047"/>
      <c r="H21" s="1048"/>
      <c r="I21" s="1044"/>
      <c r="J21" s="1045"/>
      <c r="K21" s="1052"/>
      <c r="L21" s="1045"/>
      <c r="M21" s="1045"/>
      <c r="N21" s="1049"/>
      <c r="O21" s="1044"/>
      <c r="P21" s="1045"/>
      <c r="Q21" s="1044"/>
      <c r="R21" s="1045"/>
      <c r="S21" s="1044"/>
      <c r="T21" s="1046"/>
      <c r="U21" s="1046"/>
      <c r="V21" s="1046"/>
      <c r="W21" s="1046"/>
    </row>
    <row r="22" spans="1:23" ht="15" customHeight="1"/>
    <row r="23" spans="1:23" ht="15" customHeight="1"/>
    <row r="24" spans="1:23" ht="15" customHeight="1"/>
    <row r="25" spans="1:23" ht="15" customHeight="1"/>
    <row r="26" spans="1:23" ht="15" customHeight="1"/>
    <row r="27" spans="1:23" ht="15.75" customHeight="1" thickBot="1">
      <c r="A27" s="13"/>
      <c r="B27" s="13"/>
      <c r="C27" s="13"/>
      <c r="D27" s="13"/>
      <c r="E27" s="14"/>
      <c r="F27" s="14"/>
      <c r="G27" s="13"/>
      <c r="H27" s="13"/>
      <c r="I27" s="13"/>
      <c r="J27" s="13"/>
      <c r="K27" s="13"/>
      <c r="L27" s="13"/>
      <c r="M27" s="13"/>
      <c r="N27" s="13"/>
      <c r="O27" s="13"/>
      <c r="P27" s="13"/>
      <c r="Q27" s="13"/>
      <c r="R27" s="7"/>
      <c r="S27" s="7"/>
      <c r="T27" s="7"/>
      <c r="U27" s="7"/>
    </row>
    <row r="28" spans="1:23" ht="15.75" customHeight="1">
      <c r="A28" s="1093" t="s">
        <v>46</v>
      </c>
      <c r="B28" s="1094"/>
      <c r="C28" s="1097" t="s">
        <v>47</v>
      </c>
      <c r="D28" s="1098"/>
      <c r="E28" s="79" t="s">
        <v>48</v>
      </c>
      <c r="F28" s="80"/>
      <c r="G28" s="79" t="s">
        <v>49</v>
      </c>
      <c r="H28" s="80"/>
      <c r="I28" s="81" t="s">
        <v>50</v>
      </c>
      <c r="Q28" s="48"/>
      <c r="R28" s="16"/>
      <c r="S28" s="16"/>
      <c r="T28" s="16"/>
      <c r="U28" s="7"/>
    </row>
    <row r="29" spans="1:23" ht="15.75" customHeight="1">
      <c r="A29" s="1095"/>
      <c r="B29" s="1096"/>
      <c r="C29" s="82" t="s">
        <v>51</v>
      </c>
      <c r="D29" s="82" t="s">
        <v>52</v>
      </c>
      <c r="E29" s="83">
        <f>A17</f>
        <v>44796</v>
      </c>
      <c r="F29" s="84" t="s">
        <v>53</v>
      </c>
      <c r="G29" s="85">
        <f>A18</f>
        <v>45032</v>
      </c>
      <c r="H29" s="84" t="s">
        <v>53</v>
      </c>
      <c r="I29" s="86">
        <f>A20</f>
        <v>45160</v>
      </c>
      <c r="Q29" s="48"/>
      <c r="R29" s="21"/>
      <c r="S29" s="21"/>
      <c r="T29" s="16"/>
      <c r="U29" s="7"/>
    </row>
    <row r="30" spans="1:23" ht="15.75" customHeight="1">
      <c r="A30" s="87"/>
      <c r="B30" s="88" t="s">
        <v>54</v>
      </c>
      <c r="C30" s="9">
        <f>P18</f>
        <v>1.3978489221775665</v>
      </c>
      <c r="D30" s="9"/>
      <c r="E30" s="8"/>
      <c r="F30" s="8"/>
      <c r="G30" s="89"/>
      <c r="H30" s="9"/>
      <c r="I30" s="90"/>
      <c r="Q30" s="48"/>
      <c r="R30" s="21"/>
      <c r="S30" s="21"/>
      <c r="T30" s="16"/>
      <c r="U30" s="7"/>
    </row>
    <row r="31" spans="1:23" ht="15.75" customHeight="1">
      <c r="A31" s="87"/>
      <c r="B31" s="88" t="s">
        <v>55</v>
      </c>
      <c r="C31" s="9">
        <f>C32-C30</f>
        <v>-2.2123489221775672</v>
      </c>
      <c r="D31" s="9"/>
      <c r="E31" s="8"/>
      <c r="F31" s="8"/>
      <c r="G31" s="89"/>
      <c r="H31" s="9"/>
      <c r="I31" s="90"/>
      <c r="Q31" s="48"/>
      <c r="R31" s="21"/>
      <c r="S31" s="21"/>
      <c r="T31" s="16"/>
      <c r="U31" s="7"/>
    </row>
    <row r="32" spans="1:23" ht="15.75" customHeight="1">
      <c r="A32" s="87"/>
      <c r="B32" s="88" t="s">
        <v>56</v>
      </c>
      <c r="C32" s="9">
        <f>AVERAGE(Q13,Q20)</f>
        <v>-0.81450000000000067</v>
      </c>
      <c r="D32" s="9"/>
      <c r="E32" s="8"/>
      <c r="F32" s="8"/>
      <c r="G32" s="89"/>
      <c r="H32" s="9"/>
      <c r="I32" s="90"/>
      <c r="Q32" s="48"/>
      <c r="R32" s="21"/>
      <c r="S32" s="21"/>
      <c r="T32" s="16"/>
      <c r="U32" s="7"/>
    </row>
    <row r="33" spans="1:21" ht="15.75" customHeight="1">
      <c r="A33" s="87"/>
      <c r="B33" s="91" t="s">
        <v>57</v>
      </c>
      <c r="C33" s="9">
        <v>0</v>
      </c>
      <c r="D33" s="9"/>
      <c r="E33" s="8"/>
      <c r="F33" s="8"/>
      <c r="G33" s="9"/>
      <c r="H33" s="9"/>
      <c r="I33" s="90"/>
      <c r="Q33" s="48"/>
      <c r="R33" s="21"/>
      <c r="S33" s="21"/>
      <c r="T33" s="16"/>
      <c r="U33" s="7"/>
    </row>
    <row r="34" spans="1:21" ht="15.75" customHeight="1">
      <c r="A34" s="87"/>
      <c r="B34" s="92" t="s">
        <v>58</v>
      </c>
      <c r="C34" s="9">
        <f>R18</f>
        <v>0</v>
      </c>
      <c r="D34" s="9"/>
      <c r="E34" s="8"/>
      <c r="F34" s="8"/>
      <c r="G34" s="9"/>
      <c r="H34" s="9"/>
      <c r="I34" s="90"/>
      <c r="Q34" s="48"/>
      <c r="R34" s="21"/>
      <c r="S34" s="21"/>
      <c r="T34" s="16"/>
      <c r="U34" s="7"/>
    </row>
    <row r="35" spans="1:21" ht="15.75" customHeight="1" thickBot="1">
      <c r="A35" s="93"/>
      <c r="B35" s="94" t="s">
        <v>59</v>
      </c>
      <c r="C35" s="95">
        <v>0</v>
      </c>
      <c r="D35" s="95"/>
      <c r="E35" s="96"/>
      <c r="F35" s="96"/>
      <c r="G35" s="97"/>
      <c r="H35" s="97"/>
      <c r="I35" s="98"/>
      <c r="Q35" s="48"/>
      <c r="R35" s="21"/>
      <c r="S35" s="21"/>
      <c r="T35" s="16"/>
      <c r="U35" s="7"/>
    </row>
    <row r="36" spans="1:21" ht="15.75" customHeight="1">
      <c r="A36" s="7"/>
      <c r="B36" s="7"/>
      <c r="C36" s="7"/>
      <c r="D36" s="7"/>
      <c r="E36" s="7"/>
      <c r="F36" s="7"/>
      <c r="G36" s="7"/>
      <c r="H36" s="7"/>
      <c r="I36" s="7"/>
      <c r="J36" s="7"/>
      <c r="K36" s="7"/>
      <c r="L36" s="7"/>
      <c r="M36" s="7"/>
      <c r="N36" s="7"/>
      <c r="O36" s="7"/>
      <c r="P36" s="7"/>
      <c r="Q36" s="16"/>
      <c r="R36" s="16"/>
      <c r="S36" s="16"/>
      <c r="T36" s="16"/>
      <c r="U36" s="7"/>
    </row>
  </sheetData>
  <mergeCells count="6">
    <mergeCell ref="T1:V1"/>
    <mergeCell ref="T2:U2"/>
    <mergeCell ref="E3:G3"/>
    <mergeCell ref="T3:U3"/>
    <mergeCell ref="A28:B29"/>
    <mergeCell ref="C28:D28"/>
  </mergeCell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AY35"/>
  <sheetViews>
    <sheetView topLeftCell="B5" zoomScaleNormal="100" workbookViewId="0">
      <selection activeCell="J23" sqref="J23"/>
    </sheetView>
  </sheetViews>
  <sheetFormatPr defaultColWidth="17.28515625" defaultRowHeight="15.75" customHeight="1"/>
  <cols>
    <col min="1" max="1" width="18.85546875" style="20" bestFit="1" customWidth="1"/>
    <col min="2" max="2" width="29.5703125" style="20" bestFit="1" customWidth="1"/>
    <col min="3" max="3" width="12.7109375" style="20" bestFit="1" customWidth="1"/>
    <col min="4" max="4" width="21.5703125" style="20" bestFit="1" customWidth="1"/>
    <col min="5" max="5" width="13.42578125" style="20" bestFit="1" customWidth="1"/>
    <col min="6" max="6" width="13.7109375" style="20" bestFit="1" customWidth="1"/>
    <col min="7" max="7" width="13.42578125" style="20" bestFit="1" customWidth="1"/>
    <col min="8" max="8" width="14.5703125" style="20" bestFit="1" customWidth="1"/>
    <col min="9" max="9" width="17.140625" style="20" bestFit="1" customWidth="1"/>
    <col min="10" max="10" width="19.7109375" style="20" bestFit="1" customWidth="1"/>
    <col min="11" max="11" width="12.85546875" style="20" bestFit="1" customWidth="1"/>
    <col min="12" max="12" width="17.5703125" style="20" bestFit="1" customWidth="1"/>
    <col min="13" max="13" width="17.140625" style="20" bestFit="1" customWidth="1"/>
    <col min="14" max="14" width="11.42578125" style="20" bestFit="1" customWidth="1"/>
    <col min="15" max="15" width="7.5703125" style="20" bestFit="1" customWidth="1"/>
    <col min="16" max="16" width="8.28515625" style="20" bestFit="1" customWidth="1"/>
    <col min="17" max="17" width="7.5703125" style="20" bestFit="1" customWidth="1"/>
    <col min="18" max="18" width="15.140625" style="20" bestFit="1" customWidth="1"/>
    <col min="19" max="19" width="21.140625" style="20" bestFit="1" customWidth="1"/>
    <col min="20" max="20" width="12.7109375" style="20" bestFit="1" customWidth="1"/>
    <col min="21" max="22" width="9.140625" style="20" bestFit="1" customWidth="1"/>
    <col min="23" max="23" width="73.140625" style="20" bestFit="1" customWidth="1"/>
    <col min="24" max="16384" width="17.28515625" style="20"/>
  </cols>
  <sheetData>
    <row r="3" spans="1:51" ht="40.9" customHeight="1">
      <c r="A3" s="120"/>
      <c r="B3" s="121"/>
      <c r="C3" s="122"/>
      <c r="D3" s="123"/>
      <c r="E3" s="367" t="s">
        <v>13</v>
      </c>
      <c r="F3" s="368"/>
      <c r="G3" s="369"/>
      <c r="H3" s="124"/>
      <c r="I3" s="368"/>
      <c r="J3" s="125"/>
      <c r="K3" s="368"/>
      <c r="L3" s="126"/>
      <c r="M3" s="127"/>
      <c r="N3" s="125"/>
      <c r="O3" s="128"/>
      <c r="P3" s="125"/>
      <c r="Q3" s="125"/>
      <c r="R3" s="129"/>
      <c r="S3" s="130"/>
      <c r="T3" s="370" t="s">
        <v>14</v>
      </c>
      <c r="U3" s="370"/>
      <c r="V3" s="369"/>
      <c r="W3" s="131"/>
      <c r="X3" s="132"/>
      <c r="Y3" s="132"/>
      <c r="Z3" s="132"/>
      <c r="AA3" s="132"/>
      <c r="AB3" s="132"/>
      <c r="AC3" s="132"/>
      <c r="AD3" s="132"/>
      <c r="AE3" s="132"/>
      <c r="AF3" s="132"/>
      <c r="AG3" s="132"/>
      <c r="AH3" s="132"/>
      <c r="AI3" s="132"/>
      <c r="AJ3" s="132"/>
      <c r="AK3" s="132"/>
      <c r="AL3" s="132"/>
      <c r="AM3" s="132"/>
      <c r="AN3" s="132"/>
      <c r="AO3" s="132"/>
      <c r="AP3" s="132"/>
      <c r="AQ3" s="132"/>
      <c r="AR3" s="132"/>
      <c r="AS3" s="132"/>
      <c r="AT3" s="132"/>
      <c r="AU3" s="132"/>
      <c r="AV3" s="132"/>
      <c r="AW3" s="132"/>
      <c r="AX3" s="132"/>
      <c r="AY3" s="132"/>
    </row>
    <row r="4" spans="1:51" s="74" customFormat="1" ht="60" customHeight="1">
      <c r="A4" s="133" t="s">
        <v>15</v>
      </c>
      <c r="B4" s="134" t="s">
        <v>16</v>
      </c>
      <c r="C4" s="135" t="s">
        <v>17</v>
      </c>
      <c r="D4" s="136" t="s">
        <v>18</v>
      </c>
      <c r="E4" s="137" t="s">
        <v>19</v>
      </c>
      <c r="F4" s="134" t="s">
        <v>20</v>
      </c>
      <c r="G4" s="138" t="s">
        <v>21</v>
      </c>
      <c r="H4" s="139" t="s">
        <v>22</v>
      </c>
      <c r="I4" s="138" t="s">
        <v>23</v>
      </c>
      <c r="J4" s="138" t="s">
        <v>24</v>
      </c>
      <c r="K4" s="134" t="s">
        <v>25</v>
      </c>
      <c r="L4" s="140" t="s">
        <v>26</v>
      </c>
      <c r="M4" s="140" t="s">
        <v>27</v>
      </c>
      <c r="N4" s="138" t="s">
        <v>28</v>
      </c>
      <c r="O4" s="141" t="s">
        <v>66</v>
      </c>
      <c r="P4" s="138" t="s">
        <v>67</v>
      </c>
      <c r="Q4" s="138" t="s">
        <v>68</v>
      </c>
      <c r="R4" s="142" t="s">
        <v>3</v>
      </c>
      <c r="S4" s="143" t="s">
        <v>4</v>
      </c>
      <c r="T4" s="144" t="s">
        <v>32</v>
      </c>
      <c r="U4" s="144" t="s">
        <v>33</v>
      </c>
      <c r="V4" s="145" t="s">
        <v>0</v>
      </c>
      <c r="W4" s="135" t="s">
        <v>34</v>
      </c>
      <c r="X4" s="146"/>
      <c r="Y4" s="146"/>
      <c r="Z4" s="146"/>
      <c r="AA4" s="146"/>
      <c r="AB4" s="146"/>
      <c r="AC4" s="146"/>
      <c r="AD4" s="146"/>
      <c r="AE4" s="146"/>
      <c r="AF4" s="146"/>
      <c r="AG4" s="146"/>
      <c r="AH4" s="146"/>
      <c r="AI4" s="146"/>
      <c r="AJ4" s="146"/>
      <c r="AK4" s="146"/>
      <c r="AL4" s="146"/>
      <c r="AM4" s="146"/>
      <c r="AN4" s="146"/>
      <c r="AO4" s="146"/>
      <c r="AP4" s="146"/>
      <c r="AQ4" s="146"/>
      <c r="AR4" s="146"/>
      <c r="AS4" s="146"/>
      <c r="AT4" s="146"/>
      <c r="AU4" s="146"/>
      <c r="AV4" s="146"/>
      <c r="AW4" s="146"/>
      <c r="AX4" s="146"/>
      <c r="AY4" s="146"/>
    </row>
    <row r="5" spans="1:51" ht="15.75" customHeight="1" thickBot="1">
      <c r="A5" s="147" t="s">
        <v>35</v>
      </c>
      <c r="B5" s="148"/>
      <c r="C5" s="149"/>
      <c r="D5" s="150"/>
      <c r="E5" s="151" t="s">
        <v>36</v>
      </c>
      <c r="F5" s="151" t="s">
        <v>36</v>
      </c>
      <c r="G5" s="152" t="s">
        <v>36</v>
      </c>
      <c r="H5" s="153" t="s">
        <v>36</v>
      </c>
      <c r="I5" s="151" t="s">
        <v>36</v>
      </c>
      <c r="J5" s="151" t="s">
        <v>36</v>
      </c>
      <c r="K5" s="154" t="s">
        <v>37</v>
      </c>
      <c r="L5" s="155" t="s">
        <v>36</v>
      </c>
      <c r="M5" s="156" t="s">
        <v>36</v>
      </c>
      <c r="N5" s="156" t="s">
        <v>37</v>
      </c>
      <c r="O5" s="157" t="s">
        <v>38</v>
      </c>
      <c r="P5" s="158" t="s">
        <v>38</v>
      </c>
      <c r="Q5" s="158" t="s">
        <v>38</v>
      </c>
      <c r="R5" s="159" t="s">
        <v>38</v>
      </c>
      <c r="S5" s="160" t="s">
        <v>38</v>
      </c>
      <c r="T5" s="161" t="s">
        <v>36</v>
      </c>
      <c r="U5" s="161" t="s">
        <v>36</v>
      </c>
      <c r="V5" s="162" t="s">
        <v>36</v>
      </c>
      <c r="W5" s="163"/>
      <c r="X5" s="132"/>
      <c r="Y5" s="132"/>
      <c r="Z5" s="132"/>
      <c r="AA5" s="132"/>
      <c r="AB5" s="132"/>
      <c r="AC5" s="132"/>
      <c r="AD5" s="132"/>
      <c r="AE5" s="132"/>
      <c r="AF5" s="132"/>
      <c r="AG5" s="132"/>
      <c r="AH5" s="132"/>
      <c r="AI5" s="132"/>
      <c r="AJ5" s="132"/>
      <c r="AK5" s="132"/>
      <c r="AL5" s="132"/>
      <c r="AM5" s="132"/>
      <c r="AN5" s="132"/>
      <c r="AO5" s="132"/>
      <c r="AP5" s="132"/>
      <c r="AQ5" s="132"/>
      <c r="AR5" s="132"/>
      <c r="AS5" s="132"/>
      <c r="AT5" s="132"/>
      <c r="AU5" s="132"/>
      <c r="AV5" s="132"/>
      <c r="AW5" s="132"/>
      <c r="AX5" s="132"/>
      <c r="AY5" s="132"/>
    </row>
    <row r="6" spans="1:51" ht="15.75" customHeight="1">
      <c r="A6" s="357">
        <v>43951</v>
      </c>
      <c r="B6" s="356" t="s">
        <v>43</v>
      </c>
      <c r="C6" s="355" t="s">
        <v>73</v>
      </c>
      <c r="D6" s="355" t="s">
        <v>40</v>
      </c>
      <c r="E6" s="356">
        <v>9.15</v>
      </c>
      <c r="F6" s="356">
        <v>0.05</v>
      </c>
      <c r="G6" s="358">
        <v>9.1</v>
      </c>
      <c r="H6" s="359"/>
      <c r="I6" s="356">
        <v>4.24</v>
      </c>
      <c r="J6" s="360">
        <v>4.2615384615384615</v>
      </c>
      <c r="K6" s="361">
        <v>0.43526595853292294</v>
      </c>
      <c r="L6" s="356">
        <v>4.8600000000000003</v>
      </c>
      <c r="M6" s="356"/>
      <c r="N6" s="358"/>
      <c r="O6" s="360"/>
      <c r="P6" s="360">
        <v>1.8549026232864563</v>
      </c>
      <c r="Q6" s="360"/>
      <c r="R6" s="360">
        <v>0</v>
      </c>
      <c r="S6" s="354"/>
      <c r="T6" s="351"/>
      <c r="U6" s="351"/>
      <c r="V6" s="352"/>
      <c r="W6" s="353"/>
      <c r="X6" s="132"/>
      <c r="Y6" s="132"/>
      <c r="Z6" s="132"/>
      <c r="AA6" s="132"/>
      <c r="AB6" s="132"/>
      <c r="AC6" s="132"/>
      <c r="AD6" s="132"/>
      <c r="AE6" s="132"/>
      <c r="AF6" s="132"/>
      <c r="AG6" s="132"/>
      <c r="AH6" s="132"/>
      <c r="AI6" s="132"/>
      <c r="AJ6" s="132"/>
      <c r="AK6" s="132"/>
      <c r="AL6" s="132"/>
      <c r="AM6" s="132"/>
      <c r="AN6" s="132"/>
      <c r="AO6" s="132"/>
      <c r="AP6" s="132"/>
      <c r="AQ6" s="132"/>
      <c r="AR6" s="132"/>
      <c r="AS6" s="132"/>
      <c r="AT6" s="132"/>
      <c r="AU6" s="132"/>
      <c r="AV6" s="132"/>
      <c r="AW6" s="132"/>
      <c r="AX6" s="132"/>
      <c r="AY6" s="132"/>
    </row>
    <row r="7" spans="1:51" ht="15.75" customHeight="1">
      <c r="A7" s="357">
        <v>44063</v>
      </c>
      <c r="B7" s="356" t="s">
        <v>72</v>
      </c>
      <c r="C7" s="355" t="s">
        <v>73</v>
      </c>
      <c r="D7" s="355" t="s">
        <v>40</v>
      </c>
      <c r="E7" s="356">
        <v>11</v>
      </c>
      <c r="F7" s="356">
        <v>4.67</v>
      </c>
      <c r="G7" s="358">
        <v>6.33</v>
      </c>
      <c r="H7" s="359">
        <v>1.85</v>
      </c>
      <c r="I7" s="360">
        <v>1.2725</v>
      </c>
      <c r="J7" s="360">
        <v>1.3783333333333334</v>
      </c>
      <c r="K7" s="361">
        <v>0.58485043192689368</v>
      </c>
      <c r="L7" s="356"/>
      <c r="M7" s="356"/>
      <c r="N7" s="358"/>
      <c r="O7" s="360">
        <v>-1.1106804486594841</v>
      </c>
      <c r="P7" s="360"/>
      <c r="Q7" s="360">
        <v>0.74422217462697215</v>
      </c>
      <c r="R7" s="360"/>
      <c r="S7" s="354">
        <v>0</v>
      </c>
      <c r="T7" s="351"/>
      <c r="U7" s="351"/>
      <c r="V7" s="352"/>
      <c r="W7" s="353"/>
      <c r="X7" s="132"/>
      <c r="Y7" s="132"/>
      <c r="Z7" s="132"/>
      <c r="AA7" s="132"/>
      <c r="AB7" s="132"/>
      <c r="AC7" s="132"/>
      <c r="AD7" s="132"/>
      <c r="AE7" s="132"/>
      <c r="AF7" s="132"/>
      <c r="AG7" s="132"/>
      <c r="AH7" s="132"/>
      <c r="AI7" s="132"/>
      <c r="AJ7" s="132"/>
      <c r="AK7" s="132"/>
      <c r="AL7" s="132"/>
      <c r="AM7" s="132"/>
      <c r="AN7" s="132"/>
      <c r="AO7" s="132"/>
      <c r="AP7" s="132"/>
      <c r="AQ7" s="132"/>
      <c r="AR7" s="132"/>
      <c r="AS7" s="132"/>
      <c r="AT7" s="132"/>
      <c r="AU7" s="132"/>
      <c r="AV7" s="132"/>
      <c r="AW7" s="132"/>
      <c r="AX7" s="132"/>
      <c r="AY7" s="132"/>
    </row>
    <row r="8" spans="1:51" ht="15.75" customHeight="1">
      <c r="A8" s="357">
        <v>44063</v>
      </c>
      <c r="B8" s="356" t="s">
        <v>72</v>
      </c>
      <c r="C8" s="355" t="s">
        <v>73</v>
      </c>
      <c r="D8" s="355" t="s">
        <v>70</v>
      </c>
      <c r="E8" s="356">
        <v>11</v>
      </c>
      <c r="F8" s="356">
        <v>6.14</v>
      </c>
      <c r="G8" s="358">
        <v>4.8600000000000003</v>
      </c>
      <c r="H8" s="359">
        <v>1.85</v>
      </c>
      <c r="I8" s="360"/>
      <c r="J8" s="360"/>
      <c r="K8" s="361"/>
      <c r="L8" s="356"/>
      <c r="M8" s="356"/>
      <c r="N8" s="358"/>
      <c r="O8" s="360"/>
      <c r="P8" s="360"/>
      <c r="Q8" s="360"/>
      <c r="R8" s="360"/>
      <c r="S8" s="354"/>
      <c r="T8" s="351"/>
      <c r="U8" s="351"/>
      <c r="V8" s="352"/>
      <c r="W8" s="353"/>
      <c r="X8" s="132"/>
      <c r="Y8" s="132"/>
      <c r="Z8" s="132"/>
      <c r="AA8" s="132"/>
      <c r="AB8" s="132"/>
      <c r="AC8" s="132"/>
      <c r="AD8" s="132"/>
      <c r="AE8" s="132"/>
      <c r="AF8" s="132"/>
      <c r="AG8" s="132"/>
      <c r="AH8" s="132"/>
      <c r="AI8" s="132"/>
      <c r="AJ8" s="132"/>
      <c r="AK8" s="132"/>
      <c r="AL8" s="132"/>
      <c r="AM8" s="132"/>
      <c r="AN8" s="132"/>
      <c r="AO8" s="132"/>
      <c r="AP8" s="132"/>
      <c r="AQ8" s="132"/>
      <c r="AR8" s="132"/>
      <c r="AS8" s="132"/>
      <c r="AT8" s="132"/>
      <c r="AU8" s="132"/>
      <c r="AV8" s="132"/>
      <c r="AW8" s="132"/>
      <c r="AX8" s="132"/>
      <c r="AY8" s="132"/>
    </row>
    <row r="9" spans="1:51" ht="15.75" customHeight="1">
      <c r="A9" s="357">
        <v>44313</v>
      </c>
      <c r="B9" s="356" t="s">
        <v>60</v>
      </c>
      <c r="C9" s="355" t="s">
        <v>73</v>
      </c>
      <c r="D9" s="355" t="s">
        <v>40</v>
      </c>
      <c r="E9" s="356">
        <v>10</v>
      </c>
      <c r="F9" s="356">
        <v>1.06</v>
      </c>
      <c r="G9" s="356">
        <v>8.94</v>
      </c>
      <c r="H9" s="359"/>
      <c r="I9" s="360">
        <v>2.8975</v>
      </c>
      <c r="J9" s="360">
        <v>2.94</v>
      </c>
      <c r="K9" s="361">
        <v>0.37</v>
      </c>
      <c r="L9" s="360">
        <v>6.0424999999999995</v>
      </c>
      <c r="M9" s="356"/>
      <c r="N9" s="358"/>
      <c r="O9" s="360"/>
      <c r="P9" s="360">
        <f>I9*K9</f>
        <v>1.0720749999999999</v>
      </c>
      <c r="Q9" s="360"/>
      <c r="R9" s="360">
        <v>-0.16814449917898225</v>
      </c>
      <c r="S9" s="354"/>
      <c r="T9" s="351"/>
      <c r="U9" s="351"/>
      <c r="V9" s="352"/>
      <c r="W9" s="353"/>
      <c r="X9" s="132"/>
      <c r="Y9" s="132"/>
      <c r="Z9" s="132"/>
      <c r="AA9" s="132"/>
      <c r="AB9" s="132"/>
      <c r="AC9" s="132"/>
      <c r="AD9" s="132"/>
      <c r="AE9" s="132"/>
      <c r="AF9" s="132"/>
      <c r="AG9" s="132"/>
      <c r="AH9" s="132"/>
      <c r="AI9" s="132"/>
      <c r="AJ9" s="132"/>
      <c r="AK9" s="132"/>
      <c r="AL9" s="132"/>
      <c r="AM9" s="132"/>
      <c r="AN9" s="132"/>
      <c r="AO9" s="132"/>
      <c r="AP9" s="132"/>
      <c r="AQ9" s="132"/>
      <c r="AR9" s="132"/>
      <c r="AS9" s="132"/>
      <c r="AT9" s="132"/>
      <c r="AU9" s="132"/>
      <c r="AV9" s="132"/>
      <c r="AW9" s="132"/>
      <c r="AX9" s="132"/>
      <c r="AY9" s="132"/>
    </row>
    <row r="10" spans="1:51" ht="15.75" customHeight="1">
      <c r="A10" s="357">
        <v>44429</v>
      </c>
      <c r="B10" s="356" t="s">
        <v>105</v>
      </c>
      <c r="C10" s="355" t="s">
        <v>73</v>
      </c>
      <c r="D10" s="355" t="s">
        <v>74</v>
      </c>
      <c r="E10" s="356">
        <v>10</v>
      </c>
      <c r="F10" s="356">
        <f>E10-G10</f>
        <v>3.34</v>
      </c>
      <c r="G10" s="356">
        <v>6.66</v>
      </c>
      <c r="H10" s="359"/>
      <c r="I10" s="360"/>
      <c r="J10" s="360">
        <v>0.38</v>
      </c>
      <c r="K10" s="361">
        <v>0.53</v>
      </c>
      <c r="L10" s="360"/>
      <c r="M10" s="356"/>
      <c r="N10" s="358"/>
      <c r="O10" s="360">
        <f>Q11-P9</f>
        <v>-0.65607499999999985</v>
      </c>
      <c r="P10" s="360"/>
      <c r="Q10" s="360"/>
      <c r="R10" s="360"/>
      <c r="S10" s="354">
        <f>J10*K10</f>
        <v>0.20140000000000002</v>
      </c>
      <c r="T10" s="351"/>
      <c r="U10" s="351"/>
      <c r="V10" s="352"/>
      <c r="W10" s="353"/>
      <c r="X10" s="132"/>
      <c r="Y10" s="132"/>
      <c r="Z10" s="132"/>
      <c r="AA10" s="132"/>
      <c r="AB10" s="132"/>
      <c r="AC10" s="132"/>
      <c r="AD10" s="132"/>
      <c r="AE10" s="132"/>
      <c r="AF10" s="132"/>
      <c r="AG10" s="132"/>
      <c r="AH10" s="132"/>
      <c r="AI10" s="132"/>
      <c r="AJ10" s="132"/>
      <c r="AK10" s="132"/>
      <c r="AL10" s="132"/>
      <c r="AM10" s="132"/>
      <c r="AN10" s="132"/>
      <c r="AO10" s="132"/>
      <c r="AP10" s="132"/>
      <c r="AQ10" s="132"/>
      <c r="AR10" s="132"/>
      <c r="AS10" s="132"/>
      <c r="AT10" s="132"/>
      <c r="AU10" s="132"/>
      <c r="AV10" s="132"/>
      <c r="AW10" s="132"/>
      <c r="AX10" s="132"/>
      <c r="AY10" s="132"/>
    </row>
    <row r="11" spans="1:51" ht="15.75" customHeight="1">
      <c r="A11" s="357">
        <v>44429</v>
      </c>
      <c r="B11" s="356" t="s">
        <v>105</v>
      </c>
      <c r="C11" s="355" t="s">
        <v>73</v>
      </c>
      <c r="D11" s="355" t="s">
        <v>104</v>
      </c>
      <c r="E11" s="356">
        <v>10</v>
      </c>
      <c r="F11" s="356">
        <f>E11-G11</f>
        <v>3.62</v>
      </c>
      <c r="G11" s="358">
        <v>6.38</v>
      </c>
      <c r="H11" s="359"/>
      <c r="I11" s="356"/>
      <c r="J11" s="356">
        <v>0.8</v>
      </c>
      <c r="K11" s="361">
        <v>0.52</v>
      </c>
      <c r="L11" s="356"/>
      <c r="M11" s="356"/>
      <c r="N11" s="358"/>
      <c r="O11" s="360"/>
      <c r="P11" s="360"/>
      <c r="Q11" s="360">
        <f>J11*K11</f>
        <v>0.41600000000000004</v>
      </c>
      <c r="R11" s="360"/>
      <c r="S11" s="354"/>
      <c r="T11" s="351"/>
      <c r="U11" s="351"/>
      <c r="V11" s="352"/>
      <c r="W11" s="353"/>
      <c r="X11" s="132"/>
      <c r="Y11" s="132"/>
      <c r="Z11" s="132"/>
      <c r="AA11" s="132"/>
      <c r="AB11" s="132"/>
      <c r="AC11" s="132"/>
      <c r="AD11" s="132"/>
      <c r="AE11" s="132"/>
      <c r="AF11" s="132"/>
      <c r="AG11" s="132"/>
      <c r="AH11" s="132"/>
      <c r="AI11" s="132"/>
      <c r="AJ11" s="132"/>
      <c r="AK11" s="132"/>
      <c r="AL11" s="132"/>
      <c r="AM11" s="132"/>
      <c r="AN11" s="132"/>
      <c r="AO11" s="132"/>
      <c r="AP11" s="132"/>
      <c r="AQ11" s="132"/>
      <c r="AR11" s="132"/>
      <c r="AS11" s="132"/>
      <c r="AT11" s="132"/>
      <c r="AU11" s="132"/>
      <c r="AV11" s="132"/>
      <c r="AW11" s="132"/>
      <c r="AX11" s="132"/>
      <c r="AY11" s="132"/>
    </row>
    <row r="12" spans="1:51" ht="15.75" customHeight="1">
      <c r="A12" s="357">
        <v>44668</v>
      </c>
      <c r="B12" s="356" t="s">
        <v>106</v>
      </c>
      <c r="C12" s="355" t="s">
        <v>73</v>
      </c>
      <c r="D12" s="663" t="s">
        <v>40</v>
      </c>
      <c r="E12" s="356">
        <v>11.16</v>
      </c>
      <c r="F12" s="356"/>
      <c r="G12" s="358"/>
      <c r="H12" s="359"/>
      <c r="I12" s="356"/>
      <c r="J12" s="356"/>
      <c r="K12" s="361"/>
      <c r="L12" s="356"/>
      <c r="M12" s="356"/>
      <c r="N12" s="358"/>
      <c r="O12" s="360"/>
      <c r="P12" s="360"/>
      <c r="Q12" s="360"/>
      <c r="R12" s="360"/>
      <c r="S12" s="354"/>
      <c r="T12" s="351"/>
      <c r="U12" s="351"/>
      <c r="V12" s="352"/>
      <c r="W12" s="351"/>
      <c r="X12" s="132"/>
      <c r="Y12" s="132"/>
      <c r="Z12" s="132"/>
      <c r="AA12" s="132"/>
      <c r="AB12" s="132"/>
      <c r="AC12" s="132"/>
      <c r="AD12" s="132"/>
      <c r="AE12" s="132"/>
      <c r="AF12" s="132"/>
      <c r="AG12" s="132"/>
      <c r="AH12" s="132"/>
      <c r="AI12" s="132"/>
      <c r="AJ12" s="132"/>
      <c r="AK12" s="132"/>
      <c r="AL12" s="132"/>
      <c r="AM12" s="132"/>
      <c r="AN12" s="132"/>
      <c r="AO12" s="132"/>
      <c r="AP12" s="132"/>
      <c r="AQ12" s="132"/>
      <c r="AR12" s="132"/>
      <c r="AS12" s="132"/>
      <c r="AT12" s="132"/>
      <c r="AU12" s="132"/>
      <c r="AV12" s="132"/>
      <c r="AW12" s="132"/>
      <c r="AX12" s="132"/>
      <c r="AY12" s="132"/>
    </row>
    <row r="13" spans="1:51" ht="15.75" customHeight="1">
      <c r="A13" s="357">
        <v>44668</v>
      </c>
      <c r="B13" s="356" t="s">
        <v>106</v>
      </c>
      <c r="C13" s="355" t="s">
        <v>73</v>
      </c>
      <c r="D13" s="663" t="s">
        <v>40</v>
      </c>
      <c r="E13" s="356">
        <v>10</v>
      </c>
      <c r="F13" s="356">
        <v>0.49</v>
      </c>
      <c r="G13" s="358">
        <f>E13-F13</f>
        <v>9.51</v>
      </c>
      <c r="H13" s="359">
        <f>G13-G11</f>
        <v>3.13</v>
      </c>
      <c r="I13" s="356"/>
      <c r="J13" s="356">
        <v>3.45</v>
      </c>
      <c r="K13" s="361">
        <v>0.41</v>
      </c>
      <c r="L13" s="356">
        <f>G13-J13</f>
        <v>6.06</v>
      </c>
      <c r="M13" s="356"/>
      <c r="N13" s="358"/>
      <c r="O13" s="360"/>
      <c r="P13" s="360">
        <f>K13*J13</f>
        <v>1.4145000000000001</v>
      </c>
      <c r="Q13" s="360"/>
      <c r="R13" s="360">
        <f>(L13-G11)*K11</f>
        <v>-0.16640000000000016</v>
      </c>
      <c r="S13" s="354"/>
      <c r="T13" s="351"/>
      <c r="U13" s="351"/>
      <c r="V13" s="352"/>
      <c r="W13" s="351"/>
      <c r="X13" s="132"/>
      <c r="Y13" s="132"/>
      <c r="Z13" s="132"/>
      <c r="AA13" s="132"/>
      <c r="AB13" s="132"/>
      <c r="AC13" s="132"/>
      <c r="AD13" s="132"/>
      <c r="AE13" s="132"/>
      <c r="AF13" s="132"/>
      <c r="AG13" s="132"/>
      <c r="AH13" s="132"/>
      <c r="AI13" s="132"/>
      <c r="AJ13" s="132"/>
      <c r="AK13" s="132"/>
      <c r="AL13" s="132"/>
      <c r="AM13" s="132"/>
      <c r="AN13" s="132"/>
      <c r="AO13" s="132"/>
      <c r="AP13" s="132"/>
      <c r="AQ13" s="132"/>
      <c r="AR13" s="132"/>
      <c r="AS13" s="132"/>
      <c r="AT13" s="132"/>
      <c r="AU13" s="132"/>
      <c r="AV13" s="132"/>
      <c r="AW13" s="132"/>
      <c r="AX13" s="132"/>
      <c r="AY13" s="132"/>
    </row>
    <row r="14" spans="1:51" ht="15.75" customHeight="1">
      <c r="A14" s="357">
        <v>45031</v>
      </c>
      <c r="B14" s="356" t="s">
        <v>182</v>
      </c>
      <c r="C14" s="355" t="s">
        <v>73</v>
      </c>
      <c r="D14" s="663" t="s">
        <v>40</v>
      </c>
      <c r="E14" s="356" t="s">
        <v>76</v>
      </c>
      <c r="F14" s="356"/>
      <c r="G14" s="358"/>
      <c r="H14" s="359"/>
      <c r="I14" s="356"/>
      <c r="J14" s="356"/>
      <c r="K14" s="361"/>
      <c r="L14" s="356"/>
      <c r="M14" s="356"/>
      <c r="N14" s="358"/>
      <c r="O14" s="360"/>
      <c r="P14" s="360"/>
      <c r="Q14" s="360"/>
      <c r="R14" s="360"/>
      <c r="S14" s="354"/>
      <c r="T14" s="351"/>
      <c r="U14" s="351"/>
      <c r="V14" s="352"/>
      <c r="W14" s="351"/>
      <c r="X14" s="132"/>
      <c r="Y14" s="132"/>
      <c r="Z14" s="132"/>
      <c r="AA14" s="132"/>
      <c r="AB14" s="132"/>
      <c r="AC14" s="132"/>
      <c r="AD14" s="132"/>
      <c r="AE14" s="132"/>
      <c r="AF14" s="132"/>
      <c r="AG14" s="132"/>
      <c r="AH14" s="132"/>
      <c r="AI14" s="132"/>
      <c r="AJ14" s="132"/>
      <c r="AK14" s="132"/>
      <c r="AL14" s="132"/>
      <c r="AM14" s="132"/>
      <c r="AN14" s="132"/>
      <c r="AO14" s="132"/>
      <c r="AP14" s="132"/>
      <c r="AQ14" s="132"/>
      <c r="AR14" s="132"/>
      <c r="AS14" s="132"/>
      <c r="AT14" s="132"/>
      <c r="AU14" s="132"/>
      <c r="AV14" s="132"/>
      <c r="AW14" s="132"/>
      <c r="AX14" s="132"/>
      <c r="AY14" s="132"/>
    </row>
    <row r="15" spans="1:51" ht="15.75" customHeight="1">
      <c r="A15" s="357">
        <v>45160</v>
      </c>
      <c r="B15" s="356" t="s">
        <v>214</v>
      </c>
      <c r="C15" s="355" t="s">
        <v>73</v>
      </c>
      <c r="D15" s="663" t="s">
        <v>77</v>
      </c>
      <c r="E15" s="356">
        <v>9.15</v>
      </c>
      <c r="F15" s="356">
        <v>2.13</v>
      </c>
      <c r="G15" s="358">
        <f>E15-F15</f>
        <v>7.0200000000000005</v>
      </c>
      <c r="H15" s="359"/>
      <c r="I15" s="356">
        <f>(0.56+0.61+0.58+0.65)/4</f>
        <v>0.6</v>
      </c>
      <c r="J15" s="356"/>
      <c r="K15" s="361"/>
      <c r="L15" s="356">
        <f>G15-I15</f>
        <v>6.4200000000000008</v>
      </c>
      <c r="M15" s="356"/>
      <c r="N15" s="358"/>
      <c r="O15" s="360"/>
      <c r="P15" s="360"/>
      <c r="Q15" s="360"/>
      <c r="R15" s="360"/>
      <c r="S15" s="354"/>
      <c r="T15" s="351"/>
      <c r="U15" s="351"/>
      <c r="V15" s="352"/>
      <c r="W15" s="351"/>
      <c r="X15" s="132"/>
      <c r="Y15" s="132"/>
      <c r="Z15" s="132"/>
      <c r="AA15" s="132"/>
      <c r="AB15" s="132"/>
      <c r="AC15" s="132"/>
      <c r="AD15" s="132"/>
      <c r="AE15" s="132"/>
      <c r="AF15" s="132"/>
      <c r="AG15" s="132"/>
      <c r="AH15" s="132"/>
      <c r="AI15" s="132"/>
      <c r="AJ15" s="132"/>
      <c r="AK15" s="132"/>
      <c r="AL15" s="132"/>
      <c r="AM15" s="132"/>
      <c r="AN15" s="132"/>
      <c r="AO15" s="132"/>
      <c r="AP15" s="132"/>
      <c r="AQ15" s="132"/>
      <c r="AR15" s="132"/>
      <c r="AS15" s="132"/>
      <c r="AT15" s="132"/>
      <c r="AU15" s="132"/>
      <c r="AV15" s="132"/>
      <c r="AW15" s="132"/>
      <c r="AX15" s="132"/>
      <c r="AY15" s="132"/>
    </row>
    <row r="16" spans="1:51" ht="15.75" customHeight="1">
      <c r="A16" s="357">
        <v>45160</v>
      </c>
      <c r="B16" s="356" t="s">
        <v>214</v>
      </c>
      <c r="C16" s="355" t="s">
        <v>73</v>
      </c>
      <c r="D16" s="663" t="s">
        <v>77</v>
      </c>
      <c r="E16" s="356">
        <v>10.84</v>
      </c>
      <c r="F16" s="356">
        <f>E16-G16</f>
        <v>3.8200000000000003</v>
      </c>
      <c r="G16" s="358">
        <v>7.02</v>
      </c>
      <c r="H16" s="359"/>
      <c r="I16" s="356"/>
      <c r="J16" s="356"/>
      <c r="K16" s="361"/>
      <c r="L16" s="356"/>
      <c r="M16" s="356"/>
      <c r="N16" s="358"/>
      <c r="O16" s="360"/>
      <c r="P16" s="360"/>
      <c r="Q16" s="360"/>
      <c r="R16" s="360"/>
      <c r="S16" s="354"/>
      <c r="T16" s="351"/>
      <c r="U16" s="351"/>
      <c r="V16" s="352"/>
      <c r="W16" s="351"/>
      <c r="X16" s="132"/>
      <c r="Y16" s="132"/>
      <c r="Z16" s="132"/>
      <c r="AA16" s="132"/>
      <c r="AB16" s="132"/>
      <c r="AC16" s="132"/>
      <c r="AD16" s="132"/>
      <c r="AE16" s="132"/>
      <c r="AF16" s="132"/>
      <c r="AG16" s="132"/>
      <c r="AH16" s="132"/>
      <c r="AI16" s="132"/>
      <c r="AJ16" s="132"/>
      <c r="AK16" s="132"/>
      <c r="AL16" s="132"/>
      <c r="AM16" s="132"/>
      <c r="AN16" s="132"/>
      <c r="AO16" s="132"/>
      <c r="AP16" s="132"/>
      <c r="AQ16" s="132"/>
      <c r="AR16" s="132"/>
      <c r="AS16" s="132"/>
      <c r="AT16" s="132"/>
      <c r="AU16" s="132"/>
      <c r="AV16" s="132"/>
      <c r="AW16" s="132"/>
      <c r="AX16" s="132"/>
      <c r="AY16" s="132"/>
    </row>
    <row r="17" spans="1:51" ht="15.75" customHeight="1">
      <c r="A17" s="357"/>
      <c r="B17" s="356"/>
      <c r="C17" s="355"/>
      <c r="D17" s="663"/>
      <c r="E17" s="356"/>
      <c r="F17" s="356"/>
      <c r="G17" s="358"/>
      <c r="H17" s="359"/>
      <c r="I17" s="356"/>
      <c r="J17" s="356"/>
      <c r="K17" s="361"/>
      <c r="L17" s="356"/>
      <c r="M17" s="356"/>
      <c r="N17" s="358"/>
      <c r="O17" s="360"/>
      <c r="P17" s="360"/>
      <c r="Q17" s="360"/>
      <c r="R17" s="360"/>
      <c r="S17" s="354"/>
      <c r="T17" s="351"/>
      <c r="U17" s="351"/>
      <c r="V17" s="352"/>
      <c r="W17" s="351"/>
      <c r="X17" s="132"/>
      <c r="Y17" s="132"/>
      <c r="Z17" s="132"/>
      <c r="AA17" s="132"/>
      <c r="AB17" s="132"/>
      <c r="AC17" s="132"/>
      <c r="AD17" s="132"/>
      <c r="AE17" s="132"/>
      <c r="AF17" s="132"/>
      <c r="AG17" s="132"/>
      <c r="AH17" s="132"/>
      <c r="AI17" s="132"/>
      <c r="AJ17" s="132"/>
      <c r="AK17" s="132"/>
      <c r="AL17" s="132"/>
      <c r="AM17" s="132"/>
      <c r="AN17" s="132"/>
      <c r="AO17" s="132"/>
      <c r="AP17" s="132"/>
      <c r="AQ17" s="132"/>
      <c r="AR17" s="132"/>
      <c r="AS17" s="132"/>
      <c r="AT17" s="132"/>
      <c r="AU17" s="132"/>
      <c r="AV17" s="132"/>
      <c r="AW17" s="132"/>
      <c r="AX17" s="132"/>
      <c r="AY17" s="132"/>
    </row>
    <row r="18" spans="1:51" s="48" customFormat="1" ht="15.75" customHeight="1">
      <c r="A18" s="416"/>
      <c r="B18" s="417"/>
      <c r="C18" s="661"/>
      <c r="D18" s="664"/>
      <c r="E18" s="417"/>
      <c r="F18" s="417"/>
      <c r="G18" s="668"/>
      <c r="H18" s="670"/>
      <c r="I18" s="417"/>
      <c r="J18" s="417"/>
      <c r="K18" s="666"/>
      <c r="L18" s="417"/>
      <c r="M18" s="417"/>
      <c r="N18" s="668"/>
      <c r="O18" s="418"/>
      <c r="P18" s="418"/>
      <c r="Q18" s="418"/>
      <c r="R18" s="418"/>
      <c r="S18" s="672"/>
      <c r="T18" s="185"/>
      <c r="U18" s="185"/>
      <c r="V18" s="675"/>
      <c r="W18" s="185"/>
      <c r="X18" s="185"/>
      <c r="Y18" s="185"/>
      <c r="Z18" s="185"/>
      <c r="AA18" s="185"/>
      <c r="AB18" s="185"/>
      <c r="AC18" s="185"/>
      <c r="AD18" s="185"/>
      <c r="AE18" s="185"/>
      <c r="AF18" s="185"/>
      <c r="AG18" s="185"/>
      <c r="AH18" s="185"/>
      <c r="AI18" s="185"/>
      <c r="AJ18" s="185"/>
      <c r="AK18" s="185"/>
      <c r="AL18" s="185"/>
      <c r="AM18" s="185"/>
      <c r="AN18" s="185"/>
      <c r="AO18" s="185"/>
      <c r="AP18" s="185"/>
      <c r="AQ18" s="185"/>
      <c r="AR18" s="185"/>
      <c r="AS18" s="185"/>
      <c r="AT18" s="185"/>
      <c r="AU18" s="185"/>
      <c r="AV18" s="185"/>
      <c r="AW18" s="185"/>
      <c r="AX18" s="185"/>
      <c r="AY18" s="185"/>
    </row>
    <row r="19" spans="1:51" s="423" customFormat="1" ht="15.75" customHeight="1">
      <c r="A19" s="419">
        <v>44668</v>
      </c>
      <c r="B19" s="420" t="s">
        <v>165</v>
      </c>
      <c r="C19" s="662" t="s">
        <v>166</v>
      </c>
      <c r="D19" s="665" t="s">
        <v>167</v>
      </c>
      <c r="E19" s="420">
        <v>9.15</v>
      </c>
      <c r="F19" s="420">
        <v>0.03</v>
      </c>
      <c r="G19" s="669">
        <f>E19-F19</f>
        <v>9.120000000000001</v>
      </c>
      <c r="H19" s="671"/>
      <c r="I19" s="420"/>
      <c r="J19" s="420">
        <v>3.45</v>
      </c>
      <c r="K19" s="667">
        <v>0.41</v>
      </c>
      <c r="L19" s="420">
        <f>G19-J19</f>
        <v>5.6700000000000008</v>
      </c>
      <c r="M19" s="420"/>
      <c r="N19" s="669"/>
      <c r="O19" s="421"/>
      <c r="P19" s="421">
        <f>J19*K19</f>
        <v>1.4145000000000001</v>
      </c>
      <c r="Q19" s="421"/>
      <c r="R19" s="421"/>
      <c r="S19" s="673"/>
      <c r="T19" s="422"/>
      <c r="U19" s="422"/>
      <c r="V19" s="676"/>
      <c r="W19" s="422"/>
      <c r="X19" s="422"/>
      <c r="Y19" s="422"/>
      <c r="Z19" s="422"/>
      <c r="AA19" s="422"/>
      <c r="AB19" s="422"/>
      <c r="AC19" s="422"/>
      <c r="AD19" s="422"/>
      <c r="AE19" s="422"/>
      <c r="AF19" s="422"/>
      <c r="AG19" s="422"/>
      <c r="AH19" s="422"/>
      <c r="AI19" s="422"/>
      <c r="AJ19" s="422"/>
      <c r="AK19" s="422"/>
      <c r="AL19" s="422"/>
      <c r="AM19" s="422"/>
      <c r="AN19" s="422"/>
      <c r="AO19" s="422"/>
      <c r="AP19" s="422"/>
      <c r="AQ19" s="422"/>
      <c r="AR19" s="422"/>
      <c r="AS19" s="422"/>
      <c r="AT19" s="422"/>
      <c r="AU19" s="422"/>
      <c r="AV19" s="422"/>
      <c r="AW19" s="422"/>
      <c r="AX19" s="422"/>
      <c r="AY19" s="422"/>
    </row>
    <row r="20" spans="1:51" s="423" customFormat="1" ht="15.75" customHeight="1">
      <c r="A20" s="419">
        <v>44796</v>
      </c>
      <c r="B20" s="420" t="s">
        <v>180</v>
      </c>
      <c r="C20" s="662" t="s">
        <v>166</v>
      </c>
      <c r="D20" s="665" t="s">
        <v>40</v>
      </c>
      <c r="E20" s="420">
        <v>9.1199999999999992</v>
      </c>
      <c r="F20" s="420">
        <f>E20-G20</f>
        <v>2.7099999999999991</v>
      </c>
      <c r="G20" s="669">
        <v>6.41</v>
      </c>
      <c r="H20" s="671"/>
      <c r="I20" s="420"/>
      <c r="J20" s="420">
        <v>0.15</v>
      </c>
      <c r="K20" s="667">
        <v>0.51</v>
      </c>
      <c r="L20" s="420"/>
      <c r="M20" s="420"/>
      <c r="N20" s="669"/>
      <c r="O20" s="421"/>
      <c r="P20" s="421"/>
      <c r="Q20" s="421"/>
      <c r="R20" s="421"/>
      <c r="S20" s="673"/>
      <c r="T20" s="422"/>
      <c r="U20" s="422"/>
      <c r="V20" s="676"/>
      <c r="W20" s="422"/>
      <c r="X20" s="422"/>
      <c r="Y20" s="422"/>
      <c r="Z20" s="422"/>
      <c r="AA20" s="422"/>
      <c r="AB20" s="422"/>
      <c r="AC20" s="422"/>
      <c r="AD20" s="422"/>
      <c r="AE20" s="422"/>
      <c r="AF20" s="422"/>
      <c r="AG20" s="422"/>
      <c r="AH20" s="422"/>
      <c r="AI20" s="422"/>
      <c r="AJ20" s="422"/>
      <c r="AK20" s="422"/>
      <c r="AL20" s="422"/>
      <c r="AM20" s="422"/>
      <c r="AN20" s="422"/>
      <c r="AO20" s="422"/>
      <c r="AP20" s="422"/>
      <c r="AQ20" s="422"/>
      <c r="AR20" s="422"/>
      <c r="AS20" s="422"/>
      <c r="AT20" s="422"/>
      <c r="AU20" s="422"/>
      <c r="AV20" s="422"/>
      <c r="AW20" s="422"/>
      <c r="AX20" s="422"/>
      <c r="AY20" s="422"/>
    </row>
    <row r="21" spans="1:51" s="423" customFormat="1" ht="15.75" customHeight="1">
      <c r="A21" s="419">
        <v>44796</v>
      </c>
      <c r="B21" s="420" t="s">
        <v>180</v>
      </c>
      <c r="C21" s="662" t="s">
        <v>166</v>
      </c>
      <c r="D21" s="665" t="s">
        <v>181</v>
      </c>
      <c r="E21" s="420">
        <v>10.9</v>
      </c>
      <c r="F21" s="420">
        <f>E21-G21</f>
        <v>4.6400000000000006</v>
      </c>
      <c r="G21" s="669">
        <f>6.41-0.15</f>
        <v>6.26</v>
      </c>
      <c r="H21" s="671"/>
      <c r="I21" s="420"/>
      <c r="J21" s="420">
        <v>0.52</v>
      </c>
      <c r="K21" s="667">
        <v>0.56000000000000005</v>
      </c>
      <c r="L21" s="420"/>
      <c r="M21" s="420"/>
      <c r="N21" s="669"/>
      <c r="O21" s="421">
        <f>Q21-P19</f>
        <v>-1.1233</v>
      </c>
      <c r="P21" s="421"/>
      <c r="Q21" s="421">
        <f>J21*K21</f>
        <v>0.29120000000000001</v>
      </c>
      <c r="R21" s="421"/>
      <c r="S21" s="673">
        <f>J20*K20</f>
        <v>7.6499999999999999E-2</v>
      </c>
      <c r="T21" s="422"/>
      <c r="U21" s="422"/>
      <c r="V21" s="422"/>
      <c r="W21" s="422"/>
      <c r="X21" s="422"/>
      <c r="Y21" s="422"/>
      <c r="Z21" s="422"/>
      <c r="AA21" s="422"/>
      <c r="AB21" s="422"/>
      <c r="AC21" s="422"/>
      <c r="AD21" s="422"/>
      <c r="AE21" s="422"/>
      <c r="AF21" s="422"/>
      <c r="AG21" s="422"/>
      <c r="AH21" s="422"/>
      <c r="AI21" s="422"/>
      <c r="AJ21" s="422"/>
      <c r="AK21" s="422"/>
      <c r="AL21" s="422"/>
      <c r="AM21" s="422"/>
      <c r="AN21" s="422"/>
      <c r="AO21" s="422"/>
      <c r="AP21" s="422"/>
      <c r="AQ21" s="422"/>
      <c r="AR21" s="422"/>
      <c r="AS21" s="422"/>
      <c r="AT21" s="422"/>
      <c r="AU21" s="422"/>
      <c r="AV21" s="422"/>
      <c r="AW21" s="422"/>
      <c r="AX21" s="422"/>
      <c r="AY21" s="422"/>
    </row>
    <row r="22" spans="1:51" s="423" customFormat="1" ht="15.75" customHeight="1">
      <c r="A22" s="419">
        <v>45031</v>
      </c>
      <c r="B22" s="420" t="s">
        <v>182</v>
      </c>
      <c r="C22" s="662" t="s">
        <v>166</v>
      </c>
      <c r="D22" s="665" t="s">
        <v>40</v>
      </c>
      <c r="E22" s="420" t="s">
        <v>76</v>
      </c>
      <c r="F22" s="420"/>
      <c r="G22" s="669"/>
      <c r="H22" s="671"/>
      <c r="I22" s="420"/>
      <c r="J22" s="420">
        <v>4.58</v>
      </c>
      <c r="K22" s="667">
        <v>0.42</v>
      </c>
      <c r="L22" s="420"/>
      <c r="M22" s="420"/>
      <c r="N22" s="669"/>
      <c r="O22" s="421"/>
      <c r="P22" s="421">
        <f>J22*K22</f>
        <v>1.9236</v>
      </c>
      <c r="Q22" s="421"/>
      <c r="R22" s="421"/>
      <c r="S22" s="673"/>
      <c r="T22" s="422"/>
      <c r="U22" s="422"/>
      <c r="V22" s="422"/>
      <c r="W22" s="422"/>
      <c r="X22" s="422"/>
      <c r="Y22" s="422"/>
      <c r="Z22" s="422"/>
      <c r="AA22" s="422"/>
      <c r="AB22" s="422"/>
      <c r="AC22" s="422"/>
      <c r="AD22" s="422"/>
      <c r="AE22" s="422"/>
      <c r="AF22" s="422"/>
      <c r="AG22" s="422"/>
      <c r="AH22" s="422"/>
      <c r="AI22" s="422"/>
      <c r="AJ22" s="422"/>
      <c r="AK22" s="422"/>
      <c r="AL22" s="422"/>
      <c r="AM22" s="422"/>
      <c r="AN22" s="422"/>
      <c r="AO22" s="422"/>
      <c r="AP22" s="422"/>
      <c r="AQ22" s="422"/>
      <c r="AR22" s="422"/>
      <c r="AS22" s="422"/>
      <c r="AT22" s="422"/>
      <c r="AU22" s="422"/>
      <c r="AV22" s="422"/>
      <c r="AW22" s="422"/>
      <c r="AX22" s="422"/>
      <c r="AY22" s="422"/>
    </row>
    <row r="23" spans="1:51" s="423" customFormat="1" ht="15.75" customHeight="1">
      <c r="A23" s="419">
        <v>45160</v>
      </c>
      <c r="B23" s="420" t="s">
        <v>214</v>
      </c>
      <c r="C23" s="662" t="s">
        <v>166</v>
      </c>
      <c r="D23" s="665" t="s">
        <v>77</v>
      </c>
      <c r="E23" s="420">
        <v>10.9</v>
      </c>
      <c r="F23" s="420">
        <f>1.69+1.96</f>
        <v>3.65</v>
      </c>
      <c r="G23" s="669">
        <f>E23-F23</f>
        <v>7.25</v>
      </c>
      <c r="H23" s="671">
        <f>G23-G21</f>
        <v>0.99000000000000021</v>
      </c>
      <c r="I23" s="420">
        <v>0.99</v>
      </c>
      <c r="J23" s="420">
        <v>0.99</v>
      </c>
      <c r="K23" s="667">
        <v>0.51</v>
      </c>
      <c r="L23" s="420">
        <f>G23-I23</f>
        <v>6.26</v>
      </c>
      <c r="M23" s="420"/>
      <c r="N23" s="669"/>
      <c r="O23" s="421">
        <f>Q23-P22</f>
        <v>-1.4186999999999999</v>
      </c>
      <c r="P23" s="421"/>
      <c r="Q23" s="421">
        <f>K23*J23</f>
        <v>0.50490000000000002</v>
      </c>
      <c r="R23" s="421"/>
      <c r="S23" s="673"/>
      <c r="T23" s="422"/>
      <c r="U23" s="422"/>
      <c r="V23" s="422"/>
      <c r="W23" s="422"/>
      <c r="X23" s="422"/>
      <c r="Y23" s="422"/>
      <c r="Z23" s="422"/>
      <c r="AA23" s="422"/>
      <c r="AB23" s="422"/>
      <c r="AC23" s="422"/>
      <c r="AD23" s="422"/>
      <c r="AE23" s="422"/>
      <c r="AF23" s="422"/>
      <c r="AG23" s="422"/>
      <c r="AH23" s="422"/>
      <c r="AI23" s="422"/>
      <c r="AJ23" s="422"/>
      <c r="AK23" s="422"/>
      <c r="AL23" s="422"/>
      <c r="AM23" s="422"/>
      <c r="AN23" s="422"/>
      <c r="AO23" s="422"/>
      <c r="AP23" s="422"/>
      <c r="AQ23" s="422"/>
      <c r="AR23" s="422"/>
      <c r="AS23" s="422"/>
      <c r="AT23" s="422"/>
      <c r="AU23" s="422"/>
      <c r="AV23" s="422"/>
      <c r="AW23" s="422"/>
      <c r="AX23" s="422"/>
      <c r="AY23" s="422"/>
    </row>
    <row r="24" spans="1:51" s="423" customFormat="1" ht="15.75" customHeight="1">
      <c r="A24" s="419">
        <v>45160</v>
      </c>
      <c r="B24" s="420" t="s">
        <v>214</v>
      </c>
      <c r="C24" s="662" t="s">
        <v>166</v>
      </c>
      <c r="D24" s="665" t="s">
        <v>77</v>
      </c>
      <c r="E24" s="420">
        <v>12.25</v>
      </c>
      <c r="F24" s="420">
        <f>E24-G24</f>
        <v>5</v>
      </c>
      <c r="G24" s="669">
        <v>7.25</v>
      </c>
      <c r="H24" s="671"/>
      <c r="I24" s="420"/>
      <c r="J24" s="420"/>
      <c r="K24" s="667"/>
      <c r="L24" s="420"/>
      <c r="M24" s="420"/>
      <c r="N24" s="669"/>
      <c r="O24" s="421"/>
      <c r="P24" s="421"/>
      <c r="Q24" s="421"/>
      <c r="R24" s="421"/>
      <c r="S24" s="673"/>
      <c r="T24" s="422"/>
      <c r="U24" s="422"/>
      <c r="V24" s="422"/>
      <c r="W24" s="422"/>
      <c r="X24" s="422"/>
      <c r="Y24" s="422"/>
      <c r="Z24" s="422"/>
      <c r="AA24" s="422"/>
      <c r="AB24" s="422"/>
      <c r="AC24" s="422"/>
      <c r="AD24" s="422"/>
      <c r="AE24" s="422"/>
      <c r="AF24" s="422"/>
      <c r="AG24" s="422"/>
      <c r="AH24" s="422"/>
      <c r="AI24" s="422"/>
      <c r="AJ24" s="422"/>
      <c r="AK24" s="422"/>
      <c r="AL24" s="422"/>
      <c r="AM24" s="422"/>
      <c r="AN24" s="422"/>
      <c r="AO24" s="422"/>
      <c r="AP24" s="422"/>
      <c r="AQ24" s="422"/>
      <c r="AR24" s="422"/>
      <c r="AS24" s="422"/>
      <c r="AT24" s="422"/>
      <c r="AU24" s="422"/>
      <c r="AV24" s="422"/>
      <c r="AW24" s="422"/>
      <c r="AX24" s="422"/>
      <c r="AY24" s="422"/>
    </row>
    <row r="25" spans="1:51" s="423" customFormat="1" ht="15.75" customHeight="1">
      <c r="A25" s="419"/>
      <c r="B25" s="420"/>
      <c r="C25" s="420"/>
      <c r="D25" s="420"/>
      <c r="E25" s="420"/>
      <c r="F25" s="420"/>
      <c r="G25" s="420"/>
      <c r="H25" s="420"/>
      <c r="I25" s="420"/>
      <c r="J25" s="420"/>
      <c r="K25" s="421"/>
      <c r="L25" s="420"/>
      <c r="M25" s="420"/>
      <c r="N25" s="420"/>
      <c r="O25" s="421"/>
      <c r="P25" s="421"/>
      <c r="Q25" s="421"/>
      <c r="R25" s="421"/>
      <c r="S25" s="673"/>
      <c r="T25" s="422"/>
      <c r="U25" s="422"/>
      <c r="V25" s="422"/>
      <c r="W25" s="422"/>
      <c r="X25" s="422"/>
      <c r="Y25" s="422"/>
      <c r="Z25" s="422"/>
      <c r="AA25" s="422"/>
      <c r="AB25" s="422"/>
      <c r="AC25" s="422"/>
      <c r="AD25" s="422"/>
      <c r="AE25" s="422"/>
      <c r="AF25" s="422"/>
      <c r="AG25" s="422"/>
      <c r="AH25" s="422"/>
      <c r="AI25" s="422"/>
      <c r="AJ25" s="422"/>
      <c r="AK25" s="422"/>
      <c r="AL25" s="422"/>
      <c r="AM25" s="422"/>
      <c r="AN25" s="422"/>
      <c r="AO25" s="422"/>
      <c r="AP25" s="422"/>
      <c r="AQ25" s="422"/>
      <c r="AR25" s="422"/>
      <c r="AS25" s="422"/>
      <c r="AT25" s="422"/>
      <c r="AU25" s="422"/>
      <c r="AV25" s="422"/>
      <c r="AW25" s="422"/>
      <c r="AX25" s="422"/>
      <c r="AY25" s="422"/>
    </row>
    <row r="26" spans="1:51" ht="15.75" customHeight="1" thickBot="1">
      <c r="A26" s="231"/>
      <c r="B26" s="231"/>
      <c r="C26" s="231"/>
      <c r="D26" s="231"/>
      <c r="E26" s="232"/>
      <c r="F26" s="232"/>
      <c r="G26" s="231"/>
      <c r="H26" s="231"/>
      <c r="I26" s="231"/>
      <c r="J26" s="231"/>
      <c r="K26" s="231"/>
      <c r="L26" s="231"/>
      <c r="M26" s="231"/>
      <c r="N26" s="231"/>
      <c r="O26" s="231"/>
      <c r="P26" s="231"/>
      <c r="Q26" s="231"/>
      <c r="R26" s="233"/>
      <c r="S26" s="674"/>
      <c r="T26" s="233"/>
      <c r="U26" s="233"/>
      <c r="V26" s="132"/>
      <c r="W26" s="132"/>
      <c r="X26" s="132"/>
      <c r="Y26" s="132"/>
      <c r="Z26" s="132"/>
      <c r="AA26" s="132"/>
      <c r="AB26" s="132"/>
      <c r="AC26" s="132"/>
      <c r="AD26" s="132"/>
      <c r="AE26" s="132"/>
      <c r="AF26" s="132"/>
      <c r="AG26" s="132"/>
      <c r="AH26" s="132"/>
      <c r="AI26" s="132"/>
      <c r="AJ26" s="132"/>
      <c r="AK26" s="132"/>
      <c r="AL26" s="132"/>
      <c r="AM26" s="132"/>
      <c r="AN26" s="132"/>
      <c r="AO26" s="132"/>
      <c r="AP26" s="132"/>
      <c r="AQ26" s="132"/>
      <c r="AR26" s="132"/>
      <c r="AS26" s="132"/>
      <c r="AT26" s="132"/>
      <c r="AU26" s="132"/>
      <c r="AV26" s="132"/>
      <c r="AW26" s="132"/>
      <c r="AX26" s="132"/>
      <c r="AY26" s="132"/>
    </row>
    <row r="27" spans="1:51" ht="15.75" customHeight="1">
      <c r="A27" s="371" t="s">
        <v>46</v>
      </c>
      <c r="B27" s="372"/>
      <c r="C27" s="375" t="s">
        <v>47</v>
      </c>
      <c r="D27" s="375"/>
      <c r="E27" s="234" t="s">
        <v>48</v>
      </c>
      <c r="F27" s="235"/>
      <c r="G27" s="234" t="s">
        <v>49</v>
      </c>
      <c r="H27" s="235"/>
      <c r="I27" s="236" t="s">
        <v>50</v>
      </c>
      <c r="J27" s="132"/>
      <c r="K27" s="132"/>
      <c r="L27" s="132"/>
      <c r="M27" s="132"/>
      <c r="N27" s="132"/>
      <c r="O27" s="132"/>
      <c r="P27" s="132"/>
      <c r="Q27" s="185"/>
      <c r="R27" s="195"/>
      <c r="S27" s="195"/>
      <c r="T27" s="195"/>
      <c r="U27" s="233"/>
      <c r="V27" s="132"/>
      <c r="W27" s="132"/>
      <c r="X27" s="132"/>
      <c r="Y27" s="132"/>
      <c r="Z27" s="132"/>
      <c r="AA27" s="132"/>
      <c r="AB27" s="132"/>
      <c r="AC27" s="132"/>
      <c r="AD27" s="132"/>
      <c r="AE27" s="132"/>
      <c r="AF27" s="132"/>
      <c r="AG27" s="132"/>
      <c r="AH27" s="132"/>
      <c r="AI27" s="132"/>
      <c r="AJ27" s="132"/>
      <c r="AK27" s="132"/>
      <c r="AL27" s="132"/>
      <c r="AM27" s="132"/>
      <c r="AN27" s="132"/>
      <c r="AO27" s="132"/>
      <c r="AP27" s="132"/>
      <c r="AQ27" s="132"/>
      <c r="AR27" s="132"/>
      <c r="AS27" s="132"/>
      <c r="AT27" s="132"/>
      <c r="AU27" s="132"/>
      <c r="AV27" s="132"/>
      <c r="AW27" s="132"/>
      <c r="AX27" s="132"/>
      <c r="AY27" s="132"/>
    </row>
    <row r="28" spans="1:51" ht="15.75" customHeight="1">
      <c r="A28" s="373"/>
      <c r="B28" s="374"/>
      <c r="C28" s="237" t="s">
        <v>51</v>
      </c>
      <c r="D28" s="237" t="s">
        <v>52</v>
      </c>
      <c r="E28" s="238">
        <f>A21</f>
        <v>44796</v>
      </c>
      <c r="F28" s="239" t="s">
        <v>53</v>
      </c>
      <c r="G28" s="240">
        <f>A22</f>
        <v>45031</v>
      </c>
      <c r="H28" s="239" t="s">
        <v>53</v>
      </c>
      <c r="I28" s="241">
        <f>A24</f>
        <v>45160</v>
      </c>
      <c r="J28" s="132"/>
      <c r="K28" s="132"/>
      <c r="L28" s="132"/>
      <c r="M28" s="132"/>
      <c r="N28" s="132"/>
      <c r="O28" s="132"/>
      <c r="P28" s="132"/>
      <c r="Q28" s="185"/>
      <c r="R28" s="195"/>
      <c r="S28" s="195"/>
      <c r="T28" s="195"/>
      <c r="U28" s="233"/>
      <c r="V28" s="132"/>
      <c r="W28" s="132"/>
      <c r="X28" s="132"/>
      <c r="Y28" s="132"/>
      <c r="Z28" s="132"/>
      <c r="AA28" s="132"/>
      <c r="AB28" s="132"/>
      <c r="AC28" s="132"/>
      <c r="AD28" s="132"/>
      <c r="AE28" s="132"/>
      <c r="AF28" s="132"/>
      <c r="AG28" s="132"/>
      <c r="AH28" s="132"/>
      <c r="AI28" s="132"/>
      <c r="AJ28" s="132"/>
      <c r="AK28" s="132"/>
      <c r="AL28" s="132"/>
      <c r="AM28" s="132"/>
      <c r="AN28" s="132"/>
      <c r="AO28" s="132"/>
      <c r="AP28" s="132"/>
      <c r="AQ28" s="132"/>
      <c r="AR28" s="132"/>
      <c r="AS28" s="132"/>
      <c r="AT28" s="132"/>
      <c r="AU28" s="132"/>
      <c r="AV28" s="132"/>
      <c r="AW28" s="132"/>
      <c r="AX28" s="132"/>
      <c r="AY28" s="132"/>
    </row>
    <row r="29" spans="1:51" ht="15.75" customHeight="1">
      <c r="A29" s="242"/>
      <c r="B29" s="243" t="s">
        <v>54</v>
      </c>
      <c r="C29" s="244">
        <f>P22</f>
        <v>1.9236</v>
      </c>
      <c r="D29" s="244"/>
      <c r="E29" s="245"/>
      <c r="F29" s="245"/>
      <c r="G29" s="246"/>
      <c r="H29" s="244"/>
      <c r="I29" s="247"/>
      <c r="J29" s="132"/>
      <c r="K29" s="132"/>
      <c r="L29" s="132"/>
      <c r="M29" s="132"/>
      <c r="N29" s="132"/>
      <c r="O29" s="132"/>
      <c r="P29" s="132"/>
      <c r="Q29" s="185"/>
      <c r="R29" s="195"/>
      <c r="S29" s="195"/>
      <c r="T29" s="195"/>
      <c r="U29" s="233"/>
      <c r="V29" s="132"/>
      <c r="W29" s="132"/>
      <c r="X29" s="132"/>
      <c r="Y29" s="132"/>
      <c r="Z29" s="132"/>
      <c r="AA29" s="132"/>
      <c r="AB29" s="132"/>
      <c r="AC29" s="132"/>
      <c r="AD29" s="132"/>
      <c r="AE29" s="132"/>
      <c r="AF29" s="132"/>
      <c r="AG29" s="132"/>
      <c r="AH29" s="132"/>
      <c r="AI29" s="132"/>
      <c r="AJ29" s="132"/>
      <c r="AK29" s="132"/>
      <c r="AL29" s="132"/>
      <c r="AM29" s="132"/>
      <c r="AN29" s="132"/>
      <c r="AO29" s="132"/>
      <c r="AP29" s="132"/>
      <c r="AQ29" s="132"/>
      <c r="AR29" s="132"/>
      <c r="AS29" s="132"/>
      <c r="AT29" s="132"/>
      <c r="AU29" s="132"/>
      <c r="AV29" s="132"/>
      <c r="AW29" s="132"/>
      <c r="AX29" s="132"/>
      <c r="AY29" s="132"/>
    </row>
    <row r="30" spans="1:51" ht="15.75" customHeight="1">
      <c r="A30" s="242"/>
      <c r="B30" s="243" t="s">
        <v>55</v>
      </c>
      <c r="C30" s="244">
        <f>O23</f>
        <v>-1.4186999999999999</v>
      </c>
      <c r="D30" s="244"/>
      <c r="E30" s="245"/>
      <c r="F30" s="245"/>
      <c r="G30" s="246"/>
      <c r="H30" s="244"/>
      <c r="I30" s="247"/>
      <c r="J30" s="132"/>
      <c r="K30" s="132"/>
      <c r="L30" s="132"/>
      <c r="M30" s="132"/>
      <c r="N30" s="132"/>
      <c r="O30" s="132"/>
      <c r="P30" s="132"/>
      <c r="Q30" s="185"/>
      <c r="R30" s="195"/>
      <c r="S30" s="195"/>
      <c r="T30" s="195"/>
      <c r="U30" s="233"/>
      <c r="V30" s="132"/>
      <c r="W30" s="132"/>
      <c r="X30" s="132"/>
      <c r="Y30" s="132"/>
      <c r="Z30" s="132"/>
      <c r="AA30" s="132"/>
      <c r="AB30" s="132"/>
      <c r="AC30" s="132"/>
      <c r="AD30" s="132"/>
      <c r="AE30" s="132"/>
      <c r="AF30" s="132"/>
      <c r="AG30" s="132"/>
      <c r="AH30" s="132"/>
      <c r="AI30" s="132"/>
      <c r="AJ30" s="132"/>
      <c r="AK30" s="132"/>
      <c r="AL30" s="132"/>
      <c r="AM30" s="132"/>
      <c r="AN30" s="132"/>
      <c r="AO30" s="132"/>
      <c r="AP30" s="132"/>
      <c r="AQ30" s="132"/>
      <c r="AR30" s="132"/>
      <c r="AS30" s="132"/>
      <c r="AT30" s="132"/>
      <c r="AU30" s="132"/>
      <c r="AV30" s="132"/>
      <c r="AW30" s="132"/>
      <c r="AX30" s="132"/>
      <c r="AY30" s="132"/>
    </row>
    <row r="31" spans="1:51" ht="15.75" customHeight="1">
      <c r="A31" s="242"/>
      <c r="B31" s="243" t="s">
        <v>56</v>
      </c>
      <c r="C31" s="244">
        <f>Q23</f>
        <v>0.50490000000000002</v>
      </c>
      <c r="D31" s="244"/>
      <c r="E31" s="245"/>
      <c r="F31" s="245"/>
      <c r="G31" s="246"/>
      <c r="H31" s="244"/>
      <c r="I31" s="247"/>
      <c r="J31" s="132"/>
      <c r="K31" s="132"/>
      <c r="L31" s="132"/>
      <c r="M31" s="132"/>
      <c r="N31" s="132"/>
      <c r="O31" s="132"/>
      <c r="P31" s="132"/>
      <c r="Q31" s="185"/>
      <c r="R31" s="195"/>
      <c r="S31" s="195"/>
      <c r="T31" s="195"/>
      <c r="U31" s="233"/>
      <c r="V31" s="132"/>
      <c r="W31" s="132"/>
      <c r="X31" s="132"/>
      <c r="Y31" s="132"/>
      <c r="Z31" s="132"/>
      <c r="AA31" s="132"/>
      <c r="AB31" s="132"/>
      <c r="AC31" s="132"/>
      <c r="AD31" s="132"/>
      <c r="AE31" s="132"/>
      <c r="AF31" s="132"/>
      <c r="AG31" s="132"/>
      <c r="AH31" s="132"/>
      <c r="AI31" s="132"/>
      <c r="AJ31" s="132"/>
      <c r="AK31" s="132"/>
      <c r="AL31" s="132"/>
      <c r="AM31" s="132"/>
      <c r="AN31" s="132"/>
      <c r="AO31" s="132"/>
      <c r="AP31" s="132"/>
      <c r="AQ31" s="132"/>
      <c r="AR31" s="132"/>
      <c r="AS31" s="132"/>
      <c r="AT31" s="132"/>
      <c r="AU31" s="132"/>
      <c r="AV31" s="132"/>
      <c r="AW31" s="132"/>
      <c r="AX31" s="132"/>
      <c r="AY31" s="132"/>
    </row>
    <row r="32" spans="1:51" ht="15.75" customHeight="1">
      <c r="A32" s="242"/>
      <c r="B32" s="118" t="s">
        <v>57</v>
      </c>
      <c r="C32" s="244">
        <f>0.08</f>
        <v>0.08</v>
      </c>
      <c r="D32" s="244"/>
      <c r="E32" s="245"/>
      <c r="F32" s="245"/>
      <c r="G32" s="244"/>
      <c r="H32" s="244"/>
      <c r="I32" s="247"/>
      <c r="J32" s="132"/>
      <c r="K32" s="132"/>
      <c r="L32" s="132"/>
      <c r="M32" s="132"/>
      <c r="N32" s="132"/>
      <c r="O32" s="132"/>
      <c r="P32" s="132"/>
      <c r="Q32" s="185"/>
      <c r="R32" s="195"/>
      <c r="S32" s="195"/>
      <c r="T32" s="195"/>
      <c r="U32" s="233"/>
      <c r="V32" s="132"/>
      <c r="W32" s="132"/>
      <c r="X32" s="132"/>
      <c r="Y32" s="132"/>
      <c r="Z32" s="132"/>
      <c r="AA32" s="132"/>
      <c r="AB32" s="132"/>
      <c r="AC32" s="132"/>
      <c r="AD32" s="132"/>
      <c r="AE32" s="132"/>
      <c r="AF32" s="132"/>
      <c r="AG32" s="132"/>
      <c r="AH32" s="132"/>
      <c r="AI32" s="132"/>
      <c r="AJ32" s="132"/>
      <c r="AK32" s="132"/>
      <c r="AL32" s="132"/>
      <c r="AM32" s="132"/>
      <c r="AN32" s="132"/>
      <c r="AO32" s="132"/>
      <c r="AP32" s="132"/>
      <c r="AQ32" s="132"/>
      <c r="AR32" s="132"/>
      <c r="AS32" s="132"/>
      <c r="AT32" s="132"/>
      <c r="AU32" s="132"/>
      <c r="AV32" s="132"/>
      <c r="AW32" s="132"/>
      <c r="AX32" s="132"/>
      <c r="AY32" s="132"/>
    </row>
    <row r="33" spans="1:51" ht="15.75" customHeight="1">
      <c r="A33" s="242"/>
      <c r="B33" s="118" t="s">
        <v>58</v>
      </c>
      <c r="C33" s="244">
        <v>0</v>
      </c>
      <c r="D33" s="244"/>
      <c r="E33" s="245"/>
      <c r="F33" s="245"/>
      <c r="G33" s="244"/>
      <c r="H33" s="244"/>
      <c r="I33" s="247"/>
      <c r="J33" s="132"/>
      <c r="K33" s="132"/>
      <c r="L33" s="132"/>
      <c r="M33" s="132"/>
      <c r="N33" s="132"/>
      <c r="O33" s="132"/>
      <c r="P33" s="132"/>
      <c r="Q33" s="185"/>
      <c r="R33" s="195"/>
      <c r="S33" s="195"/>
      <c r="T33" s="195"/>
      <c r="U33" s="233"/>
      <c r="V33" s="132"/>
      <c r="W33" s="132"/>
      <c r="X33" s="132"/>
      <c r="Y33" s="132"/>
      <c r="Z33" s="132"/>
      <c r="AA33" s="132"/>
      <c r="AB33" s="132"/>
      <c r="AC33" s="132"/>
      <c r="AD33" s="132"/>
      <c r="AE33" s="132"/>
      <c r="AF33" s="132"/>
      <c r="AG33" s="132"/>
      <c r="AH33" s="132"/>
      <c r="AI33" s="132"/>
      <c r="AJ33" s="132"/>
      <c r="AK33" s="132"/>
      <c r="AL33" s="132"/>
      <c r="AM33" s="132"/>
      <c r="AN33" s="132"/>
      <c r="AO33" s="132"/>
      <c r="AP33" s="132"/>
      <c r="AQ33" s="132"/>
      <c r="AR33" s="132"/>
      <c r="AS33" s="132"/>
      <c r="AT33" s="132"/>
      <c r="AU33" s="132"/>
      <c r="AV33" s="132"/>
      <c r="AW33" s="132"/>
      <c r="AX33" s="132"/>
      <c r="AY33" s="132"/>
    </row>
    <row r="34" spans="1:51" ht="15.75" customHeight="1" thickBot="1">
      <c r="A34" s="93"/>
      <c r="B34" s="119" t="s">
        <v>59</v>
      </c>
      <c r="C34" s="95">
        <v>0</v>
      </c>
      <c r="D34" s="95"/>
      <c r="E34" s="96"/>
      <c r="F34" s="96"/>
      <c r="G34" s="97"/>
      <c r="H34" s="97"/>
      <c r="I34" s="98"/>
      <c r="Q34" s="48"/>
      <c r="R34" s="21"/>
      <c r="S34" s="21"/>
      <c r="T34" s="16"/>
      <c r="U34" s="7"/>
    </row>
    <row r="35" spans="1:51" ht="15.75" customHeight="1">
      <c r="A35" s="7"/>
      <c r="B35" s="7"/>
      <c r="C35" s="7"/>
      <c r="D35" s="7"/>
      <c r="E35" s="7"/>
      <c r="F35" s="7"/>
      <c r="G35" s="7"/>
      <c r="H35" s="7"/>
      <c r="I35" s="7"/>
      <c r="J35" s="7"/>
      <c r="K35" s="7"/>
      <c r="L35" s="7"/>
      <c r="M35" s="7"/>
      <c r="N35" s="7"/>
      <c r="O35" s="7"/>
      <c r="P35" s="7"/>
      <c r="Q35" s="16"/>
      <c r="R35" s="16"/>
      <c r="S35" s="16"/>
      <c r="T35" s="16"/>
      <c r="U35" s="7"/>
    </row>
  </sheetData>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43"/>
  <sheetViews>
    <sheetView topLeftCell="L1" zoomScaleNormal="100" workbookViewId="0">
      <selection activeCell="G36" sqref="G36"/>
    </sheetView>
  </sheetViews>
  <sheetFormatPr defaultColWidth="17.28515625" defaultRowHeight="15.75" customHeight="1"/>
  <cols>
    <col min="1" max="1" width="11.85546875" style="20" bestFit="1" customWidth="1"/>
    <col min="2" max="2" width="27.7109375" style="20" bestFit="1" customWidth="1"/>
    <col min="3" max="3" width="13.85546875" style="20" bestFit="1" customWidth="1"/>
    <col min="4" max="4" width="24.28515625" style="20" bestFit="1" customWidth="1"/>
    <col min="5" max="5" width="25.7109375" style="20" bestFit="1" customWidth="1"/>
    <col min="6" max="6" width="16.140625" style="20" bestFit="1" customWidth="1"/>
    <col min="7" max="7" width="15.7109375" style="20" bestFit="1" customWidth="1"/>
    <col min="8" max="8" width="16.140625" style="20" bestFit="1" customWidth="1"/>
    <col min="9" max="9" width="19.5703125" style="20" bestFit="1" customWidth="1"/>
    <col min="10" max="10" width="22.28515625" style="20" bestFit="1" customWidth="1"/>
    <col min="11" max="11" width="14.7109375" style="20" bestFit="1" customWidth="1"/>
    <col min="12" max="12" width="20.28515625" style="20" bestFit="1" customWidth="1"/>
    <col min="13" max="13" width="27.5703125" style="20" bestFit="1" customWidth="1"/>
    <col min="14" max="14" width="13.42578125" style="20" bestFit="1" customWidth="1"/>
    <col min="15" max="17" width="7.140625" style="20" bestFit="1" customWidth="1"/>
    <col min="18" max="18" width="16.5703125" style="20" bestFit="1" customWidth="1"/>
    <col min="19" max="19" width="23.85546875" style="20" bestFit="1" customWidth="1"/>
    <col min="20" max="20" width="8.85546875" style="20" bestFit="1" customWidth="1"/>
    <col min="21" max="21" width="9.85546875" style="20" bestFit="1" customWidth="1"/>
    <col min="22" max="22" width="10.7109375" style="20" bestFit="1" customWidth="1"/>
    <col min="23" max="23" width="26.28515625" style="20" bestFit="1" customWidth="1"/>
    <col min="24" max="16384" width="17.28515625" style="20"/>
  </cols>
  <sheetData>
    <row r="1" spans="1:24" ht="15" customHeight="1">
      <c r="A1" s="248"/>
      <c r="B1" s="249"/>
      <c r="C1" s="250"/>
      <c r="D1" s="251"/>
      <c r="E1" s="252"/>
      <c r="F1" s="253"/>
      <c r="G1" s="254"/>
      <c r="H1" s="255"/>
      <c r="I1" s="254"/>
      <c r="J1" s="256"/>
      <c r="K1" s="253"/>
      <c r="L1" s="257"/>
      <c r="M1" s="258"/>
      <c r="N1" s="254"/>
      <c r="O1" s="259"/>
      <c r="P1" s="260"/>
      <c r="Q1" s="260"/>
      <c r="R1" s="260"/>
      <c r="S1" s="261"/>
      <c r="T1" s="1099" t="s">
        <v>11</v>
      </c>
      <c r="U1" s="1100"/>
      <c r="V1" s="1101"/>
      <c r="W1" s="262"/>
      <c r="X1" s="132"/>
    </row>
    <row r="2" spans="1:24" ht="15" customHeight="1">
      <c r="A2" s="120"/>
      <c r="B2" s="121"/>
      <c r="C2" s="122"/>
      <c r="D2" s="263"/>
      <c r="E2" s="367"/>
      <c r="F2" s="368"/>
      <c r="G2" s="264"/>
      <c r="H2" s="265"/>
      <c r="I2" s="264"/>
      <c r="J2" s="125"/>
      <c r="K2" s="231"/>
      <c r="L2" s="266"/>
      <c r="M2" s="267"/>
      <c r="N2" s="125"/>
      <c r="O2" s="230"/>
      <c r="P2" s="132"/>
      <c r="Q2" s="132"/>
      <c r="R2" s="132"/>
      <c r="S2" s="228"/>
      <c r="T2" s="1102" t="s">
        <v>12</v>
      </c>
      <c r="U2" s="1103"/>
      <c r="V2" s="369"/>
      <c r="W2" s="268"/>
      <c r="X2" s="132"/>
    </row>
    <row r="3" spans="1:24" ht="15" customHeight="1">
      <c r="A3" s="120"/>
      <c r="B3" s="121"/>
      <c r="C3" s="122"/>
      <c r="D3" s="123"/>
      <c r="E3" s="1104" t="s">
        <v>13</v>
      </c>
      <c r="F3" s="1105"/>
      <c r="G3" s="1106"/>
      <c r="H3" s="124"/>
      <c r="I3" s="368"/>
      <c r="J3" s="125"/>
      <c r="K3" s="368"/>
      <c r="L3" s="126"/>
      <c r="M3" s="127"/>
      <c r="N3" s="125"/>
      <c r="O3" s="128"/>
      <c r="P3" s="125"/>
      <c r="Q3" s="125"/>
      <c r="R3" s="129"/>
      <c r="S3" s="130"/>
      <c r="T3" s="1107" t="s">
        <v>14</v>
      </c>
      <c r="U3" s="1108"/>
      <c r="V3" s="369"/>
      <c r="W3" s="131"/>
      <c r="X3" s="132"/>
    </row>
    <row r="4" spans="1:24" s="74" customFormat="1" ht="28.5">
      <c r="A4" s="133" t="s">
        <v>15</v>
      </c>
      <c r="B4" s="134" t="s">
        <v>16</v>
      </c>
      <c r="C4" s="135" t="s">
        <v>17</v>
      </c>
      <c r="D4" s="136" t="s">
        <v>18</v>
      </c>
      <c r="E4" s="137" t="s">
        <v>19</v>
      </c>
      <c r="F4" s="134" t="s">
        <v>20</v>
      </c>
      <c r="G4" s="138" t="s">
        <v>21</v>
      </c>
      <c r="H4" s="139" t="s">
        <v>22</v>
      </c>
      <c r="I4" s="138" t="s">
        <v>23</v>
      </c>
      <c r="J4" s="138" t="s">
        <v>24</v>
      </c>
      <c r="K4" s="134" t="s">
        <v>25</v>
      </c>
      <c r="L4" s="269" t="s">
        <v>26</v>
      </c>
      <c r="M4" s="270" t="s">
        <v>27</v>
      </c>
      <c r="N4" s="138" t="s">
        <v>28</v>
      </c>
      <c r="O4" s="141" t="s">
        <v>66</v>
      </c>
      <c r="P4" s="138" t="s">
        <v>67</v>
      </c>
      <c r="Q4" s="138" t="s">
        <v>68</v>
      </c>
      <c r="R4" s="142" t="s">
        <v>3</v>
      </c>
      <c r="S4" s="143" t="s">
        <v>4</v>
      </c>
      <c r="T4" s="144" t="s">
        <v>32</v>
      </c>
      <c r="U4" s="144" t="s">
        <v>33</v>
      </c>
      <c r="V4" s="145" t="s">
        <v>0</v>
      </c>
      <c r="W4" s="135" t="s">
        <v>34</v>
      </c>
      <c r="X4" s="146"/>
    </row>
    <row r="5" spans="1:24" ht="15.75" customHeight="1" thickBot="1">
      <c r="A5" s="147" t="s">
        <v>35</v>
      </c>
      <c r="B5" s="148"/>
      <c r="C5" s="149"/>
      <c r="D5" s="150"/>
      <c r="E5" s="151" t="s">
        <v>36</v>
      </c>
      <c r="F5" s="151" t="s">
        <v>36</v>
      </c>
      <c r="G5" s="151" t="s">
        <v>36</v>
      </c>
      <c r="H5" s="271" t="s">
        <v>36</v>
      </c>
      <c r="I5" s="271" t="s">
        <v>36</v>
      </c>
      <c r="J5" s="151" t="s">
        <v>36</v>
      </c>
      <c r="K5" s="154" t="s">
        <v>37</v>
      </c>
      <c r="L5" s="272" t="s">
        <v>36</v>
      </c>
      <c r="M5" s="156" t="s">
        <v>36</v>
      </c>
      <c r="N5" s="156" t="s">
        <v>37</v>
      </c>
      <c r="O5" s="157" t="s">
        <v>38</v>
      </c>
      <c r="P5" s="158" t="s">
        <v>38</v>
      </c>
      <c r="Q5" s="158" t="s">
        <v>38</v>
      </c>
      <c r="R5" s="159" t="s">
        <v>38</v>
      </c>
      <c r="S5" s="160" t="s">
        <v>38</v>
      </c>
      <c r="T5" s="161" t="s">
        <v>36</v>
      </c>
      <c r="U5" s="161" t="s">
        <v>36</v>
      </c>
      <c r="V5" s="162" t="s">
        <v>36</v>
      </c>
      <c r="W5" s="163"/>
      <c r="X5" s="132"/>
    </row>
    <row r="6" spans="1:24" ht="15" customHeight="1">
      <c r="A6" s="198">
        <v>43581</v>
      </c>
      <c r="B6" s="199" t="s">
        <v>78</v>
      </c>
      <c r="C6" s="200" t="s">
        <v>79</v>
      </c>
      <c r="D6" s="201" t="s">
        <v>40</v>
      </c>
      <c r="E6" s="199">
        <v>9.15</v>
      </c>
      <c r="F6" s="203">
        <v>1.01</v>
      </c>
      <c r="G6" s="203">
        <v>8.14</v>
      </c>
      <c r="H6" s="204"/>
      <c r="I6" s="203">
        <v>3.57</v>
      </c>
      <c r="J6" s="203">
        <v>3.5211111111111109</v>
      </c>
      <c r="K6" s="203">
        <v>0.41000272359955442</v>
      </c>
      <c r="L6" s="276">
        <v>4.57</v>
      </c>
      <c r="M6" s="203"/>
      <c r="N6" s="203"/>
      <c r="O6" s="381"/>
      <c r="P6" s="206">
        <v>1.4637097232504093</v>
      </c>
      <c r="Q6" s="382"/>
      <c r="R6" s="206"/>
      <c r="S6" s="207"/>
      <c r="T6" s="208"/>
      <c r="U6" s="203"/>
      <c r="V6" s="209"/>
      <c r="W6" s="210"/>
      <c r="X6" s="132"/>
    </row>
    <row r="7" spans="1:24" ht="15" customHeight="1">
      <c r="A7" s="198">
        <v>43705</v>
      </c>
      <c r="B7" s="199"/>
      <c r="C7" s="200"/>
      <c r="D7" s="201"/>
      <c r="E7" s="199" t="s">
        <v>80</v>
      </c>
      <c r="F7" s="203"/>
      <c r="G7" s="203">
        <v>0</v>
      </c>
      <c r="H7" s="204">
        <v>0</v>
      </c>
      <c r="I7" s="203"/>
      <c r="J7" s="203"/>
      <c r="K7" s="203"/>
      <c r="L7" s="276"/>
      <c r="M7" s="203"/>
      <c r="N7" s="203"/>
      <c r="O7" s="381"/>
      <c r="P7" s="206"/>
      <c r="Q7" s="382"/>
      <c r="R7" s="206"/>
      <c r="S7" s="207"/>
      <c r="T7" s="208"/>
      <c r="U7" s="203"/>
      <c r="V7" s="209"/>
      <c r="W7" s="210"/>
      <c r="X7" s="132"/>
    </row>
    <row r="8" spans="1:24" ht="15" customHeight="1">
      <c r="A8" s="198"/>
      <c r="B8" s="199"/>
      <c r="C8" s="200"/>
      <c r="D8" s="201"/>
      <c r="E8" s="199"/>
      <c r="F8" s="203"/>
      <c r="G8" s="203">
        <v>0</v>
      </c>
      <c r="H8" s="204">
        <v>0</v>
      </c>
      <c r="I8" s="203"/>
      <c r="J8" s="203"/>
      <c r="K8" s="203"/>
      <c r="L8" s="276"/>
      <c r="M8" s="203"/>
      <c r="N8" s="203"/>
      <c r="O8" s="381"/>
      <c r="P8" s="206"/>
      <c r="Q8" s="382"/>
      <c r="R8" s="206"/>
      <c r="S8" s="207"/>
      <c r="T8" s="208"/>
      <c r="U8" s="203"/>
      <c r="V8" s="209"/>
      <c r="W8" s="210"/>
      <c r="X8" s="132"/>
    </row>
    <row r="9" spans="1:24" ht="15" customHeight="1">
      <c r="A9" s="211">
        <v>43953</v>
      </c>
      <c r="B9" s="212" t="s">
        <v>81</v>
      </c>
      <c r="C9" s="213" t="s">
        <v>79</v>
      </c>
      <c r="D9" s="214" t="s">
        <v>40</v>
      </c>
      <c r="E9" s="215" t="s">
        <v>82</v>
      </c>
      <c r="F9" s="215"/>
      <c r="G9" s="215">
        <v>0</v>
      </c>
      <c r="H9" s="204">
        <v>0</v>
      </c>
      <c r="I9" s="203"/>
      <c r="J9" s="203"/>
      <c r="K9" s="203"/>
      <c r="L9" s="276"/>
      <c r="M9" s="203"/>
      <c r="N9" s="203"/>
      <c r="O9" s="381"/>
      <c r="P9" s="206"/>
      <c r="Q9" s="382"/>
      <c r="R9" s="206"/>
      <c r="S9" s="207"/>
      <c r="T9" s="208"/>
      <c r="U9" s="203"/>
      <c r="V9" s="209"/>
      <c r="W9" s="210"/>
      <c r="X9" s="132"/>
    </row>
    <row r="10" spans="1:24" ht="15" customHeight="1">
      <c r="A10" s="211">
        <v>44064</v>
      </c>
      <c r="B10" s="212" t="s">
        <v>72</v>
      </c>
      <c r="C10" s="213" t="s">
        <v>79</v>
      </c>
      <c r="D10" s="214" t="s">
        <v>40</v>
      </c>
      <c r="E10" s="215">
        <v>9.15</v>
      </c>
      <c r="F10" s="215">
        <v>2.63</v>
      </c>
      <c r="G10" s="215">
        <v>6.52</v>
      </c>
      <c r="H10" s="204"/>
      <c r="I10" s="203">
        <v>2.1800000000000002</v>
      </c>
      <c r="J10" s="203">
        <v>2.13</v>
      </c>
      <c r="K10" s="203">
        <v>0.5701345755693582</v>
      </c>
      <c r="L10" s="276">
        <v>4.34</v>
      </c>
      <c r="M10" s="203"/>
      <c r="N10" s="203"/>
      <c r="O10" s="381"/>
      <c r="P10" s="206"/>
      <c r="Q10" s="382">
        <v>1.242893374741201</v>
      </c>
      <c r="R10" s="206">
        <v>-0.12913165266106469</v>
      </c>
      <c r="S10" s="207"/>
      <c r="T10" s="208"/>
      <c r="U10" s="203"/>
      <c r="V10" s="209"/>
      <c r="W10" s="362" t="s">
        <v>83</v>
      </c>
      <c r="X10" s="132"/>
    </row>
    <row r="11" spans="1:24" ht="15" customHeight="1">
      <c r="A11" s="211">
        <v>44430</v>
      </c>
      <c r="B11" s="212" t="s">
        <v>105</v>
      </c>
      <c r="C11" s="213" t="s">
        <v>79</v>
      </c>
      <c r="D11" s="214" t="s">
        <v>74</v>
      </c>
      <c r="E11" s="215">
        <v>9.15</v>
      </c>
      <c r="F11" s="215">
        <v>1.9</v>
      </c>
      <c r="G11" s="215">
        <f>E11-F11</f>
        <v>7.25</v>
      </c>
      <c r="H11" s="204"/>
      <c r="I11" s="203">
        <v>0.43</v>
      </c>
      <c r="J11" s="203">
        <v>0.42</v>
      </c>
      <c r="K11" s="203">
        <v>0.46</v>
      </c>
      <c r="L11" s="276"/>
      <c r="M11" s="203"/>
      <c r="N11" s="203"/>
      <c r="O11" s="381"/>
      <c r="P11" s="206"/>
      <c r="Q11" s="382"/>
      <c r="R11" s="206"/>
      <c r="S11" s="207">
        <f>J11*K11</f>
        <v>0.19320000000000001</v>
      </c>
      <c r="T11" s="208"/>
      <c r="U11" s="203"/>
      <c r="V11" s="209"/>
      <c r="W11" s="362"/>
      <c r="X11" s="132"/>
    </row>
    <row r="12" spans="1:24" ht="15" customHeight="1">
      <c r="A12" s="211">
        <v>44430</v>
      </c>
      <c r="B12" s="212" t="s">
        <v>105</v>
      </c>
      <c r="C12" s="213" t="s">
        <v>79</v>
      </c>
      <c r="D12" s="214" t="s">
        <v>104</v>
      </c>
      <c r="E12" s="215">
        <v>9.15</v>
      </c>
      <c r="F12" s="215">
        <f>E12-G12</f>
        <v>2.33</v>
      </c>
      <c r="G12" s="215">
        <v>6.82</v>
      </c>
      <c r="H12" s="204"/>
      <c r="I12" s="203">
        <v>0.93</v>
      </c>
      <c r="J12" s="203">
        <v>0.99</v>
      </c>
      <c r="K12" s="203">
        <v>0.55000000000000004</v>
      </c>
      <c r="L12" s="276"/>
      <c r="M12" s="203"/>
      <c r="N12" s="203"/>
      <c r="O12" s="381"/>
      <c r="P12" s="206"/>
      <c r="Q12" s="382">
        <f>J12*K12</f>
        <v>0.54449999999999998</v>
      </c>
      <c r="R12" s="206"/>
      <c r="S12" s="207"/>
      <c r="T12" s="208"/>
      <c r="U12" s="203"/>
      <c r="V12" s="209"/>
      <c r="W12" s="362"/>
      <c r="X12" s="132"/>
    </row>
    <row r="13" spans="1:24" ht="15" customHeight="1">
      <c r="A13" s="211">
        <v>44795</v>
      </c>
      <c r="B13" s="212" t="s">
        <v>106</v>
      </c>
      <c r="C13" s="213" t="s">
        <v>79</v>
      </c>
      <c r="D13" s="214" t="s">
        <v>63</v>
      </c>
      <c r="E13" s="215">
        <v>9.15</v>
      </c>
      <c r="F13" s="215">
        <v>0.44</v>
      </c>
      <c r="G13" s="215">
        <f>E13-F13</f>
        <v>8.7100000000000009</v>
      </c>
      <c r="H13" s="204"/>
      <c r="I13" s="203"/>
      <c r="J13" s="203"/>
      <c r="K13" s="203"/>
      <c r="L13" s="276"/>
      <c r="M13" s="203"/>
      <c r="N13" s="203"/>
      <c r="O13" s="381"/>
      <c r="P13" s="206"/>
      <c r="Q13" s="382"/>
      <c r="R13" s="206"/>
      <c r="S13" s="207"/>
      <c r="T13" s="208"/>
      <c r="U13" s="203"/>
      <c r="V13" s="209"/>
      <c r="W13" s="362"/>
      <c r="X13" s="132"/>
    </row>
    <row r="14" spans="1:24" s="48" customFormat="1" ht="15" customHeight="1">
      <c r="A14" s="216"/>
      <c r="B14" s="217"/>
      <c r="C14" s="218"/>
      <c r="D14" s="219"/>
      <c r="E14" s="217"/>
      <c r="F14" s="220"/>
      <c r="G14" s="220"/>
      <c r="H14" s="221"/>
      <c r="I14" s="220"/>
      <c r="J14" s="220"/>
      <c r="K14" s="220"/>
      <c r="L14" s="277"/>
      <c r="M14" s="220"/>
      <c r="N14" s="220"/>
      <c r="O14" s="383"/>
      <c r="P14" s="224"/>
      <c r="Q14" s="384"/>
      <c r="R14" s="224"/>
      <c r="S14" s="225"/>
      <c r="T14" s="223"/>
      <c r="U14" s="220"/>
      <c r="V14" s="196"/>
      <c r="W14" s="226"/>
      <c r="X14" s="185"/>
    </row>
    <row r="15" spans="1:24" ht="15" customHeight="1">
      <c r="A15" s="278">
        <v>43953</v>
      </c>
      <c r="B15" s="279" t="s">
        <v>43</v>
      </c>
      <c r="C15" s="280" t="s">
        <v>84</v>
      </c>
      <c r="D15" s="281" t="s">
        <v>40</v>
      </c>
      <c r="E15" s="282">
        <v>9.15</v>
      </c>
      <c r="F15" s="282">
        <v>0.28000000000000003</v>
      </c>
      <c r="G15" s="283">
        <v>8.870000000000001</v>
      </c>
      <c r="H15" s="284"/>
      <c r="I15" s="285"/>
      <c r="J15" s="286">
        <v>4.9400000000000004</v>
      </c>
      <c r="K15" s="287">
        <v>0.42302672167455863</v>
      </c>
      <c r="L15" s="288">
        <v>3.9300000000000006</v>
      </c>
      <c r="M15" s="286"/>
      <c r="N15" s="289"/>
      <c r="O15" s="287"/>
      <c r="P15" s="286">
        <v>2.0897520050723197</v>
      </c>
      <c r="Q15" s="287"/>
      <c r="R15" s="286"/>
      <c r="S15" s="380"/>
      <c r="T15" s="291"/>
      <c r="U15" s="291"/>
      <c r="V15" s="292"/>
      <c r="W15" s="293"/>
      <c r="X15" s="132"/>
    </row>
    <row r="16" spans="1:24" ht="15" customHeight="1">
      <c r="A16" s="278">
        <v>44064</v>
      </c>
      <c r="B16" s="279" t="s">
        <v>72</v>
      </c>
      <c r="C16" s="280" t="s">
        <v>84</v>
      </c>
      <c r="D16" s="281" t="s">
        <v>40</v>
      </c>
      <c r="E16" s="282">
        <v>10.65</v>
      </c>
      <c r="F16" s="282">
        <v>4.66</v>
      </c>
      <c r="G16" s="283">
        <v>5.99</v>
      </c>
      <c r="H16" s="284">
        <v>1.5</v>
      </c>
      <c r="I16" s="285"/>
      <c r="J16" s="286">
        <v>2.13</v>
      </c>
      <c r="K16" s="286">
        <v>0.5701345755693582</v>
      </c>
      <c r="L16" s="288"/>
      <c r="M16" s="286"/>
      <c r="N16" s="289"/>
      <c r="O16" s="287">
        <v>-0.8753653591095869</v>
      </c>
      <c r="P16" s="286"/>
      <c r="Q16" s="287">
        <v>1.2143866459627328</v>
      </c>
      <c r="R16" s="286"/>
      <c r="S16" s="380">
        <v>0</v>
      </c>
      <c r="T16" s="291"/>
      <c r="U16" s="291"/>
      <c r="V16" s="292"/>
      <c r="W16" s="293"/>
      <c r="X16" s="132"/>
    </row>
    <row r="17" spans="1:24" ht="15" customHeight="1">
      <c r="A17" s="278">
        <v>44313</v>
      </c>
      <c r="B17" s="279"/>
      <c r="C17" s="280"/>
      <c r="D17" s="281"/>
      <c r="E17" s="282" t="s">
        <v>80</v>
      </c>
      <c r="F17" s="282"/>
      <c r="G17" s="283"/>
      <c r="H17" s="284"/>
      <c r="I17" s="285"/>
      <c r="J17" s="286"/>
      <c r="K17" s="287"/>
      <c r="L17" s="288"/>
      <c r="M17" s="286"/>
      <c r="N17" s="289"/>
      <c r="O17" s="287"/>
      <c r="P17" s="286"/>
      <c r="Q17" s="287"/>
      <c r="R17" s="286"/>
      <c r="S17" s="380"/>
      <c r="T17" s="291"/>
      <c r="U17" s="291"/>
      <c r="V17" s="292"/>
      <c r="W17" s="293"/>
      <c r="X17" s="132"/>
    </row>
    <row r="18" spans="1:24" ht="15" customHeight="1">
      <c r="A18" s="278">
        <v>44430</v>
      </c>
      <c r="B18" s="279" t="s">
        <v>105</v>
      </c>
      <c r="C18" s="280" t="s">
        <v>84</v>
      </c>
      <c r="D18" s="281" t="s">
        <v>74</v>
      </c>
      <c r="E18" s="282">
        <v>9.15</v>
      </c>
      <c r="F18" s="282">
        <v>1.41</v>
      </c>
      <c r="G18" s="283">
        <f>E18-F18</f>
        <v>7.74</v>
      </c>
      <c r="H18" s="284"/>
      <c r="I18" s="285">
        <v>4.3</v>
      </c>
      <c r="J18" s="286">
        <v>0.42</v>
      </c>
      <c r="K18" s="287">
        <v>0.46</v>
      </c>
      <c r="L18" s="288"/>
      <c r="M18" s="286"/>
      <c r="N18" s="289"/>
      <c r="O18" s="287"/>
      <c r="P18" s="286"/>
      <c r="Q18" s="287"/>
      <c r="R18" s="286"/>
      <c r="S18" s="380">
        <f>J18*K18</f>
        <v>0.19320000000000001</v>
      </c>
      <c r="T18" s="291"/>
      <c r="U18" s="291"/>
      <c r="V18" s="292"/>
      <c r="W18" s="293"/>
      <c r="X18" s="132"/>
    </row>
    <row r="19" spans="1:24" ht="15" customHeight="1">
      <c r="A19" s="278">
        <v>44430</v>
      </c>
      <c r="B19" s="279" t="s">
        <v>105</v>
      </c>
      <c r="C19" s="280" t="s">
        <v>84</v>
      </c>
      <c r="D19" s="281" t="s">
        <v>104</v>
      </c>
      <c r="E19" s="282">
        <v>9.15</v>
      </c>
      <c r="F19" s="282">
        <f>E19-G19</f>
        <v>1.83</v>
      </c>
      <c r="G19" s="283">
        <v>7.32</v>
      </c>
      <c r="H19" s="284"/>
      <c r="I19" s="285"/>
      <c r="J19" s="286">
        <v>0.99</v>
      </c>
      <c r="K19" s="287">
        <v>0.55000000000000004</v>
      </c>
      <c r="L19" s="288"/>
      <c r="M19" s="286"/>
      <c r="N19" s="289"/>
      <c r="O19" s="287"/>
      <c r="P19" s="286"/>
      <c r="Q19" s="287">
        <f>J19*K19</f>
        <v>0.54449999999999998</v>
      </c>
      <c r="R19" s="286"/>
      <c r="S19" s="380"/>
      <c r="T19" s="291"/>
      <c r="U19" s="291"/>
      <c r="V19" s="292"/>
      <c r="W19" s="293"/>
      <c r="X19" s="132"/>
    </row>
    <row r="20" spans="1:24" ht="15" customHeight="1">
      <c r="A20" s="278">
        <v>44670</v>
      </c>
      <c r="B20" s="279" t="s">
        <v>106</v>
      </c>
      <c r="C20" s="280" t="s">
        <v>84</v>
      </c>
      <c r="D20" s="281" t="s">
        <v>167</v>
      </c>
      <c r="E20" s="282">
        <v>11.25</v>
      </c>
      <c r="F20" s="282">
        <v>0.3</v>
      </c>
      <c r="G20" s="283">
        <f>E20-F20</f>
        <v>10.95</v>
      </c>
      <c r="H20" s="284"/>
      <c r="I20" s="285">
        <v>4</v>
      </c>
      <c r="J20" s="286">
        <v>4</v>
      </c>
      <c r="K20" s="287">
        <v>0.39</v>
      </c>
      <c r="L20" s="288">
        <f>G20-J20</f>
        <v>6.9499999999999993</v>
      </c>
      <c r="M20" s="286"/>
      <c r="N20" s="289"/>
      <c r="O20" s="287"/>
      <c r="P20" s="286">
        <f>J20*K20</f>
        <v>1.56</v>
      </c>
      <c r="Q20" s="287"/>
      <c r="R20" s="286">
        <f>(L20-G19)*K19</f>
        <v>-0.20350000000000057</v>
      </c>
      <c r="S20" s="380"/>
      <c r="T20" s="291"/>
      <c r="U20" s="291"/>
      <c r="V20" s="292"/>
      <c r="W20" s="293"/>
      <c r="X20" s="132"/>
    </row>
    <row r="21" spans="1:24" ht="15" customHeight="1">
      <c r="A21" s="278">
        <v>44795</v>
      </c>
      <c r="B21" s="279" t="s">
        <v>106</v>
      </c>
      <c r="C21" s="280" t="s">
        <v>84</v>
      </c>
      <c r="D21" s="281" t="s">
        <v>63</v>
      </c>
      <c r="E21" s="282">
        <v>11.25</v>
      </c>
      <c r="F21" s="282">
        <f>E21-G21</f>
        <v>3.0299999999999994</v>
      </c>
      <c r="G21" s="283">
        <v>8.2200000000000006</v>
      </c>
      <c r="H21" s="284"/>
      <c r="I21" s="285"/>
      <c r="J21" s="286"/>
      <c r="K21" s="287"/>
      <c r="L21" s="288"/>
      <c r="M21" s="286"/>
      <c r="N21" s="289"/>
      <c r="O21" s="287"/>
      <c r="P21" s="286"/>
      <c r="Q21" s="287"/>
      <c r="R21" s="286"/>
      <c r="S21" s="380"/>
      <c r="T21" s="291"/>
      <c r="U21" s="291"/>
      <c r="V21" s="292"/>
      <c r="W21" s="293"/>
      <c r="X21" s="132"/>
    </row>
    <row r="22" spans="1:24" ht="15" customHeight="1">
      <c r="A22" s="278">
        <v>44795</v>
      </c>
      <c r="B22" s="279" t="s">
        <v>106</v>
      </c>
      <c r="C22" s="280" t="s">
        <v>84</v>
      </c>
      <c r="D22" s="281" t="s">
        <v>63</v>
      </c>
      <c r="E22" s="282">
        <v>9.15</v>
      </c>
      <c r="F22" s="282">
        <v>0.93</v>
      </c>
      <c r="G22" s="283">
        <f>E22-F22</f>
        <v>8.2200000000000006</v>
      </c>
      <c r="H22" s="284"/>
      <c r="I22" s="285"/>
      <c r="J22" s="286"/>
      <c r="K22" s="287"/>
      <c r="L22" s="288"/>
      <c r="M22" s="286"/>
      <c r="N22" s="289"/>
      <c r="O22" s="287"/>
      <c r="P22" s="286"/>
      <c r="Q22" s="287"/>
      <c r="R22" s="286"/>
      <c r="S22" s="380"/>
      <c r="T22" s="291"/>
      <c r="U22" s="291"/>
      <c r="V22" s="292"/>
      <c r="W22" s="293"/>
      <c r="X22" s="132"/>
    </row>
    <row r="23" spans="1:24" s="48" customFormat="1" ht="15" customHeight="1">
      <c r="A23" s="752"/>
      <c r="B23" s="191"/>
      <c r="C23" s="753"/>
      <c r="D23" s="754"/>
      <c r="E23" s="190"/>
      <c r="F23" s="190"/>
      <c r="G23" s="755"/>
      <c r="H23" s="756"/>
      <c r="I23" s="191"/>
      <c r="J23" s="190"/>
      <c r="K23" s="757"/>
      <c r="L23" s="758"/>
      <c r="M23" s="190"/>
      <c r="N23" s="759"/>
      <c r="O23" s="757"/>
      <c r="P23" s="190"/>
      <c r="Q23" s="757"/>
      <c r="R23" s="190"/>
      <c r="S23" s="755"/>
      <c r="T23" s="195"/>
      <c r="U23" s="195"/>
      <c r="V23" s="196"/>
      <c r="W23" s="197"/>
      <c r="X23" s="185"/>
    </row>
    <row r="24" spans="1:24" s="777" customFormat="1" ht="15" customHeight="1">
      <c r="A24" s="760">
        <v>44670</v>
      </c>
      <c r="B24" s="761" t="s">
        <v>106</v>
      </c>
      <c r="C24" s="762" t="s">
        <v>173</v>
      </c>
      <c r="D24" s="763" t="s">
        <v>167</v>
      </c>
      <c r="E24" s="764">
        <v>9.15</v>
      </c>
      <c r="F24" s="764">
        <v>0.12</v>
      </c>
      <c r="G24" s="765">
        <f>E24-F24</f>
        <v>9.0300000000000011</v>
      </c>
      <c r="H24" s="766"/>
      <c r="I24" s="767"/>
      <c r="J24" s="768">
        <v>4</v>
      </c>
      <c r="K24" s="769">
        <v>0.39</v>
      </c>
      <c r="L24" s="770">
        <f>G24-J24</f>
        <v>5.0300000000000011</v>
      </c>
      <c r="M24" s="768"/>
      <c r="N24" s="771"/>
      <c r="O24" s="769"/>
      <c r="P24" s="768">
        <f>J24*K24</f>
        <v>1.56</v>
      </c>
      <c r="Q24" s="769"/>
      <c r="R24" s="768"/>
      <c r="S24" s="772"/>
      <c r="T24" s="773"/>
      <c r="U24" s="773"/>
      <c r="V24" s="774"/>
      <c r="W24" s="775"/>
      <c r="X24" s="776"/>
    </row>
    <row r="25" spans="1:24" s="777" customFormat="1" ht="15" customHeight="1">
      <c r="A25" s="760">
        <v>44795</v>
      </c>
      <c r="B25" s="761" t="s">
        <v>180</v>
      </c>
      <c r="C25" s="762" t="s">
        <v>173</v>
      </c>
      <c r="D25" s="763" t="s">
        <v>63</v>
      </c>
      <c r="E25" s="764">
        <v>9.15</v>
      </c>
      <c r="F25" s="764">
        <f>E25-G25</f>
        <v>2.7200000000000006</v>
      </c>
      <c r="G25" s="765">
        <v>6.43</v>
      </c>
      <c r="H25" s="766"/>
      <c r="I25" s="767"/>
      <c r="J25" s="768">
        <v>0.56000000000000005</v>
      </c>
      <c r="K25" s="769">
        <v>0.5</v>
      </c>
      <c r="L25" s="770"/>
      <c r="M25" s="768"/>
      <c r="N25" s="771"/>
      <c r="O25" s="769"/>
      <c r="P25" s="768"/>
      <c r="Q25" s="769"/>
      <c r="R25" s="768"/>
      <c r="S25" s="772">
        <f>J25*K25</f>
        <v>0.28000000000000003</v>
      </c>
      <c r="T25" s="773"/>
      <c r="U25" s="773"/>
      <c r="V25" s="774"/>
      <c r="W25" s="775"/>
      <c r="X25" s="776"/>
    </row>
    <row r="26" spans="1:24" s="962" customFormat="1" ht="15" customHeight="1">
      <c r="A26" s="953">
        <v>44795</v>
      </c>
      <c r="B26" s="954" t="s">
        <v>180</v>
      </c>
      <c r="C26" s="955" t="s">
        <v>173</v>
      </c>
      <c r="D26" s="956" t="s">
        <v>70</v>
      </c>
      <c r="E26" s="954">
        <v>9.15</v>
      </c>
      <c r="F26" s="960">
        <f>E26-G26</f>
        <v>3.2800000000000011</v>
      </c>
      <c r="G26" s="961">
        <f>G25-J25</f>
        <v>5.8699999999999992</v>
      </c>
      <c r="H26" s="958"/>
      <c r="I26" s="954"/>
      <c r="J26" s="954">
        <v>0.87</v>
      </c>
      <c r="K26" s="959">
        <v>0.72</v>
      </c>
      <c r="L26" s="1055">
        <f>G26-J26</f>
        <v>4.9999999999999991</v>
      </c>
      <c r="M26" s="954"/>
      <c r="N26" s="957"/>
      <c r="O26" s="959">
        <f>Q26-P24</f>
        <v>-0.9336000000000001</v>
      </c>
      <c r="P26" s="960"/>
      <c r="Q26" s="959">
        <f>J26*K26</f>
        <v>0.62639999999999996</v>
      </c>
      <c r="R26" s="960"/>
      <c r="S26" s="961"/>
      <c r="T26" s="954"/>
      <c r="U26" s="954"/>
      <c r="V26" s="957"/>
      <c r="W26" s="955"/>
      <c r="X26" s="954"/>
    </row>
    <row r="27" spans="1:24" s="777" customFormat="1" ht="15" customHeight="1">
      <c r="A27" s="953">
        <v>45161</v>
      </c>
      <c r="B27" s="954" t="s">
        <v>214</v>
      </c>
      <c r="C27" s="955" t="s">
        <v>173</v>
      </c>
      <c r="D27" s="956" t="s">
        <v>77</v>
      </c>
      <c r="E27" s="954">
        <v>10.5</v>
      </c>
      <c r="F27" s="954">
        <f>1.35+0.56</f>
        <v>1.9100000000000001</v>
      </c>
      <c r="G27" s="957">
        <f>E27-F27</f>
        <v>8.59</v>
      </c>
      <c r="H27" s="1054">
        <f>G27-G26</f>
        <v>2.7200000000000006</v>
      </c>
      <c r="I27" s="776"/>
      <c r="J27" s="954">
        <v>2.0699999999999998</v>
      </c>
      <c r="K27" s="778"/>
      <c r="L27" s="956">
        <f>G27-J27</f>
        <v>6.52</v>
      </c>
      <c r="M27" s="776"/>
      <c r="N27" s="780"/>
      <c r="O27" s="782"/>
      <c r="P27" s="783"/>
      <c r="Q27" s="782"/>
      <c r="R27" s="783"/>
      <c r="S27" s="784"/>
      <c r="T27" s="776"/>
      <c r="U27" s="776"/>
      <c r="V27" s="780"/>
      <c r="W27" s="778"/>
      <c r="X27" s="776"/>
    </row>
    <row r="28" spans="1:24" s="962" customFormat="1" ht="15" customHeight="1">
      <c r="A28" s="953">
        <v>45161</v>
      </c>
      <c r="B28" s="954" t="s">
        <v>214</v>
      </c>
      <c r="C28" s="955" t="s">
        <v>173</v>
      </c>
      <c r="D28" s="956" t="s">
        <v>77</v>
      </c>
      <c r="E28" s="954">
        <v>12.2</v>
      </c>
      <c r="F28" s="954">
        <f>E28-G28</f>
        <v>3.6099999999999994</v>
      </c>
      <c r="G28" s="957">
        <f>G27</f>
        <v>8.59</v>
      </c>
      <c r="H28" s="958"/>
      <c r="I28" s="954"/>
      <c r="J28" s="954"/>
      <c r="K28" s="955">
        <v>0.56999999999999995</v>
      </c>
      <c r="L28" s="956"/>
      <c r="M28" s="954"/>
      <c r="N28" s="957"/>
      <c r="O28" s="959"/>
      <c r="P28" s="960"/>
      <c r="Q28" s="959">
        <f>J27*K28</f>
        <v>1.1798999999999997</v>
      </c>
      <c r="R28" s="960">
        <v>0</v>
      </c>
      <c r="S28" s="961">
        <v>0</v>
      </c>
      <c r="T28" s="954"/>
      <c r="U28" s="954"/>
      <c r="V28" s="957"/>
      <c r="W28" s="954"/>
      <c r="X28" s="954"/>
    </row>
    <row r="29" spans="1:24" s="777" customFormat="1" ht="15" customHeight="1">
      <c r="A29" s="776"/>
      <c r="B29" s="776"/>
      <c r="C29" s="778"/>
      <c r="D29" s="779"/>
      <c r="E29" s="954"/>
      <c r="F29" s="954"/>
      <c r="G29" s="957"/>
      <c r="H29" s="781"/>
      <c r="I29" s="776"/>
      <c r="J29" s="776"/>
      <c r="K29" s="778"/>
      <c r="L29" s="779"/>
      <c r="M29" s="776"/>
      <c r="N29" s="780"/>
      <c r="O29" s="782"/>
      <c r="P29" s="783"/>
      <c r="Q29" s="782"/>
      <c r="R29" s="783"/>
      <c r="S29" s="784"/>
      <c r="T29" s="776"/>
      <c r="U29" s="776"/>
      <c r="V29" s="780"/>
      <c r="W29" s="776"/>
      <c r="X29" s="776"/>
    </row>
    <row r="30" spans="1:24" ht="15" customHeight="1">
      <c r="A30" s="132"/>
      <c r="B30" s="132"/>
      <c r="C30" s="227"/>
      <c r="D30" s="294"/>
      <c r="E30" s="1053"/>
      <c r="F30" s="1053"/>
      <c r="G30" s="305"/>
      <c r="H30" s="229"/>
      <c r="I30" s="132"/>
      <c r="J30" s="132"/>
      <c r="K30" s="227"/>
      <c r="L30" s="294"/>
      <c r="M30" s="132"/>
      <c r="N30" s="228"/>
      <c r="O30" s="227"/>
      <c r="P30" s="132"/>
      <c r="Q30" s="227"/>
      <c r="R30" s="132"/>
      <c r="S30" s="228"/>
      <c r="T30" s="132"/>
      <c r="U30" s="132"/>
      <c r="V30" s="228"/>
      <c r="W30" s="132"/>
      <c r="X30" s="132"/>
    </row>
    <row r="32" spans="1:24" ht="15" customHeight="1">
      <c r="A32" s="132"/>
      <c r="B32" s="132"/>
      <c r="C32" s="132"/>
      <c r="D32" s="132"/>
      <c r="E32" s="132"/>
      <c r="F32" s="132"/>
      <c r="G32" s="132"/>
      <c r="H32" s="132"/>
      <c r="I32" s="132"/>
      <c r="J32" s="132"/>
      <c r="K32" s="132"/>
      <c r="L32" s="132"/>
      <c r="M32" s="132"/>
      <c r="N32" s="132"/>
      <c r="O32" s="132"/>
      <c r="P32" s="132"/>
      <c r="Q32" s="132"/>
      <c r="R32" s="132"/>
      <c r="S32" s="132"/>
      <c r="T32" s="132"/>
      <c r="U32" s="132"/>
      <c r="V32" s="132"/>
      <c r="W32" s="132"/>
      <c r="X32" s="132"/>
    </row>
    <row r="33" spans="1:24" ht="15.75" customHeight="1" thickBot="1">
      <c r="A33" s="231"/>
      <c r="B33" s="231"/>
      <c r="C33" s="231"/>
      <c r="D33" s="231"/>
      <c r="E33" s="232"/>
      <c r="F33" s="232"/>
      <c r="G33" s="231"/>
      <c r="H33" s="231"/>
      <c r="I33" s="231"/>
      <c r="J33" s="231"/>
      <c r="K33" s="231"/>
      <c r="L33" s="231"/>
      <c r="M33" s="231"/>
      <c r="N33" s="231"/>
      <c r="O33" s="231"/>
      <c r="P33" s="231"/>
      <c r="Q33" s="231"/>
      <c r="R33" s="233"/>
      <c r="S33" s="233"/>
      <c r="T33" s="233"/>
      <c r="U33" s="233"/>
      <c r="V33" s="132"/>
      <c r="W33" s="132"/>
      <c r="X33" s="132"/>
    </row>
    <row r="34" spans="1:24" ht="15.75" customHeight="1">
      <c r="A34" s="1109" t="s">
        <v>46</v>
      </c>
      <c r="B34" s="1110"/>
      <c r="C34" s="1113" t="s">
        <v>47</v>
      </c>
      <c r="D34" s="1114"/>
      <c r="E34" s="234" t="s">
        <v>48</v>
      </c>
      <c r="F34" s="235"/>
      <c r="G34" s="234" t="s">
        <v>49</v>
      </c>
      <c r="H34" s="235"/>
      <c r="I34" s="236" t="s">
        <v>50</v>
      </c>
      <c r="J34" s="132"/>
      <c r="K34" s="132"/>
      <c r="L34" s="132"/>
      <c r="M34" s="132"/>
      <c r="N34" s="132"/>
      <c r="O34" s="132"/>
      <c r="P34" s="132"/>
      <c r="Q34" s="185"/>
      <c r="R34" s="195"/>
      <c r="S34" s="195"/>
      <c r="T34" s="195"/>
      <c r="U34" s="233"/>
      <c r="V34" s="132"/>
      <c r="W34" s="132"/>
      <c r="X34" s="132"/>
    </row>
    <row r="35" spans="1:24" ht="15.75" customHeight="1">
      <c r="A35" s="1111"/>
      <c r="B35" s="1112"/>
      <c r="C35" s="237" t="s">
        <v>51</v>
      </c>
      <c r="D35" s="237" t="s">
        <v>52</v>
      </c>
      <c r="E35" s="238">
        <f>A22</f>
        <v>44795</v>
      </c>
      <c r="F35" s="239" t="s">
        <v>53</v>
      </c>
      <c r="G35" s="240" t="s">
        <v>177</v>
      </c>
      <c r="H35" s="239" t="s">
        <v>53</v>
      </c>
      <c r="I35" s="241">
        <f>A28</f>
        <v>45161</v>
      </c>
      <c r="J35" s="132"/>
      <c r="K35" s="132"/>
      <c r="L35" s="132"/>
      <c r="M35" s="132"/>
      <c r="N35" s="132"/>
      <c r="O35" s="132"/>
      <c r="P35" s="132"/>
      <c r="Q35" s="185"/>
      <c r="R35" s="195"/>
      <c r="S35" s="195"/>
      <c r="T35" s="195"/>
      <c r="U35" s="233"/>
      <c r="V35" s="132"/>
      <c r="W35" s="132"/>
      <c r="X35" s="132"/>
    </row>
    <row r="36" spans="1:24" ht="15.75" customHeight="1">
      <c r="A36" s="242"/>
      <c r="B36" s="243" t="s">
        <v>54</v>
      </c>
      <c r="C36" s="244" t="s">
        <v>177</v>
      </c>
      <c r="D36" s="244"/>
      <c r="E36" s="245"/>
      <c r="F36" s="245"/>
      <c r="G36" s="246"/>
      <c r="H36" s="244"/>
      <c r="I36" s="247"/>
      <c r="J36" s="132"/>
      <c r="K36" s="132"/>
      <c r="L36" s="132"/>
      <c r="M36" s="132"/>
      <c r="N36" s="132"/>
      <c r="O36" s="132"/>
      <c r="P36" s="132"/>
      <c r="Q36" s="185"/>
      <c r="R36" s="195"/>
      <c r="S36" s="195"/>
      <c r="T36" s="195"/>
      <c r="U36" s="233"/>
      <c r="V36" s="132"/>
      <c r="W36" s="132"/>
      <c r="X36" s="132"/>
    </row>
    <row r="37" spans="1:24" ht="15.75" customHeight="1">
      <c r="A37" s="242"/>
      <c r="B37" s="243" t="s">
        <v>55</v>
      </c>
      <c r="C37" s="244" t="s">
        <v>177</v>
      </c>
      <c r="D37" s="244"/>
      <c r="E37" s="245"/>
      <c r="F37" s="245"/>
      <c r="G37" s="246"/>
      <c r="H37" s="244"/>
      <c r="I37" s="247"/>
      <c r="J37" s="132"/>
      <c r="K37" s="132"/>
      <c r="L37" s="132"/>
      <c r="M37" s="132"/>
      <c r="N37" s="132"/>
      <c r="O37" s="132"/>
      <c r="P37" s="132"/>
      <c r="Q37" s="185"/>
      <c r="R37" s="195"/>
      <c r="S37" s="195"/>
      <c r="T37" s="195"/>
      <c r="U37" s="233"/>
      <c r="V37" s="132"/>
      <c r="W37" s="132"/>
      <c r="X37" s="132"/>
    </row>
    <row r="38" spans="1:24" ht="15.75" customHeight="1">
      <c r="A38" s="242"/>
      <c r="B38" s="243" t="s">
        <v>56</v>
      </c>
      <c r="C38" s="244">
        <f>Q28</f>
        <v>1.1798999999999997</v>
      </c>
      <c r="D38" s="244"/>
      <c r="E38" s="245"/>
      <c r="F38" s="245"/>
      <c r="G38" s="246"/>
      <c r="H38" s="244"/>
      <c r="I38" s="247"/>
      <c r="J38" s="132"/>
      <c r="K38" s="132"/>
      <c r="L38" s="132"/>
      <c r="M38" s="132"/>
      <c r="N38" s="132"/>
      <c r="O38" s="132"/>
      <c r="P38" s="132"/>
      <c r="Q38" s="185"/>
      <c r="R38" s="195"/>
      <c r="S38" s="195"/>
      <c r="T38" s="195"/>
      <c r="U38" s="233"/>
      <c r="V38" s="132"/>
      <c r="W38" s="132"/>
      <c r="X38" s="132"/>
    </row>
    <row r="39" spans="1:24" ht="15.75" customHeight="1">
      <c r="A39" s="242"/>
      <c r="B39" s="118" t="s">
        <v>57</v>
      </c>
      <c r="C39" s="244">
        <v>0.28000000000000003</v>
      </c>
      <c r="D39" s="244"/>
      <c r="E39" s="245"/>
      <c r="F39" s="245"/>
      <c r="G39" s="244"/>
      <c r="H39" s="244"/>
      <c r="I39" s="247"/>
      <c r="J39" s="132"/>
      <c r="K39" s="132"/>
      <c r="L39" s="132"/>
      <c r="M39" s="132"/>
      <c r="N39" s="132"/>
      <c r="O39" s="132"/>
      <c r="P39" s="132"/>
      <c r="Q39" s="185"/>
      <c r="R39" s="195"/>
      <c r="S39" s="195"/>
      <c r="T39" s="195"/>
      <c r="U39" s="233"/>
      <c r="V39" s="132"/>
      <c r="W39" s="132"/>
      <c r="X39" s="132"/>
    </row>
    <row r="40" spans="1:24" ht="15.75" customHeight="1">
      <c r="A40" s="242"/>
      <c r="B40" s="118" t="s">
        <v>58</v>
      </c>
      <c r="C40" s="244">
        <v>0</v>
      </c>
      <c r="D40" s="244"/>
      <c r="E40" s="245"/>
      <c r="F40" s="245"/>
      <c r="G40" s="244"/>
      <c r="H40" s="244"/>
      <c r="I40" s="247"/>
      <c r="J40" s="132"/>
      <c r="K40" s="132"/>
      <c r="L40" s="132"/>
      <c r="M40" s="132"/>
      <c r="N40" s="132"/>
      <c r="O40" s="132"/>
      <c r="P40" s="132"/>
      <c r="Q40" s="185"/>
      <c r="R40" s="195"/>
      <c r="S40" s="195"/>
      <c r="T40" s="195"/>
      <c r="U40" s="233"/>
      <c r="V40" s="132"/>
      <c r="W40" s="132"/>
      <c r="X40" s="132"/>
    </row>
    <row r="41" spans="1:24" ht="15.75" customHeight="1" thickBot="1">
      <c r="A41" s="295"/>
      <c r="B41" s="119" t="s">
        <v>59</v>
      </c>
      <c r="C41" s="296">
        <v>0</v>
      </c>
      <c r="D41" s="296"/>
      <c r="E41" s="297"/>
      <c r="F41" s="297"/>
      <c r="G41" s="298"/>
      <c r="H41" s="298"/>
      <c r="I41" s="299"/>
      <c r="J41" s="132"/>
      <c r="K41" s="132"/>
      <c r="L41" s="132"/>
      <c r="M41" s="132"/>
      <c r="N41" s="132"/>
      <c r="O41" s="132"/>
      <c r="P41" s="132"/>
      <c r="Q41" s="185"/>
      <c r="R41" s="195"/>
      <c r="S41" s="195"/>
      <c r="T41" s="195"/>
      <c r="U41" s="233"/>
      <c r="V41" s="132"/>
      <c r="W41" s="132"/>
      <c r="X41" s="132"/>
    </row>
    <row r="42" spans="1:24" ht="15.75" customHeight="1">
      <c r="A42" s="233"/>
      <c r="B42" s="233"/>
      <c r="C42" s="233"/>
      <c r="D42" s="233"/>
      <c r="E42" s="233"/>
      <c r="F42" s="233"/>
      <c r="G42" s="233"/>
      <c r="H42" s="233"/>
      <c r="I42" s="233"/>
      <c r="J42" s="233"/>
      <c r="K42" s="233"/>
      <c r="L42" s="233"/>
      <c r="M42" s="233"/>
      <c r="N42" s="233"/>
      <c r="O42" s="233"/>
      <c r="P42" s="233"/>
      <c r="Q42" s="195"/>
      <c r="R42" s="195"/>
      <c r="S42" s="195"/>
      <c r="T42" s="195"/>
      <c r="U42" s="233"/>
      <c r="V42" s="132"/>
      <c r="W42" s="132"/>
      <c r="X42" s="132"/>
    </row>
    <row r="43" spans="1:24" ht="15.75" customHeight="1">
      <c r="A43" s="132"/>
      <c r="B43" s="132"/>
      <c r="C43" s="132"/>
      <c r="D43" s="132"/>
      <c r="E43" s="132"/>
      <c r="F43" s="132"/>
      <c r="G43" s="132"/>
      <c r="H43" s="132"/>
      <c r="I43" s="132"/>
      <c r="J43" s="132"/>
      <c r="K43" s="132"/>
      <c r="L43" s="132"/>
      <c r="M43" s="132"/>
      <c r="N43" s="132"/>
      <c r="O43" s="132"/>
      <c r="P43" s="132"/>
      <c r="Q43" s="132"/>
      <c r="R43" s="132"/>
      <c r="S43" s="132"/>
      <c r="T43" s="132"/>
      <c r="U43" s="132"/>
      <c r="V43" s="132"/>
      <c r="W43" s="132"/>
      <c r="X43" s="132"/>
    </row>
  </sheetData>
  <mergeCells count="6">
    <mergeCell ref="T1:V1"/>
    <mergeCell ref="T2:U2"/>
    <mergeCell ref="E3:G3"/>
    <mergeCell ref="T3:U3"/>
    <mergeCell ref="A34:B35"/>
    <mergeCell ref="C34:D34"/>
  </mergeCells>
  <pageMargins left="0.7" right="0.7" top="0.75" bottom="0.75" header="0.3" footer="0.3"/>
  <pageSetup orientation="portrait" verticalDpi="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57"/>
  <sheetViews>
    <sheetView topLeftCell="M1" zoomScale="110" zoomScaleNormal="110" workbookViewId="0">
      <selection activeCell="G59" sqref="G59"/>
    </sheetView>
  </sheetViews>
  <sheetFormatPr defaultColWidth="17.28515625" defaultRowHeight="15.75" customHeight="1"/>
  <cols>
    <col min="1" max="1" width="11.85546875" style="20" bestFit="1" customWidth="1"/>
    <col min="2" max="2" width="27.7109375" style="20" bestFit="1" customWidth="1"/>
    <col min="3" max="3" width="11.7109375" style="20" bestFit="1" customWidth="1"/>
    <col min="4" max="4" width="20.7109375" style="20" bestFit="1" customWidth="1"/>
    <col min="5" max="5" width="19.7109375" style="20" bestFit="1" customWidth="1"/>
    <col min="6" max="6" width="13.140625" style="20" bestFit="1" customWidth="1"/>
    <col min="7" max="7" width="12.85546875" style="20" bestFit="1" customWidth="1"/>
    <col min="8" max="8" width="13.7109375" style="20" bestFit="1" customWidth="1"/>
    <col min="9" max="9" width="16.42578125" style="20" bestFit="1" customWidth="1"/>
    <col min="10" max="10" width="18.85546875" style="20" bestFit="1" customWidth="1"/>
    <col min="11" max="11" width="12.28515625" style="20" bestFit="1" customWidth="1"/>
    <col min="12" max="12" width="16.85546875" style="20" bestFit="1" customWidth="1"/>
    <col min="13" max="13" width="22.28515625" style="20" bestFit="1" customWidth="1"/>
    <col min="14" max="14" width="10.85546875" style="20" bestFit="1" customWidth="1"/>
    <col min="15" max="16" width="7.140625" style="20" bestFit="1" customWidth="1"/>
    <col min="17" max="17" width="9.42578125" style="20" bestFit="1" customWidth="1"/>
    <col min="18" max="18" width="14.5703125" style="20" bestFit="1" customWidth="1"/>
    <col min="19" max="19" width="20.28515625" style="20" bestFit="1" customWidth="1"/>
    <col min="20" max="20" width="7.28515625" style="20" bestFit="1" customWidth="1"/>
    <col min="21" max="21" width="8.5703125" style="20" bestFit="1" customWidth="1"/>
    <col min="22" max="22" width="8.7109375" style="20" bestFit="1" customWidth="1"/>
    <col min="23" max="23" width="89.7109375" style="20" bestFit="1" customWidth="1"/>
    <col min="24" max="16384" width="17.28515625" style="20"/>
  </cols>
  <sheetData>
    <row r="1" spans="1:29" ht="15" customHeight="1">
      <c r="A1" s="248"/>
      <c r="B1" s="249"/>
      <c r="C1" s="250"/>
      <c r="D1" s="251"/>
      <c r="E1" s="252"/>
      <c r="F1" s="253"/>
      <c r="G1" s="254"/>
      <c r="H1" s="255"/>
      <c r="I1" s="254"/>
      <c r="J1" s="256"/>
      <c r="K1" s="253"/>
      <c r="L1" s="257"/>
      <c r="M1" s="258"/>
      <c r="N1" s="254"/>
      <c r="O1" s="259"/>
      <c r="P1" s="260"/>
      <c r="Q1" s="260"/>
      <c r="R1" s="260"/>
      <c r="S1" s="261"/>
      <c r="T1" s="1099" t="s">
        <v>11</v>
      </c>
      <c r="U1" s="1100"/>
      <c r="V1" s="1101"/>
      <c r="W1" s="262"/>
      <c r="X1" s="132"/>
      <c r="Y1" s="132"/>
      <c r="Z1" s="132"/>
      <c r="AA1" s="132"/>
      <c r="AB1" s="132"/>
      <c r="AC1" s="132"/>
    </row>
    <row r="2" spans="1:29" ht="15" customHeight="1">
      <c r="A2" s="120"/>
      <c r="B2" s="121"/>
      <c r="C2" s="122"/>
      <c r="D2" s="263"/>
      <c r="E2" s="367"/>
      <c r="F2" s="368"/>
      <c r="G2" s="264"/>
      <c r="H2" s="265"/>
      <c r="I2" s="264"/>
      <c r="J2" s="125"/>
      <c r="K2" s="231"/>
      <c r="L2" s="266"/>
      <c r="M2" s="267"/>
      <c r="N2" s="125"/>
      <c r="O2" s="230"/>
      <c r="P2" s="132"/>
      <c r="Q2" s="132"/>
      <c r="R2" s="132"/>
      <c r="S2" s="228"/>
      <c r="T2" s="1102" t="s">
        <v>12</v>
      </c>
      <c r="U2" s="1103"/>
      <c r="V2" s="369"/>
      <c r="W2" s="268"/>
      <c r="X2" s="132"/>
      <c r="Y2" s="132"/>
      <c r="Z2" s="132"/>
      <c r="AA2" s="132"/>
      <c r="AB2" s="132"/>
      <c r="AC2" s="132"/>
    </row>
    <row r="3" spans="1:29" ht="15" customHeight="1">
      <c r="A3" s="120"/>
      <c r="B3" s="121"/>
      <c r="C3" s="122"/>
      <c r="D3" s="123"/>
      <c r="E3" s="1104" t="s">
        <v>13</v>
      </c>
      <c r="F3" s="1105"/>
      <c r="G3" s="1106"/>
      <c r="H3" s="124"/>
      <c r="I3" s="368"/>
      <c r="J3" s="125"/>
      <c r="K3" s="368"/>
      <c r="L3" s="126"/>
      <c r="M3" s="127"/>
      <c r="N3" s="125"/>
      <c r="O3" s="128"/>
      <c r="P3" s="125"/>
      <c r="Q3" s="125"/>
      <c r="R3" s="129"/>
      <c r="S3" s="130"/>
      <c r="T3" s="1107" t="s">
        <v>14</v>
      </c>
      <c r="U3" s="1108"/>
      <c r="V3" s="369"/>
      <c r="W3" s="131"/>
      <c r="X3" s="132"/>
      <c r="Y3" s="132"/>
      <c r="Z3" s="132"/>
      <c r="AA3" s="132"/>
      <c r="AB3" s="132"/>
      <c r="AC3" s="132"/>
    </row>
    <row r="4" spans="1:29" s="74" customFormat="1" ht="42.75">
      <c r="A4" s="133" t="s">
        <v>15</v>
      </c>
      <c r="B4" s="134" t="s">
        <v>16</v>
      </c>
      <c r="C4" s="135" t="s">
        <v>17</v>
      </c>
      <c r="D4" s="136" t="s">
        <v>18</v>
      </c>
      <c r="E4" s="137" t="s">
        <v>19</v>
      </c>
      <c r="F4" s="134" t="s">
        <v>20</v>
      </c>
      <c r="G4" s="138" t="s">
        <v>21</v>
      </c>
      <c r="H4" s="139" t="s">
        <v>22</v>
      </c>
      <c r="I4" s="138" t="s">
        <v>23</v>
      </c>
      <c r="J4" s="138" t="s">
        <v>24</v>
      </c>
      <c r="K4" s="134" t="s">
        <v>25</v>
      </c>
      <c r="L4" s="140" t="s">
        <v>26</v>
      </c>
      <c r="M4" s="140" t="s">
        <v>27</v>
      </c>
      <c r="N4" s="138" t="s">
        <v>28</v>
      </c>
      <c r="O4" s="141" t="s">
        <v>66</v>
      </c>
      <c r="P4" s="138" t="s">
        <v>67</v>
      </c>
      <c r="Q4" s="138" t="s">
        <v>68</v>
      </c>
      <c r="R4" s="142" t="s">
        <v>3</v>
      </c>
      <c r="S4" s="143" t="s">
        <v>4</v>
      </c>
      <c r="T4" s="144" t="s">
        <v>32</v>
      </c>
      <c r="U4" s="144" t="s">
        <v>33</v>
      </c>
      <c r="V4" s="145" t="s">
        <v>0</v>
      </c>
      <c r="W4" s="135" t="s">
        <v>34</v>
      </c>
      <c r="X4" s="146"/>
      <c r="Y4" s="146"/>
      <c r="Z4" s="146"/>
      <c r="AA4" s="146"/>
      <c r="AB4" s="146"/>
      <c r="AC4" s="146"/>
    </row>
    <row r="5" spans="1:29" ht="15.75" customHeight="1" thickBot="1">
      <c r="A5" s="147" t="s">
        <v>35</v>
      </c>
      <c r="B5" s="148"/>
      <c r="C5" s="149"/>
      <c r="D5" s="150"/>
      <c r="E5" s="151" t="s">
        <v>36</v>
      </c>
      <c r="F5" s="151" t="s">
        <v>36</v>
      </c>
      <c r="G5" s="151" t="s">
        <v>36</v>
      </c>
      <c r="H5" s="271" t="s">
        <v>36</v>
      </c>
      <c r="I5" s="271" t="s">
        <v>36</v>
      </c>
      <c r="J5" s="151" t="s">
        <v>36</v>
      </c>
      <c r="K5" s="154" t="s">
        <v>37</v>
      </c>
      <c r="L5" s="155" t="s">
        <v>36</v>
      </c>
      <c r="M5" s="156" t="s">
        <v>36</v>
      </c>
      <c r="N5" s="156" t="s">
        <v>37</v>
      </c>
      <c r="O5" s="157" t="s">
        <v>38</v>
      </c>
      <c r="P5" s="158" t="s">
        <v>38</v>
      </c>
      <c r="Q5" s="158" t="s">
        <v>38</v>
      </c>
      <c r="R5" s="159" t="s">
        <v>38</v>
      </c>
      <c r="S5" s="160" t="s">
        <v>38</v>
      </c>
      <c r="T5" s="161" t="s">
        <v>36</v>
      </c>
      <c r="U5" s="161" t="s">
        <v>36</v>
      </c>
      <c r="V5" s="162" t="s">
        <v>36</v>
      </c>
      <c r="W5" s="163"/>
      <c r="X5" s="132"/>
      <c r="Y5" s="132"/>
      <c r="Z5" s="132"/>
      <c r="AA5" s="132"/>
      <c r="AB5" s="132"/>
      <c r="AC5" s="132"/>
    </row>
    <row r="6" spans="1:29" ht="15" customHeight="1">
      <c r="A6" s="274">
        <v>41747</v>
      </c>
      <c r="B6" s="164" t="s">
        <v>85</v>
      </c>
      <c r="C6" s="165" t="s">
        <v>86</v>
      </c>
      <c r="D6" s="166" t="s">
        <v>40</v>
      </c>
      <c r="E6" s="167">
        <v>9.15</v>
      </c>
      <c r="F6" s="168">
        <v>0.04</v>
      </c>
      <c r="G6" s="168">
        <v>9.1100000000000012</v>
      </c>
      <c r="H6" s="169"/>
      <c r="I6" s="168"/>
      <c r="J6" s="168">
        <v>3.65</v>
      </c>
      <c r="K6" s="168">
        <v>0</v>
      </c>
      <c r="L6" s="170">
        <v>9.1100000000000012</v>
      </c>
      <c r="M6" s="168">
        <v>9.1100000000000012</v>
      </c>
      <c r="N6" s="168"/>
      <c r="O6" s="171">
        <v>0</v>
      </c>
      <c r="P6" s="168">
        <v>0</v>
      </c>
      <c r="Q6" s="168"/>
      <c r="R6" s="168"/>
      <c r="S6" s="273"/>
      <c r="T6" s="171"/>
      <c r="U6" s="168"/>
      <c r="V6" s="172"/>
      <c r="W6" s="173"/>
      <c r="X6" s="132"/>
      <c r="Y6" s="132"/>
      <c r="Z6" s="132"/>
      <c r="AA6" s="132"/>
      <c r="AB6" s="132"/>
      <c r="AC6" s="132"/>
    </row>
    <row r="7" spans="1:29" ht="15" customHeight="1">
      <c r="A7" s="274">
        <v>41875</v>
      </c>
      <c r="B7" s="164" t="s">
        <v>75</v>
      </c>
      <c r="C7" s="165" t="s">
        <v>86</v>
      </c>
      <c r="D7" s="166" t="s">
        <v>77</v>
      </c>
      <c r="E7" s="167">
        <v>11.15</v>
      </c>
      <c r="F7" s="168">
        <v>4.4000000000000004</v>
      </c>
      <c r="G7" s="168">
        <v>6.75</v>
      </c>
      <c r="H7" s="169"/>
      <c r="I7" s="168"/>
      <c r="J7" s="168">
        <v>1.2899999999999991</v>
      </c>
      <c r="K7" s="168">
        <v>0.52</v>
      </c>
      <c r="L7" s="170"/>
      <c r="M7" s="168"/>
      <c r="N7" s="168"/>
      <c r="O7" s="171"/>
      <c r="P7" s="168"/>
      <c r="Q7" s="168"/>
      <c r="R7" s="168"/>
      <c r="S7" s="273"/>
      <c r="T7" s="171"/>
      <c r="U7" s="168"/>
      <c r="V7" s="172"/>
      <c r="W7" s="173"/>
      <c r="X7" s="132"/>
      <c r="Y7" s="132"/>
      <c r="Z7" s="132"/>
      <c r="AA7" s="132"/>
      <c r="AB7" s="132"/>
      <c r="AC7" s="132"/>
    </row>
    <row r="8" spans="1:29" ht="15" customHeight="1">
      <c r="A8" s="274">
        <v>42108</v>
      </c>
      <c r="B8" s="164" t="s">
        <v>87</v>
      </c>
      <c r="C8" s="165" t="s">
        <v>86</v>
      </c>
      <c r="D8" s="166" t="s">
        <v>40</v>
      </c>
      <c r="E8" s="167">
        <v>11.15</v>
      </c>
      <c r="F8" s="168">
        <v>1.44</v>
      </c>
      <c r="G8" s="168">
        <v>9.7100000000000009</v>
      </c>
      <c r="H8" s="169">
        <v>2.9600000000000009</v>
      </c>
      <c r="I8" s="168"/>
      <c r="J8" s="168">
        <v>3.01</v>
      </c>
      <c r="K8" s="168">
        <v>0.32</v>
      </c>
      <c r="L8" s="170"/>
      <c r="M8" s="168"/>
      <c r="N8" s="168"/>
      <c r="O8" s="171"/>
      <c r="P8" s="168"/>
      <c r="Q8" s="168"/>
      <c r="R8" s="168"/>
      <c r="S8" s="273"/>
      <c r="T8" s="171"/>
      <c r="U8" s="168"/>
      <c r="V8" s="172"/>
      <c r="W8" s="173"/>
      <c r="X8" s="132"/>
      <c r="Y8" s="132"/>
      <c r="Z8" s="132"/>
      <c r="AA8" s="132"/>
      <c r="AB8" s="132"/>
      <c r="AC8" s="132"/>
    </row>
    <row r="9" spans="1:29" ht="15" customHeight="1">
      <c r="A9" s="274">
        <v>42475</v>
      </c>
      <c r="B9" s="164" t="s">
        <v>88</v>
      </c>
      <c r="C9" s="165" t="s">
        <v>86</v>
      </c>
      <c r="D9" s="166" t="s">
        <v>40</v>
      </c>
      <c r="E9" s="167">
        <v>11.15</v>
      </c>
      <c r="F9" s="168">
        <v>2.09</v>
      </c>
      <c r="G9" s="168">
        <v>9.06</v>
      </c>
      <c r="H9" s="169"/>
      <c r="I9" s="168"/>
      <c r="J9" s="168">
        <v>3.53</v>
      </c>
      <c r="K9" s="168">
        <v>0.4</v>
      </c>
      <c r="L9" s="170"/>
      <c r="M9" s="168"/>
      <c r="N9" s="168"/>
      <c r="O9" s="171"/>
      <c r="P9" s="168"/>
      <c r="Q9" s="168"/>
      <c r="R9" s="168"/>
      <c r="S9" s="273"/>
      <c r="T9" s="171"/>
      <c r="U9" s="168"/>
      <c r="V9" s="172"/>
      <c r="W9" s="173"/>
      <c r="X9" s="132"/>
      <c r="Y9" s="132"/>
      <c r="Z9" s="132"/>
      <c r="AA9" s="132"/>
      <c r="AB9" s="132"/>
      <c r="AC9" s="132"/>
    </row>
    <row r="10" spans="1:29" ht="15" customHeight="1">
      <c r="A10" s="274">
        <v>42609</v>
      </c>
      <c r="B10" s="164" t="s">
        <v>69</v>
      </c>
      <c r="C10" s="165" t="s">
        <v>86</v>
      </c>
      <c r="D10" s="166" t="s">
        <v>41</v>
      </c>
      <c r="E10" s="167">
        <v>6.1</v>
      </c>
      <c r="F10" s="168">
        <v>1.42</v>
      </c>
      <c r="G10" s="168">
        <v>4.68</v>
      </c>
      <c r="H10" s="169">
        <v>-4.3800000000000008</v>
      </c>
      <c r="I10" s="168"/>
      <c r="J10" s="168"/>
      <c r="K10" s="168"/>
      <c r="L10" s="170"/>
      <c r="M10" s="168"/>
      <c r="N10" s="168"/>
      <c r="O10" s="171">
        <v>0</v>
      </c>
      <c r="P10" s="168">
        <v>0</v>
      </c>
      <c r="Q10" s="168"/>
      <c r="R10" s="168"/>
      <c r="S10" s="273"/>
      <c r="T10" s="171"/>
      <c r="U10" s="168"/>
      <c r="V10" s="172"/>
      <c r="W10" s="173"/>
      <c r="X10" s="132"/>
      <c r="Y10" s="132"/>
      <c r="Z10" s="132"/>
      <c r="AA10" s="132"/>
      <c r="AB10" s="132"/>
      <c r="AC10" s="132"/>
    </row>
    <row r="11" spans="1:29" ht="15" customHeight="1">
      <c r="A11" s="275">
        <v>42609</v>
      </c>
      <c r="B11" s="174" t="s">
        <v>69</v>
      </c>
      <c r="C11" s="175" t="s">
        <v>86</v>
      </c>
      <c r="D11" s="176" t="s">
        <v>41</v>
      </c>
      <c r="E11" s="300">
        <v>8.6</v>
      </c>
      <c r="F11" s="183">
        <v>3.7399999999999993</v>
      </c>
      <c r="G11" s="168">
        <v>4.8600000000000003</v>
      </c>
      <c r="H11" s="169"/>
      <c r="I11" s="183"/>
      <c r="J11" s="183"/>
      <c r="K11" s="183"/>
      <c r="L11" s="177"/>
      <c r="M11" s="178"/>
      <c r="N11" s="174"/>
      <c r="O11" s="301">
        <v>0</v>
      </c>
      <c r="P11" s="168">
        <v>0</v>
      </c>
      <c r="Q11" s="174"/>
      <c r="R11" s="178"/>
      <c r="S11" s="174"/>
      <c r="T11" s="180"/>
      <c r="U11" s="181"/>
      <c r="V11" s="172"/>
      <c r="W11" s="182"/>
      <c r="X11" s="132"/>
      <c r="Y11" s="132"/>
      <c r="Z11" s="132"/>
      <c r="AA11" s="132"/>
      <c r="AB11" s="132"/>
      <c r="AC11" s="132"/>
    </row>
    <row r="12" spans="1:29" ht="15" customHeight="1">
      <c r="A12" s="274">
        <v>42844</v>
      </c>
      <c r="B12" s="164" t="s">
        <v>62</v>
      </c>
      <c r="C12" s="165" t="s">
        <v>86</v>
      </c>
      <c r="D12" s="166" t="s">
        <v>40</v>
      </c>
      <c r="E12" s="167">
        <v>8.6</v>
      </c>
      <c r="F12" s="164">
        <v>2.3199999999999998</v>
      </c>
      <c r="G12" s="168">
        <v>6.2799999999999994</v>
      </c>
      <c r="H12" s="169"/>
      <c r="I12" s="183">
        <v>1.74</v>
      </c>
      <c r="J12" s="183">
        <v>1.72</v>
      </c>
      <c r="K12" s="183">
        <v>0.37522905214059638</v>
      </c>
      <c r="L12" s="177">
        <v>4.5399999999999991</v>
      </c>
      <c r="M12" s="178"/>
      <c r="N12" s="174"/>
      <c r="O12" s="301"/>
      <c r="P12" s="168"/>
      <c r="Q12" s="174"/>
      <c r="R12" s="178"/>
      <c r="S12" s="174"/>
      <c r="T12" s="180"/>
      <c r="U12" s="181"/>
      <c r="V12" s="172"/>
      <c r="W12" s="182"/>
      <c r="X12" s="132"/>
      <c r="Y12" s="132"/>
      <c r="Z12" s="132"/>
      <c r="AA12" s="132"/>
      <c r="AB12" s="132"/>
      <c r="AC12" s="132"/>
    </row>
    <row r="13" spans="1:29" ht="15" customHeight="1">
      <c r="A13" s="274">
        <v>42970</v>
      </c>
      <c r="B13" s="164" t="s">
        <v>62</v>
      </c>
      <c r="C13" s="165" t="s">
        <v>86</v>
      </c>
      <c r="D13" s="166"/>
      <c r="E13" s="167" t="s">
        <v>89</v>
      </c>
      <c r="F13" s="164"/>
      <c r="G13" s="168"/>
      <c r="H13" s="169"/>
      <c r="I13" s="183"/>
      <c r="J13" s="183"/>
      <c r="K13" s="183"/>
      <c r="L13" s="177"/>
      <c r="M13" s="178"/>
      <c r="N13" s="174"/>
      <c r="O13" s="301"/>
      <c r="P13" s="168"/>
      <c r="Q13" s="174"/>
      <c r="R13" s="178"/>
      <c r="S13" s="174"/>
      <c r="T13" s="180"/>
      <c r="U13" s="181"/>
      <c r="V13" s="172"/>
      <c r="W13" s="182"/>
      <c r="X13" s="132"/>
      <c r="Y13" s="132"/>
      <c r="Z13" s="132"/>
      <c r="AA13" s="132"/>
      <c r="AB13" s="132"/>
      <c r="AC13" s="132"/>
    </row>
    <row r="14" spans="1:29" ht="15.75" customHeight="1">
      <c r="A14" s="274">
        <v>43213</v>
      </c>
      <c r="B14" s="164" t="s">
        <v>39</v>
      </c>
      <c r="C14" s="165" t="s">
        <v>86</v>
      </c>
      <c r="D14" s="166" t="s">
        <v>40</v>
      </c>
      <c r="E14" s="167">
        <v>8.6</v>
      </c>
      <c r="F14" s="164">
        <v>1.8</v>
      </c>
      <c r="G14" s="168">
        <v>6.8</v>
      </c>
      <c r="H14" s="169"/>
      <c r="I14" s="183">
        <v>3.5</v>
      </c>
      <c r="J14" s="183">
        <v>3.5</v>
      </c>
      <c r="K14" s="183">
        <v>0.37067663170765092</v>
      </c>
      <c r="L14" s="177">
        <v>1.4654473403444594</v>
      </c>
      <c r="M14" s="178"/>
      <c r="N14" s="174"/>
      <c r="O14" s="301"/>
      <c r="P14" s="168">
        <v>1.2973682109767781</v>
      </c>
      <c r="Q14" s="174"/>
      <c r="R14" s="178"/>
      <c r="S14" s="174"/>
      <c r="T14" s="180"/>
      <c r="U14" s="181"/>
      <c r="V14" s="172"/>
      <c r="W14" s="182" t="s">
        <v>90</v>
      </c>
      <c r="X14" s="132"/>
      <c r="Y14" s="132"/>
      <c r="Z14" s="132"/>
      <c r="AA14" s="132"/>
      <c r="AB14" s="132"/>
      <c r="AC14" s="132"/>
    </row>
    <row r="15" spans="1:29" ht="15.75" customHeight="1">
      <c r="A15" s="274">
        <v>43344</v>
      </c>
      <c r="B15" s="164" t="s">
        <v>39</v>
      </c>
      <c r="C15" s="165" t="s">
        <v>86</v>
      </c>
      <c r="D15" s="166" t="s">
        <v>91</v>
      </c>
      <c r="E15" s="167">
        <v>6.1</v>
      </c>
      <c r="F15" s="164">
        <v>2.65</v>
      </c>
      <c r="G15" s="168">
        <v>3.4499999999999997</v>
      </c>
      <c r="H15" s="169"/>
      <c r="I15" s="183">
        <v>0.17</v>
      </c>
      <c r="J15" s="183">
        <v>0.17</v>
      </c>
      <c r="K15" s="183">
        <v>0.22256728778467907</v>
      </c>
      <c r="L15" s="177"/>
      <c r="M15" s="178"/>
      <c r="N15" s="174"/>
      <c r="O15" s="301"/>
      <c r="P15" s="168"/>
      <c r="Q15" s="174"/>
      <c r="R15" s="178"/>
      <c r="S15" s="178">
        <v>3.7836438923395443E-2</v>
      </c>
      <c r="T15" s="180"/>
      <c r="U15" s="181"/>
      <c r="V15" s="172"/>
      <c r="W15" s="182"/>
      <c r="X15" s="132"/>
      <c r="Y15" s="132"/>
      <c r="Z15" s="132"/>
      <c r="AA15" s="132"/>
      <c r="AB15" s="132"/>
      <c r="AC15" s="132"/>
    </row>
    <row r="16" spans="1:29" ht="15.75" customHeight="1">
      <c r="A16" s="274">
        <v>43344</v>
      </c>
      <c r="B16" s="164" t="s">
        <v>39</v>
      </c>
      <c r="C16" s="165" t="s">
        <v>86</v>
      </c>
      <c r="D16" s="166" t="s">
        <v>71</v>
      </c>
      <c r="E16" s="167">
        <v>6.1</v>
      </c>
      <c r="F16" s="168">
        <v>2.82</v>
      </c>
      <c r="G16" s="168">
        <v>3.28</v>
      </c>
      <c r="H16" s="169"/>
      <c r="I16" s="183">
        <v>0.2679999999999999</v>
      </c>
      <c r="J16" s="183">
        <v>0.2679999999999999</v>
      </c>
      <c r="K16" s="183">
        <v>0.53921568627450978</v>
      </c>
      <c r="L16" s="177"/>
      <c r="M16" s="178"/>
      <c r="N16" s="174"/>
      <c r="O16" s="179">
        <v>-1.1528584070552095</v>
      </c>
      <c r="P16" s="168"/>
      <c r="Q16" s="178">
        <v>0.14450980392156856</v>
      </c>
      <c r="R16" s="178"/>
      <c r="S16" s="174"/>
      <c r="T16" s="180"/>
      <c r="U16" s="181"/>
      <c r="V16" s="172"/>
      <c r="W16" s="182"/>
      <c r="X16" s="132"/>
      <c r="Y16" s="132"/>
      <c r="Z16" s="132"/>
      <c r="AA16" s="132"/>
      <c r="AB16" s="132"/>
      <c r="AC16" s="132"/>
    </row>
    <row r="17" spans="1:29" ht="15.75" customHeight="1">
      <c r="A17" s="274">
        <v>43580</v>
      </c>
      <c r="B17" s="164" t="s">
        <v>42</v>
      </c>
      <c r="C17" s="165" t="s">
        <v>86</v>
      </c>
      <c r="D17" s="166" t="s">
        <v>40</v>
      </c>
      <c r="E17" s="167">
        <v>7.21</v>
      </c>
      <c r="F17" s="168">
        <v>0.99</v>
      </c>
      <c r="G17" s="168">
        <v>6.22</v>
      </c>
      <c r="H17" s="169"/>
      <c r="I17" s="183">
        <v>3.0950000000000002</v>
      </c>
      <c r="J17" s="183">
        <v>3.0049999999999999</v>
      </c>
      <c r="K17" s="183">
        <v>0.39584205165182318</v>
      </c>
      <c r="L17" s="177">
        <v>3.1249999999999996</v>
      </c>
      <c r="M17" s="178"/>
      <c r="N17" s="174"/>
      <c r="O17" s="179"/>
      <c r="P17" s="168">
        <v>1.2251311498623929</v>
      </c>
      <c r="Q17" s="178"/>
      <c r="R17" s="178">
        <v>-0.13950000000000023</v>
      </c>
      <c r="S17" s="174"/>
      <c r="T17" s="180"/>
      <c r="U17" s="181"/>
      <c r="V17" s="172"/>
      <c r="W17" s="182"/>
      <c r="X17" s="132"/>
      <c r="Y17" s="132"/>
      <c r="Z17" s="132"/>
      <c r="AA17" s="132"/>
      <c r="AB17" s="132"/>
      <c r="AC17" s="132"/>
    </row>
    <row r="18" spans="1:29" ht="15.75" customHeight="1">
      <c r="A18" s="274">
        <v>43705</v>
      </c>
      <c r="B18" s="164" t="s">
        <v>42</v>
      </c>
      <c r="C18" s="165" t="s">
        <v>86</v>
      </c>
      <c r="D18" s="166" t="s">
        <v>92</v>
      </c>
      <c r="E18" s="167">
        <v>3.05</v>
      </c>
      <c r="F18" s="168">
        <v>1.69</v>
      </c>
      <c r="G18" s="168">
        <v>1.3599999999999999</v>
      </c>
      <c r="H18" s="169"/>
      <c r="I18" s="183">
        <v>0</v>
      </c>
      <c r="J18" s="183"/>
      <c r="K18" s="183"/>
      <c r="L18" s="177"/>
      <c r="M18" s="178"/>
      <c r="N18" s="174"/>
      <c r="O18" s="179">
        <v>-2.8136311498623927</v>
      </c>
      <c r="P18" s="168"/>
      <c r="Q18" s="178">
        <v>-1.5884999999999998</v>
      </c>
      <c r="R18" s="178"/>
      <c r="S18" s="174"/>
      <c r="T18" s="180"/>
      <c r="U18" s="181"/>
      <c r="V18" s="172"/>
      <c r="W18" s="182"/>
      <c r="X18" s="132"/>
      <c r="Y18" s="132"/>
      <c r="Z18" s="132"/>
      <c r="AA18" s="132"/>
      <c r="AB18" s="132"/>
      <c r="AC18" s="132"/>
    </row>
    <row r="19" spans="1:29" ht="15.75" customHeight="1">
      <c r="A19" s="274">
        <v>43705</v>
      </c>
      <c r="B19" s="164" t="s">
        <v>42</v>
      </c>
      <c r="C19" s="165" t="s">
        <v>86</v>
      </c>
      <c r="D19" s="166" t="s">
        <v>92</v>
      </c>
      <c r="E19" s="302">
        <v>5.54</v>
      </c>
      <c r="F19" s="168">
        <v>4.18</v>
      </c>
      <c r="G19" s="168">
        <v>1.36</v>
      </c>
      <c r="H19" s="169"/>
      <c r="I19" s="183"/>
      <c r="J19" s="183"/>
      <c r="K19" s="183"/>
      <c r="L19" s="177"/>
      <c r="M19" s="178"/>
      <c r="N19" s="174"/>
      <c r="O19" s="179"/>
      <c r="P19" s="168"/>
      <c r="Q19" s="178"/>
      <c r="R19" s="178"/>
      <c r="S19" s="174">
        <v>0</v>
      </c>
      <c r="T19" s="180"/>
      <c r="U19" s="181"/>
      <c r="V19" s="172"/>
      <c r="W19" s="182"/>
      <c r="X19" s="132"/>
      <c r="Y19" s="132"/>
      <c r="Z19" s="132"/>
      <c r="AA19" s="132"/>
      <c r="AB19" s="132"/>
      <c r="AC19" s="132"/>
    </row>
    <row r="20" spans="1:29" ht="15.75" customHeight="1">
      <c r="A20" s="274">
        <v>43951</v>
      </c>
      <c r="B20" s="164" t="s">
        <v>43</v>
      </c>
      <c r="C20" s="165" t="s">
        <v>86</v>
      </c>
      <c r="D20" s="166" t="s">
        <v>40</v>
      </c>
      <c r="E20" s="302">
        <v>5.54</v>
      </c>
      <c r="F20" s="168">
        <v>0.09</v>
      </c>
      <c r="G20" s="168">
        <v>5.45</v>
      </c>
      <c r="H20" s="169"/>
      <c r="I20" s="183">
        <v>4.0350000000000001</v>
      </c>
      <c r="J20" s="183"/>
      <c r="K20" s="183">
        <v>0.43167818780133027</v>
      </c>
      <c r="L20" s="177">
        <v>1.415</v>
      </c>
      <c r="M20" s="178"/>
      <c r="N20" s="174"/>
      <c r="O20" s="179"/>
      <c r="P20" s="168">
        <v>1.7418214877783678</v>
      </c>
      <c r="Q20" s="178"/>
      <c r="R20" s="178">
        <v>0</v>
      </c>
      <c r="S20" s="174"/>
      <c r="T20" s="180"/>
      <c r="U20" s="181"/>
      <c r="V20" s="172"/>
      <c r="W20" s="182"/>
      <c r="X20" s="132"/>
      <c r="Y20" s="132"/>
      <c r="Z20" s="132"/>
      <c r="AA20" s="132"/>
      <c r="AB20" s="132"/>
      <c r="AC20" s="132"/>
    </row>
    <row r="21" spans="1:29" ht="15.75" customHeight="1">
      <c r="A21" s="274">
        <v>44063</v>
      </c>
      <c r="B21" s="164" t="s">
        <v>43</v>
      </c>
      <c r="C21" s="165" t="s">
        <v>86</v>
      </c>
      <c r="D21" s="166" t="s">
        <v>40</v>
      </c>
      <c r="E21" s="302">
        <v>3.05</v>
      </c>
      <c r="F21" s="168">
        <v>1.42</v>
      </c>
      <c r="G21" s="168">
        <v>1.63</v>
      </c>
      <c r="H21" s="169">
        <v>0</v>
      </c>
      <c r="I21" s="183">
        <v>0.58499999999999996</v>
      </c>
      <c r="J21" s="183">
        <v>0.66700000000000004</v>
      </c>
      <c r="K21" s="183">
        <v>0.59967465246968354</v>
      </c>
      <c r="L21" s="177"/>
      <c r="M21" s="178"/>
      <c r="N21" s="174"/>
      <c r="O21" s="179">
        <v>-1.3910118160836029</v>
      </c>
      <c r="P21" s="168"/>
      <c r="Q21" s="178">
        <v>0.35080967169476485</v>
      </c>
      <c r="R21" s="178"/>
      <c r="S21" s="174"/>
      <c r="T21" s="180"/>
      <c r="U21" s="181"/>
      <c r="V21" s="172"/>
      <c r="W21" s="182"/>
      <c r="X21" s="132"/>
      <c r="Y21" s="132"/>
      <c r="Z21" s="132"/>
      <c r="AA21" s="132"/>
      <c r="AB21" s="132"/>
      <c r="AC21" s="132"/>
    </row>
    <row r="22" spans="1:29" ht="15.75" customHeight="1">
      <c r="A22" s="274">
        <v>44669</v>
      </c>
      <c r="B22" s="164" t="s">
        <v>72</v>
      </c>
      <c r="C22" s="165" t="s">
        <v>86</v>
      </c>
      <c r="D22" s="166" t="s">
        <v>40</v>
      </c>
      <c r="E22" s="302">
        <v>5.54</v>
      </c>
      <c r="F22" s="168">
        <v>1.62</v>
      </c>
      <c r="G22" s="168">
        <f>E22-F22</f>
        <v>3.92</v>
      </c>
      <c r="H22" s="169"/>
      <c r="I22" s="183">
        <v>2.88</v>
      </c>
      <c r="J22" s="183">
        <v>3.02</v>
      </c>
      <c r="K22" s="183">
        <v>0.41</v>
      </c>
      <c r="L22" s="177">
        <f>G22-I22</f>
        <v>1.04</v>
      </c>
      <c r="M22" s="178"/>
      <c r="N22" s="174"/>
      <c r="O22" s="179"/>
      <c r="P22" s="168">
        <f>I22*K22</f>
        <v>1.1807999999999998</v>
      </c>
      <c r="Q22" s="178">
        <f>(L22-G21)*K21</f>
        <v>-0.35380804495711321</v>
      </c>
      <c r="R22" s="178"/>
      <c r="S22" s="174"/>
      <c r="T22" s="180"/>
      <c r="U22" s="181"/>
      <c r="V22" s="172"/>
      <c r="W22" s="182" t="s">
        <v>169</v>
      </c>
      <c r="X22" s="132"/>
      <c r="Y22" s="132"/>
      <c r="Z22" s="132"/>
      <c r="AA22" s="132"/>
      <c r="AB22" s="132"/>
      <c r="AC22" s="132"/>
    </row>
    <row r="23" spans="1:29" ht="15.75" customHeight="1">
      <c r="A23" s="274">
        <v>45160</v>
      </c>
      <c r="B23" s="164" t="s">
        <v>218</v>
      </c>
      <c r="C23" s="165" t="s">
        <v>86</v>
      </c>
      <c r="D23" s="166" t="s">
        <v>40</v>
      </c>
      <c r="E23" s="302">
        <v>6.1</v>
      </c>
      <c r="F23" s="168">
        <v>5.13</v>
      </c>
      <c r="G23" s="168">
        <f>E23-F23</f>
        <v>0.96999999999999975</v>
      </c>
      <c r="H23" s="169"/>
      <c r="I23" s="183">
        <v>0.06</v>
      </c>
      <c r="J23" s="183"/>
      <c r="K23" s="183"/>
      <c r="L23" s="177"/>
      <c r="M23" s="178"/>
      <c r="N23" s="174"/>
      <c r="O23" s="179"/>
      <c r="P23" s="168"/>
      <c r="Q23" s="178"/>
      <c r="R23" s="178"/>
      <c r="S23" s="174"/>
      <c r="T23" s="180"/>
      <c r="U23" s="181"/>
      <c r="V23" s="172"/>
      <c r="W23" s="182"/>
      <c r="X23" s="132"/>
      <c r="Y23" s="132"/>
      <c r="Z23" s="132"/>
      <c r="AA23" s="132"/>
      <c r="AB23" s="132"/>
      <c r="AC23" s="132"/>
    </row>
    <row r="24" spans="1:29" ht="15.75" customHeight="1">
      <c r="A24" s="274">
        <v>45160</v>
      </c>
      <c r="B24" s="164" t="s">
        <v>218</v>
      </c>
      <c r="C24" s="165" t="s">
        <v>86</v>
      </c>
      <c r="D24" s="166" t="s">
        <v>40</v>
      </c>
      <c r="E24" s="302">
        <v>3.05</v>
      </c>
      <c r="F24" s="168">
        <f>E24-G24</f>
        <v>2.08</v>
      </c>
      <c r="G24" s="168">
        <f>G23</f>
        <v>0.96999999999999975</v>
      </c>
      <c r="H24" s="169"/>
      <c r="I24" s="183"/>
      <c r="J24" s="183"/>
      <c r="K24" s="183"/>
      <c r="L24" s="177"/>
      <c r="M24" s="178"/>
      <c r="N24" s="174"/>
      <c r="O24" s="179"/>
      <c r="P24" s="168"/>
      <c r="Q24" s="178"/>
      <c r="R24" s="178"/>
      <c r="S24" s="174"/>
      <c r="T24" s="180"/>
      <c r="U24" s="181"/>
      <c r="V24" s="172"/>
      <c r="W24" s="182"/>
      <c r="X24" s="132"/>
      <c r="Y24" s="132"/>
      <c r="Z24" s="132"/>
      <c r="AA24" s="132"/>
      <c r="AB24" s="132"/>
      <c r="AC24" s="132"/>
    </row>
    <row r="25" spans="1:29" ht="15.75" customHeight="1">
      <c r="A25" s="274"/>
      <c r="B25" s="164"/>
      <c r="C25" s="165"/>
      <c r="D25" s="166"/>
      <c r="E25" s="302"/>
      <c r="F25" s="168"/>
      <c r="G25" s="168"/>
      <c r="H25" s="169"/>
      <c r="I25" s="183"/>
      <c r="J25" s="183"/>
      <c r="K25" s="183"/>
      <c r="L25" s="177"/>
      <c r="M25" s="178"/>
      <c r="N25" s="174"/>
      <c r="O25" s="179"/>
      <c r="P25" s="168"/>
      <c r="Q25" s="178"/>
      <c r="R25" s="178"/>
      <c r="S25" s="174"/>
      <c r="T25" s="180"/>
      <c r="U25" s="181"/>
      <c r="V25" s="172"/>
      <c r="W25" s="182"/>
      <c r="X25" s="132"/>
      <c r="Y25" s="132"/>
      <c r="Z25" s="132"/>
      <c r="AA25" s="132"/>
      <c r="AB25" s="132"/>
      <c r="AC25" s="132"/>
    </row>
    <row r="26" spans="1:29" s="48" customFormat="1" ht="15" customHeight="1">
      <c r="A26" s="184"/>
      <c r="B26" s="185"/>
      <c r="C26" s="186"/>
      <c r="D26" s="187"/>
      <c r="E26" s="188"/>
      <c r="F26" s="185"/>
      <c r="G26" s="185"/>
      <c r="H26" s="189"/>
      <c r="I26" s="190"/>
      <c r="J26" s="191"/>
      <c r="K26" s="191"/>
      <c r="L26" s="192"/>
      <c r="M26" s="191"/>
      <c r="N26" s="191"/>
      <c r="O26" s="193"/>
      <c r="P26" s="191"/>
      <c r="Q26" s="190"/>
      <c r="R26" s="191"/>
      <c r="S26" s="190"/>
      <c r="T26" s="194"/>
      <c r="U26" s="195"/>
      <c r="V26" s="196"/>
      <c r="W26" s="197"/>
      <c r="X26" s="185"/>
      <c r="Y26" s="185"/>
      <c r="Z26" s="185"/>
      <c r="AA26" s="185"/>
      <c r="AB26" s="185"/>
      <c r="AC26" s="185"/>
    </row>
    <row r="27" spans="1:29" ht="15" customHeight="1">
      <c r="A27" s="198">
        <v>43580</v>
      </c>
      <c r="B27" s="199" t="s">
        <v>42</v>
      </c>
      <c r="C27" s="200" t="s">
        <v>93</v>
      </c>
      <c r="D27" s="201" t="s">
        <v>40</v>
      </c>
      <c r="E27" s="202">
        <v>9.15</v>
      </c>
      <c r="F27" s="203">
        <v>-0.1</v>
      </c>
      <c r="G27" s="203">
        <v>9.25</v>
      </c>
      <c r="H27" s="204"/>
      <c r="I27" s="203">
        <v>2.915</v>
      </c>
      <c r="J27" s="203">
        <v>3.0049999999999999</v>
      </c>
      <c r="K27" s="203">
        <v>0.39584205165182318</v>
      </c>
      <c r="L27" s="205">
        <v>6.335</v>
      </c>
      <c r="M27" s="203">
        <v>6.335</v>
      </c>
      <c r="N27" s="203"/>
      <c r="O27" s="208"/>
      <c r="P27" s="203">
        <v>1.1538795805650646</v>
      </c>
      <c r="Q27" s="203"/>
      <c r="R27" s="203"/>
      <c r="S27" s="199"/>
      <c r="T27" s="208"/>
      <c r="U27" s="203"/>
      <c r="V27" s="209"/>
      <c r="W27" s="210"/>
      <c r="X27" s="132"/>
      <c r="Y27" s="132"/>
      <c r="Z27" s="132"/>
      <c r="AA27" s="132"/>
      <c r="AB27" s="132"/>
      <c r="AC27" s="132"/>
    </row>
    <row r="28" spans="1:29" ht="15" customHeight="1">
      <c r="A28" s="198">
        <v>43705</v>
      </c>
      <c r="B28" s="199" t="s">
        <v>42</v>
      </c>
      <c r="C28" s="200" t="s">
        <v>93</v>
      </c>
      <c r="D28" s="201" t="s">
        <v>92</v>
      </c>
      <c r="E28" s="202">
        <v>6.1</v>
      </c>
      <c r="F28" s="203">
        <v>1.82</v>
      </c>
      <c r="G28" s="203">
        <v>4.2799999999999994</v>
      </c>
      <c r="H28" s="204">
        <v>0</v>
      </c>
      <c r="I28" s="203">
        <v>0</v>
      </c>
      <c r="J28" s="203"/>
      <c r="K28" s="203"/>
      <c r="L28" s="205"/>
      <c r="M28" s="203"/>
      <c r="N28" s="203"/>
      <c r="O28" s="208">
        <v>-3.0033795805650652</v>
      </c>
      <c r="P28" s="203"/>
      <c r="Q28" s="203">
        <v>-1.8495000000000006</v>
      </c>
      <c r="R28" s="203"/>
      <c r="S28" s="199">
        <v>0</v>
      </c>
      <c r="T28" s="208"/>
      <c r="U28" s="203"/>
      <c r="V28" s="209"/>
      <c r="W28" s="210"/>
      <c r="X28" s="132"/>
      <c r="Y28" s="132"/>
      <c r="Z28" s="132"/>
      <c r="AA28" s="132"/>
      <c r="AB28" s="132"/>
      <c r="AC28" s="132"/>
    </row>
    <row r="29" spans="1:29" ht="15" customHeight="1">
      <c r="A29" s="198">
        <v>43705</v>
      </c>
      <c r="B29" s="199" t="s">
        <v>42</v>
      </c>
      <c r="C29" s="200" t="s">
        <v>93</v>
      </c>
      <c r="D29" s="201" t="s">
        <v>92</v>
      </c>
      <c r="E29" s="202">
        <v>7.95</v>
      </c>
      <c r="F29" s="203">
        <v>3.67</v>
      </c>
      <c r="G29" s="203">
        <v>4.28</v>
      </c>
      <c r="H29" s="204">
        <v>0</v>
      </c>
      <c r="I29" s="203"/>
      <c r="J29" s="203"/>
      <c r="K29" s="203"/>
      <c r="L29" s="205"/>
      <c r="M29" s="203"/>
      <c r="N29" s="203"/>
      <c r="O29" s="208"/>
      <c r="P29" s="203"/>
      <c r="Q29" s="203"/>
      <c r="R29" s="203"/>
      <c r="S29" s="199"/>
      <c r="T29" s="208"/>
      <c r="U29" s="203"/>
      <c r="V29" s="209"/>
      <c r="W29" s="210"/>
      <c r="X29" s="132"/>
      <c r="Y29" s="132"/>
      <c r="Z29" s="132"/>
      <c r="AA29" s="132"/>
      <c r="AB29" s="132"/>
      <c r="AC29" s="132"/>
    </row>
    <row r="30" spans="1:29" ht="15" customHeight="1">
      <c r="A30" s="211">
        <v>43951</v>
      </c>
      <c r="B30" s="212" t="s">
        <v>43</v>
      </c>
      <c r="C30" s="213" t="s">
        <v>93</v>
      </c>
      <c r="D30" s="214" t="s">
        <v>40</v>
      </c>
      <c r="E30" s="303" t="s">
        <v>76</v>
      </c>
      <c r="F30" s="215"/>
      <c r="G30" s="215"/>
      <c r="H30" s="204">
        <v>0</v>
      </c>
      <c r="I30" s="203"/>
      <c r="J30" s="203"/>
      <c r="K30" s="203"/>
      <c r="L30" s="205"/>
      <c r="M30" s="203"/>
      <c r="N30" s="203"/>
      <c r="O30" s="208"/>
      <c r="P30" s="203"/>
      <c r="Q30" s="203"/>
      <c r="R30" s="203"/>
      <c r="S30" s="199"/>
      <c r="T30" s="208"/>
      <c r="U30" s="203"/>
      <c r="V30" s="209"/>
      <c r="W30" s="210"/>
      <c r="X30" s="132"/>
      <c r="Y30" s="132"/>
      <c r="Z30" s="132"/>
      <c r="AA30" s="132"/>
      <c r="AB30" s="132"/>
      <c r="AC30" s="132"/>
    </row>
    <row r="31" spans="1:29" ht="15" customHeight="1">
      <c r="A31" s="211">
        <v>44063</v>
      </c>
      <c r="B31" s="212" t="s">
        <v>72</v>
      </c>
      <c r="C31" s="213" t="s">
        <v>93</v>
      </c>
      <c r="D31" s="214" t="s">
        <v>40</v>
      </c>
      <c r="E31" s="303">
        <v>8.9499999999999993</v>
      </c>
      <c r="F31" s="215">
        <v>4.2</v>
      </c>
      <c r="G31" s="215">
        <v>4.75</v>
      </c>
      <c r="H31" s="204">
        <v>1</v>
      </c>
      <c r="I31" s="203">
        <v>0.74</v>
      </c>
      <c r="J31" s="203">
        <v>0.66700000000000004</v>
      </c>
      <c r="K31" s="203">
        <v>0.59967465246968354</v>
      </c>
      <c r="L31" s="205"/>
      <c r="M31" s="203"/>
      <c r="N31" s="203"/>
      <c r="O31" s="208"/>
      <c r="P31" s="203"/>
      <c r="Q31" s="203">
        <v>0.44375924282756579</v>
      </c>
      <c r="R31" s="203"/>
      <c r="S31" s="199"/>
      <c r="T31" s="208"/>
      <c r="U31" s="203"/>
      <c r="V31" s="209"/>
      <c r="W31" s="210"/>
      <c r="X31" s="132"/>
      <c r="Y31" s="132"/>
      <c r="Z31" s="132"/>
      <c r="AA31" s="132"/>
      <c r="AB31" s="132"/>
      <c r="AC31" s="132"/>
    </row>
    <row r="32" spans="1:29" ht="15" customHeight="1">
      <c r="A32" s="211">
        <v>44063</v>
      </c>
      <c r="B32" s="212" t="s">
        <v>72</v>
      </c>
      <c r="C32" s="213" t="s">
        <v>93</v>
      </c>
      <c r="D32" s="214" t="s">
        <v>40</v>
      </c>
      <c r="E32" s="303">
        <v>6.1</v>
      </c>
      <c r="F32" s="215">
        <v>1.75</v>
      </c>
      <c r="G32" s="215">
        <v>4.3499999999999996</v>
      </c>
      <c r="H32" s="204">
        <v>0</v>
      </c>
      <c r="I32" s="203"/>
      <c r="J32" s="203"/>
      <c r="K32" s="203"/>
      <c r="L32" s="205"/>
      <c r="M32" s="203"/>
      <c r="N32" s="203"/>
      <c r="O32" s="208"/>
      <c r="P32" s="203"/>
      <c r="Q32" s="203"/>
      <c r="R32" s="203"/>
      <c r="S32" s="199"/>
      <c r="T32" s="208"/>
      <c r="U32" s="203"/>
      <c r="V32" s="209"/>
      <c r="W32" s="210"/>
      <c r="X32" s="132"/>
      <c r="Y32" s="132"/>
      <c r="Z32" s="132"/>
      <c r="AA32" s="132"/>
      <c r="AB32" s="132"/>
      <c r="AC32" s="132"/>
    </row>
    <row r="33" spans="1:29" ht="15" customHeight="1">
      <c r="A33" s="211">
        <v>44313</v>
      </c>
      <c r="B33" s="212"/>
      <c r="C33" s="213"/>
      <c r="D33" s="214"/>
      <c r="E33" s="303" t="s">
        <v>94</v>
      </c>
      <c r="F33" s="215"/>
      <c r="G33" s="215"/>
      <c r="H33" s="204"/>
      <c r="I33" s="203"/>
      <c r="J33" s="203"/>
      <c r="K33" s="203"/>
      <c r="L33" s="205"/>
      <c r="M33" s="203"/>
      <c r="N33" s="203"/>
      <c r="O33" s="208"/>
      <c r="P33" s="203"/>
      <c r="Q33" s="203"/>
      <c r="R33" s="203"/>
      <c r="S33" s="199"/>
      <c r="T33" s="208"/>
      <c r="U33" s="203"/>
      <c r="V33" s="209"/>
      <c r="W33" s="210"/>
      <c r="X33" s="132"/>
      <c r="Y33" s="132"/>
      <c r="Z33" s="132"/>
      <c r="AA33" s="132"/>
      <c r="AB33" s="132"/>
      <c r="AC33" s="132"/>
    </row>
    <row r="34" spans="1:29" ht="15" customHeight="1">
      <c r="A34" s="211">
        <v>44669</v>
      </c>
      <c r="B34" s="212" t="s">
        <v>106</v>
      </c>
      <c r="C34" s="213" t="s">
        <v>93</v>
      </c>
      <c r="D34" s="214" t="s">
        <v>40</v>
      </c>
      <c r="E34" s="303">
        <v>7.95</v>
      </c>
      <c r="F34" s="215">
        <v>1.19</v>
      </c>
      <c r="G34" s="215">
        <f>E34-F34</f>
        <v>6.76</v>
      </c>
      <c r="H34" s="204"/>
      <c r="I34" s="203">
        <v>3.14</v>
      </c>
      <c r="J34" s="203">
        <v>3.02</v>
      </c>
      <c r="K34" s="203">
        <v>0.41</v>
      </c>
      <c r="L34" s="205">
        <f>G34-I34</f>
        <v>3.6199999999999997</v>
      </c>
      <c r="M34" s="203"/>
      <c r="N34" s="203"/>
      <c r="O34" s="208"/>
      <c r="P34" s="203">
        <f>I34*K34</f>
        <v>1.2873999999999999</v>
      </c>
      <c r="Q34" s="203">
        <f>(L34-G32)*K31</f>
        <v>-0.43776249630286895</v>
      </c>
      <c r="R34" s="203"/>
      <c r="S34" s="199"/>
      <c r="T34" s="208"/>
      <c r="U34" s="203"/>
      <c r="V34" s="209"/>
      <c r="W34" s="677" t="s">
        <v>169</v>
      </c>
      <c r="X34" s="132"/>
      <c r="Y34" s="132"/>
      <c r="Z34" s="132"/>
      <c r="AA34" s="132"/>
      <c r="AB34" s="132"/>
      <c r="AC34" s="132"/>
    </row>
    <row r="35" spans="1:29" ht="15" customHeight="1">
      <c r="A35" s="211"/>
      <c r="B35" s="212"/>
      <c r="C35" s="213"/>
      <c r="D35" s="214"/>
      <c r="E35" s="303"/>
      <c r="F35" s="215"/>
      <c r="G35" s="215"/>
      <c r="H35" s="204"/>
      <c r="I35" s="203"/>
      <c r="J35" s="203"/>
      <c r="K35" s="203"/>
      <c r="L35" s="205"/>
      <c r="M35" s="203"/>
      <c r="N35" s="203"/>
      <c r="O35" s="208"/>
      <c r="P35" s="203"/>
      <c r="Q35" s="203"/>
      <c r="R35" s="203"/>
      <c r="S35" s="199"/>
      <c r="T35" s="208"/>
      <c r="U35" s="203"/>
      <c r="V35" s="209"/>
      <c r="W35" s="210"/>
      <c r="X35" s="132"/>
      <c r="Y35" s="132"/>
      <c r="Z35" s="132"/>
      <c r="AA35" s="132"/>
      <c r="AB35" s="132"/>
      <c r="AC35" s="132"/>
    </row>
    <row r="36" spans="1:29" s="48" customFormat="1" ht="15" customHeight="1">
      <c r="A36" s="216"/>
      <c r="B36" s="217"/>
      <c r="C36" s="218"/>
      <c r="D36" s="219"/>
      <c r="E36" s="304"/>
      <c r="F36" s="220"/>
      <c r="G36" s="220"/>
      <c r="H36" s="221"/>
      <c r="I36" s="220"/>
      <c r="J36" s="220"/>
      <c r="K36" s="220"/>
      <c r="L36" s="222"/>
      <c r="M36" s="220"/>
      <c r="N36" s="220"/>
      <c r="O36" s="223"/>
      <c r="P36" s="220"/>
      <c r="Q36" s="220"/>
      <c r="R36" s="220"/>
      <c r="S36" s="217"/>
      <c r="T36" s="223"/>
      <c r="U36" s="220"/>
      <c r="V36" s="196"/>
      <c r="W36" s="226"/>
      <c r="X36" s="185"/>
      <c r="Y36" s="185"/>
      <c r="Z36" s="185"/>
      <c r="AA36" s="185"/>
      <c r="AB36" s="185"/>
      <c r="AC36" s="185"/>
    </row>
    <row r="37" spans="1:29" ht="15" customHeight="1">
      <c r="A37" s="278">
        <v>44669</v>
      </c>
      <c r="B37" s="279" t="s">
        <v>106</v>
      </c>
      <c r="C37" s="280" t="s">
        <v>168</v>
      </c>
      <c r="D37" s="281" t="s">
        <v>40</v>
      </c>
      <c r="E37" s="282">
        <v>9.15</v>
      </c>
      <c r="F37" s="282">
        <v>-0.09</v>
      </c>
      <c r="G37" s="282">
        <f>E37-F37</f>
        <v>9.24</v>
      </c>
      <c r="H37" s="284"/>
      <c r="I37" s="285">
        <v>3.03</v>
      </c>
      <c r="J37" s="286">
        <v>3.02</v>
      </c>
      <c r="K37" s="287">
        <v>0.41</v>
      </c>
      <c r="L37" s="286">
        <f>G37-I37</f>
        <v>6.2100000000000009</v>
      </c>
      <c r="M37" s="286"/>
      <c r="N37" s="289"/>
      <c r="O37" s="290"/>
      <c r="P37" s="286">
        <f>I37*K37</f>
        <v>1.2422999999999997</v>
      </c>
      <c r="Q37" s="290">
        <f>(G39-L37)*0.9</f>
        <v>-0.27000000000000063</v>
      </c>
      <c r="R37" s="290"/>
      <c r="S37" s="290"/>
      <c r="T37" s="291"/>
      <c r="U37" s="291"/>
      <c r="V37" s="292"/>
      <c r="W37" s="293" t="s">
        <v>216</v>
      </c>
      <c r="X37" s="132"/>
      <c r="Y37" s="132"/>
      <c r="Z37" s="132"/>
      <c r="AA37" s="132"/>
      <c r="AB37" s="132"/>
      <c r="AC37" s="132"/>
    </row>
    <row r="38" spans="1:29" ht="15" customHeight="1">
      <c r="A38" s="278">
        <v>45160</v>
      </c>
      <c r="B38" s="279" t="s">
        <v>214</v>
      </c>
      <c r="C38" s="280" t="s">
        <v>168</v>
      </c>
      <c r="D38" s="281" t="s">
        <v>77</v>
      </c>
      <c r="E38" s="282">
        <v>9.15</v>
      </c>
      <c r="F38" s="282">
        <f>E38-G38</f>
        <v>3.1100000000000003</v>
      </c>
      <c r="G38" s="282">
        <v>6.04</v>
      </c>
      <c r="H38" s="284"/>
      <c r="I38" s="285"/>
      <c r="J38" s="286">
        <f>(0.14+0.16+0.11+0.11)/4</f>
        <v>0.13</v>
      </c>
      <c r="K38" s="287">
        <v>0.56000000000000005</v>
      </c>
      <c r="L38" s="286">
        <f>G38-J38</f>
        <v>5.91</v>
      </c>
      <c r="M38" s="286"/>
      <c r="N38" s="289"/>
      <c r="O38" s="290"/>
      <c r="P38" s="286"/>
      <c r="Q38" s="286">
        <f>K38*J38</f>
        <v>7.2800000000000004E-2</v>
      </c>
      <c r="R38" s="290"/>
      <c r="S38" s="290"/>
      <c r="T38" s="291"/>
      <c r="U38" s="291"/>
      <c r="V38" s="292"/>
      <c r="W38" s="293" t="s">
        <v>217</v>
      </c>
      <c r="X38" s="132"/>
      <c r="Y38" s="132"/>
      <c r="Z38" s="132"/>
      <c r="AA38" s="132"/>
      <c r="AB38" s="132"/>
      <c r="AC38" s="132"/>
    </row>
    <row r="39" spans="1:29" ht="15" customHeight="1">
      <c r="A39" s="278">
        <v>45160</v>
      </c>
      <c r="B39" s="279" t="s">
        <v>214</v>
      </c>
      <c r="C39" s="280" t="s">
        <v>168</v>
      </c>
      <c r="D39" s="281" t="s">
        <v>41</v>
      </c>
      <c r="E39" s="282">
        <v>10.1</v>
      </c>
      <c r="F39" s="282">
        <f>E39-G39</f>
        <v>4.1899999999999995</v>
      </c>
      <c r="G39" s="282">
        <v>5.91</v>
      </c>
      <c r="H39" s="284"/>
      <c r="I39" s="285"/>
      <c r="J39" s="286"/>
      <c r="K39" s="287"/>
      <c r="L39" s="286"/>
      <c r="M39" s="286"/>
      <c r="N39" s="289"/>
      <c r="O39" s="290"/>
      <c r="P39" s="286"/>
      <c r="Q39" s="290"/>
      <c r="R39" s="290"/>
      <c r="S39" s="290"/>
      <c r="T39" s="291"/>
      <c r="U39" s="291"/>
      <c r="V39" s="292"/>
      <c r="W39" s="293"/>
      <c r="X39" s="132"/>
      <c r="Y39" s="132"/>
      <c r="Z39" s="132"/>
      <c r="AA39" s="132"/>
      <c r="AB39" s="132"/>
      <c r="AC39" s="132"/>
    </row>
    <row r="40" spans="1:29" ht="15" customHeight="1">
      <c r="A40" s="278"/>
      <c r="B40" s="279"/>
      <c r="C40" s="280"/>
      <c r="D40" s="281"/>
      <c r="E40" s="282"/>
      <c r="F40" s="282"/>
      <c r="G40" s="282"/>
      <c r="H40" s="284"/>
      <c r="I40" s="285"/>
      <c r="J40" s="286"/>
      <c r="K40" s="287"/>
      <c r="L40" s="286"/>
      <c r="M40" s="286"/>
      <c r="N40" s="289"/>
      <c r="O40" s="290"/>
      <c r="P40" s="286"/>
      <c r="Q40" s="290"/>
      <c r="R40" s="290"/>
      <c r="S40" s="290"/>
      <c r="T40" s="291"/>
      <c r="U40" s="291"/>
      <c r="V40" s="292"/>
      <c r="W40" s="293"/>
      <c r="X40" s="132"/>
      <c r="Y40" s="132"/>
      <c r="Z40" s="132"/>
      <c r="AA40" s="132"/>
      <c r="AB40" s="132"/>
      <c r="AC40" s="132"/>
    </row>
    <row r="41" spans="1:29" ht="15" customHeight="1">
      <c r="A41" s="278"/>
      <c r="B41" s="279"/>
      <c r="C41" s="280"/>
      <c r="D41" s="281"/>
      <c r="E41" s="282"/>
      <c r="F41" s="282"/>
      <c r="G41" s="282"/>
      <c r="H41" s="284"/>
      <c r="I41" s="285"/>
      <c r="J41" s="286"/>
      <c r="K41" s="287"/>
      <c r="L41" s="286"/>
      <c r="M41" s="286"/>
      <c r="N41" s="289"/>
      <c r="O41" s="290"/>
      <c r="P41" s="286"/>
      <c r="Q41" s="290"/>
      <c r="R41" s="290"/>
      <c r="S41" s="290"/>
      <c r="T41" s="291"/>
      <c r="U41" s="291"/>
      <c r="V41" s="292"/>
      <c r="W41" s="293"/>
      <c r="X41" s="132"/>
      <c r="Y41" s="132"/>
      <c r="Z41" s="132"/>
      <c r="AA41" s="132"/>
      <c r="AB41" s="132"/>
      <c r="AC41" s="132"/>
    </row>
    <row r="42" spans="1:29" ht="15" customHeight="1">
      <c r="A42" s="132"/>
      <c r="B42" s="132"/>
      <c r="C42" s="227"/>
      <c r="D42" s="294"/>
      <c r="E42" s="132"/>
      <c r="F42" s="132"/>
      <c r="G42" s="228"/>
      <c r="H42" s="229"/>
      <c r="I42" s="132"/>
      <c r="J42" s="132"/>
      <c r="K42" s="227"/>
      <c r="L42" s="132"/>
      <c r="M42" s="132"/>
      <c r="N42" s="228"/>
      <c r="O42" s="132"/>
      <c r="P42" s="132"/>
      <c r="Q42" s="132"/>
      <c r="R42" s="132"/>
      <c r="S42" s="305"/>
      <c r="T42" s="132"/>
      <c r="U42" s="132"/>
      <c r="V42" s="228"/>
      <c r="W42" s="306"/>
      <c r="X42" s="132"/>
      <c r="Y42" s="132"/>
      <c r="Z42" s="132"/>
      <c r="AA42" s="132"/>
      <c r="AB42" s="132"/>
      <c r="AC42" s="132"/>
    </row>
    <row r="43" spans="1:29" ht="15" customHeight="1">
      <c r="A43" s="132"/>
      <c r="B43" s="132"/>
      <c r="C43" s="132"/>
      <c r="D43" s="132"/>
      <c r="E43" s="132"/>
      <c r="F43" s="132"/>
      <c r="G43" s="132"/>
      <c r="H43" s="132"/>
      <c r="I43" s="132"/>
      <c r="J43" s="132"/>
      <c r="K43" s="132"/>
      <c r="L43" s="132"/>
      <c r="M43" s="132"/>
      <c r="N43" s="132"/>
      <c r="O43" s="132"/>
      <c r="P43" s="132"/>
      <c r="Q43" s="132"/>
      <c r="R43" s="132"/>
      <c r="S43" s="132"/>
      <c r="T43" s="132"/>
      <c r="U43" s="132"/>
      <c r="V43" s="132"/>
      <c r="W43" s="132"/>
      <c r="X43" s="132"/>
      <c r="Y43" s="132"/>
      <c r="Z43" s="132"/>
      <c r="AA43" s="132"/>
      <c r="AB43" s="132"/>
      <c r="AC43" s="132"/>
    </row>
    <row r="44" spans="1:29" ht="15" customHeight="1">
      <c r="A44" s="132"/>
      <c r="B44" s="132"/>
      <c r="C44" s="132"/>
      <c r="D44" s="132"/>
      <c r="E44" s="132"/>
      <c r="F44" s="132"/>
      <c r="G44" s="132"/>
      <c r="H44" s="132"/>
      <c r="I44" s="132"/>
      <c r="J44" s="132"/>
      <c r="K44" s="132"/>
      <c r="L44" s="132"/>
      <c r="M44" s="132"/>
      <c r="N44" s="132"/>
      <c r="O44" s="132"/>
      <c r="P44" s="132"/>
      <c r="Q44" s="132"/>
      <c r="R44" s="132"/>
      <c r="S44" s="132"/>
      <c r="T44" s="132"/>
      <c r="U44" s="132"/>
      <c r="V44" s="132"/>
      <c r="W44" s="132"/>
      <c r="X44" s="132"/>
      <c r="Y44" s="132"/>
      <c r="Z44" s="132"/>
      <c r="AA44" s="132"/>
      <c r="AB44" s="132"/>
      <c r="AC44" s="132"/>
    </row>
    <row r="45" spans="1:29" ht="15" customHeight="1">
      <c r="A45" s="132"/>
      <c r="B45" s="132"/>
      <c r="C45" s="132"/>
      <c r="D45" s="132"/>
      <c r="E45" s="132"/>
      <c r="F45" s="132"/>
      <c r="G45" s="132"/>
      <c r="H45" s="132"/>
      <c r="I45" s="132"/>
      <c r="J45" s="132"/>
      <c r="K45" s="132"/>
      <c r="L45" s="132"/>
      <c r="M45" s="132"/>
      <c r="N45" s="132"/>
      <c r="O45" s="132"/>
      <c r="P45" s="132"/>
      <c r="Q45" s="132"/>
      <c r="R45" s="132"/>
      <c r="S45" s="132"/>
      <c r="T45" s="132"/>
      <c r="U45" s="132"/>
      <c r="V45" s="132"/>
      <c r="W45" s="132"/>
      <c r="X45" s="132"/>
      <c r="Y45" s="132"/>
      <c r="Z45" s="132"/>
      <c r="AA45" s="132"/>
      <c r="AB45" s="132"/>
      <c r="AC45" s="132"/>
    </row>
    <row r="46" spans="1:29" ht="15.75" customHeight="1" thickBot="1">
      <c r="A46" s="231"/>
      <c r="B46" s="231"/>
      <c r="C46" s="231"/>
      <c r="D46" s="231"/>
      <c r="E46" s="232"/>
      <c r="F46" s="232"/>
      <c r="G46" s="231"/>
      <c r="H46" s="231"/>
      <c r="I46" s="231"/>
      <c r="J46" s="231"/>
      <c r="K46" s="231"/>
      <c r="L46" s="231"/>
      <c r="M46" s="231"/>
      <c r="N46" s="231"/>
      <c r="O46" s="231"/>
      <c r="P46" s="231"/>
      <c r="Q46" s="231"/>
      <c r="R46" s="233"/>
      <c r="S46" s="233"/>
      <c r="T46" s="233"/>
      <c r="U46" s="233"/>
      <c r="V46" s="132"/>
      <c r="W46" s="132"/>
      <c r="X46" s="132"/>
      <c r="Y46" s="132"/>
      <c r="Z46" s="132"/>
      <c r="AA46" s="132"/>
      <c r="AB46" s="132"/>
      <c r="AC46" s="132"/>
    </row>
    <row r="47" spans="1:29" ht="15.75" customHeight="1">
      <c r="A47" s="1109" t="s">
        <v>46</v>
      </c>
      <c r="B47" s="1110"/>
      <c r="C47" s="1113" t="s">
        <v>47</v>
      </c>
      <c r="D47" s="1114"/>
      <c r="E47" s="234" t="s">
        <v>48</v>
      </c>
      <c r="F47" s="235"/>
      <c r="G47" s="234" t="s">
        <v>49</v>
      </c>
      <c r="H47" s="235"/>
      <c r="I47" s="236" t="s">
        <v>50</v>
      </c>
      <c r="J47" s="132"/>
      <c r="K47" s="132"/>
      <c r="L47" s="132"/>
      <c r="M47" s="132"/>
      <c r="N47" s="132"/>
      <c r="O47" s="132"/>
      <c r="P47" s="132"/>
      <c r="Q47" s="185"/>
      <c r="R47" s="195"/>
      <c r="S47" s="195"/>
      <c r="T47" s="195"/>
      <c r="U47" s="233"/>
      <c r="V47" s="132"/>
      <c r="W47" s="132"/>
      <c r="X47" s="132"/>
      <c r="Y47" s="132"/>
      <c r="Z47" s="132"/>
      <c r="AA47" s="132"/>
      <c r="AB47" s="132"/>
      <c r="AC47" s="132"/>
    </row>
    <row r="48" spans="1:29" ht="15.75" customHeight="1">
      <c r="A48" s="1111"/>
      <c r="B48" s="1112"/>
      <c r="C48" s="237" t="s">
        <v>51</v>
      </c>
      <c r="D48" s="237" t="s">
        <v>52</v>
      </c>
      <c r="E48" s="238">
        <f>A37</f>
        <v>44669</v>
      </c>
      <c r="F48" s="239" t="s">
        <v>53</v>
      </c>
      <c r="G48" s="240" t="s">
        <v>177</v>
      </c>
      <c r="H48" s="239" t="s">
        <v>53</v>
      </c>
      <c r="I48" s="241">
        <f>A39</f>
        <v>45160</v>
      </c>
      <c r="J48" s="132"/>
      <c r="K48" s="132"/>
      <c r="L48" s="132"/>
      <c r="M48" s="132"/>
      <c r="N48" s="132"/>
      <c r="O48" s="132"/>
      <c r="P48" s="132"/>
      <c r="Q48" s="185"/>
      <c r="R48" s="195"/>
      <c r="S48" s="195"/>
      <c r="T48" s="195"/>
      <c r="U48" s="233"/>
      <c r="V48" s="132"/>
      <c r="W48" s="132"/>
      <c r="X48" s="132"/>
      <c r="Y48" s="132"/>
      <c r="Z48" s="132"/>
      <c r="AA48" s="132"/>
      <c r="AB48" s="132"/>
      <c r="AC48" s="132"/>
    </row>
    <row r="49" spans="1:29" ht="15.75" customHeight="1">
      <c r="A49" s="242"/>
      <c r="B49" s="243" t="s">
        <v>54</v>
      </c>
      <c r="C49" s="244" t="s">
        <v>177</v>
      </c>
      <c r="D49" s="244"/>
      <c r="E49" s="245"/>
      <c r="F49" s="245"/>
      <c r="G49" s="246"/>
      <c r="H49" s="244"/>
      <c r="I49" s="247"/>
      <c r="J49" s="132"/>
      <c r="K49" s="132"/>
      <c r="L49" s="132"/>
      <c r="M49" s="132"/>
      <c r="N49" s="132"/>
      <c r="O49" s="132"/>
      <c r="P49" s="132"/>
      <c r="Q49" s="185"/>
      <c r="R49" s="195"/>
      <c r="S49" s="195"/>
      <c r="T49" s="195"/>
      <c r="U49" s="233"/>
      <c r="V49" s="132"/>
      <c r="W49" s="132"/>
      <c r="X49" s="132"/>
      <c r="Y49" s="132"/>
      <c r="Z49" s="132"/>
      <c r="AA49" s="132"/>
      <c r="AB49" s="132"/>
      <c r="AC49" s="132"/>
    </row>
    <row r="50" spans="1:29" ht="15.75" customHeight="1">
      <c r="A50" s="242"/>
      <c r="B50" s="243" t="s">
        <v>55</v>
      </c>
      <c r="C50" s="244" t="s">
        <v>177</v>
      </c>
      <c r="D50" s="244"/>
      <c r="E50" s="245"/>
      <c r="F50" s="245"/>
      <c r="G50" s="246"/>
      <c r="H50" s="244"/>
      <c r="I50" s="247"/>
      <c r="J50" s="132"/>
      <c r="K50" s="132"/>
      <c r="L50" s="132"/>
      <c r="M50" s="132"/>
      <c r="N50" s="132"/>
      <c r="O50" s="132"/>
      <c r="P50" s="132"/>
      <c r="Q50" s="185"/>
      <c r="R50" s="195"/>
      <c r="S50" s="195"/>
      <c r="T50" s="195"/>
      <c r="U50" s="233"/>
      <c r="V50" s="132"/>
      <c r="W50" s="132"/>
      <c r="X50" s="132"/>
      <c r="Y50" s="132"/>
      <c r="Z50" s="132"/>
      <c r="AA50" s="132"/>
      <c r="AB50" s="132"/>
      <c r="AC50" s="132"/>
    </row>
    <row r="51" spans="1:29" ht="15.75" customHeight="1">
      <c r="A51" s="242"/>
      <c r="B51" s="243" t="s">
        <v>56</v>
      </c>
      <c r="C51" s="244">
        <f>Q38</f>
        <v>7.2800000000000004E-2</v>
      </c>
      <c r="D51" s="244"/>
      <c r="E51" s="245"/>
      <c r="F51" s="245"/>
      <c r="G51" s="246"/>
      <c r="H51" s="244"/>
      <c r="I51" s="247"/>
      <c r="J51" s="132"/>
      <c r="K51" s="132"/>
      <c r="L51" s="132"/>
      <c r="M51" s="132"/>
      <c r="N51" s="132"/>
      <c r="O51" s="132"/>
      <c r="P51" s="132"/>
      <c r="Q51" s="185"/>
      <c r="R51" s="195"/>
      <c r="S51" s="195"/>
      <c r="T51" s="195"/>
      <c r="U51" s="233"/>
      <c r="V51" s="132"/>
      <c r="W51" s="132"/>
      <c r="X51" s="132"/>
      <c r="Y51" s="132"/>
      <c r="Z51" s="132"/>
      <c r="AA51" s="132"/>
      <c r="AB51" s="132"/>
      <c r="AC51" s="132"/>
    </row>
    <row r="52" spans="1:29" ht="15.75" customHeight="1">
      <c r="A52" s="242"/>
      <c r="B52" s="118" t="s">
        <v>57</v>
      </c>
      <c r="C52" s="244">
        <v>0</v>
      </c>
      <c r="D52" s="244"/>
      <c r="E52" s="245"/>
      <c r="F52" s="245"/>
      <c r="G52" s="244"/>
      <c r="H52" s="244"/>
      <c r="I52" s="247"/>
      <c r="J52" s="132"/>
      <c r="K52" s="132"/>
      <c r="L52" s="132"/>
      <c r="M52" s="132"/>
      <c r="N52" s="132"/>
      <c r="O52" s="132"/>
      <c r="P52" s="132"/>
      <c r="Q52" s="185"/>
      <c r="R52" s="195"/>
      <c r="S52" s="195"/>
      <c r="T52" s="195"/>
      <c r="U52" s="233"/>
      <c r="V52" s="132"/>
      <c r="W52" s="132"/>
      <c r="X52" s="132"/>
      <c r="Y52" s="132"/>
      <c r="Z52" s="132"/>
      <c r="AA52" s="132"/>
      <c r="AB52" s="132"/>
      <c r="AC52" s="132"/>
    </row>
    <row r="53" spans="1:29" ht="15.75" customHeight="1">
      <c r="A53" s="242"/>
      <c r="B53" s="118" t="s">
        <v>58</v>
      </c>
      <c r="C53" s="244">
        <v>0</v>
      </c>
      <c r="D53" s="244"/>
      <c r="E53" s="245"/>
      <c r="F53" s="245"/>
      <c r="G53" s="244"/>
      <c r="H53" s="244"/>
      <c r="I53" s="247"/>
      <c r="J53" s="132"/>
      <c r="K53" s="132"/>
      <c r="L53" s="132"/>
      <c r="M53" s="132"/>
      <c r="N53" s="132"/>
      <c r="O53" s="132"/>
      <c r="P53" s="132"/>
      <c r="Q53" s="185"/>
      <c r="R53" s="195"/>
      <c r="S53" s="195"/>
      <c r="T53" s="195"/>
      <c r="U53" s="233"/>
      <c r="V53" s="132"/>
      <c r="W53" s="132"/>
      <c r="X53" s="132"/>
      <c r="Y53" s="132"/>
      <c r="Z53" s="132"/>
      <c r="AA53" s="132"/>
      <c r="AB53" s="132"/>
      <c r="AC53" s="132"/>
    </row>
    <row r="54" spans="1:29" ht="15.75" customHeight="1" thickBot="1">
      <c r="A54" s="295"/>
      <c r="B54" s="119" t="s">
        <v>59</v>
      </c>
      <c r="C54" s="296">
        <v>0</v>
      </c>
      <c r="D54" s="296"/>
      <c r="E54" s="297"/>
      <c r="F54" s="297"/>
      <c r="G54" s="298"/>
      <c r="H54" s="298"/>
      <c r="I54" s="299"/>
      <c r="J54" s="132"/>
      <c r="K54" s="132"/>
      <c r="L54" s="132"/>
      <c r="M54" s="132"/>
      <c r="N54" s="132"/>
      <c r="O54" s="132"/>
      <c r="P54" s="132"/>
      <c r="Q54" s="185"/>
      <c r="R54" s="195"/>
      <c r="S54" s="195"/>
      <c r="T54" s="195"/>
      <c r="U54" s="233"/>
      <c r="V54" s="132"/>
      <c r="W54" s="132"/>
      <c r="X54" s="132"/>
      <c r="Y54" s="132"/>
      <c r="Z54" s="132"/>
      <c r="AA54" s="132"/>
      <c r="AB54" s="132"/>
      <c r="AC54" s="132"/>
    </row>
    <row r="55" spans="1:29" ht="15.75" customHeight="1">
      <c r="A55" s="233"/>
      <c r="B55" s="233"/>
      <c r="C55" s="233"/>
      <c r="D55" s="233"/>
      <c r="E55" s="233"/>
      <c r="F55" s="233"/>
      <c r="G55" s="233"/>
      <c r="H55" s="233"/>
      <c r="I55" s="233"/>
      <c r="J55" s="233"/>
      <c r="K55" s="233"/>
      <c r="L55" s="233"/>
      <c r="M55" s="233"/>
      <c r="N55" s="233"/>
      <c r="O55" s="233"/>
      <c r="P55" s="233"/>
      <c r="Q55" s="195"/>
      <c r="R55" s="195"/>
      <c r="S55" s="195"/>
      <c r="T55" s="195"/>
      <c r="U55" s="233"/>
      <c r="V55" s="132"/>
      <c r="W55" s="132"/>
      <c r="X55" s="132"/>
      <c r="Y55" s="132"/>
      <c r="Z55" s="132"/>
      <c r="AA55" s="132"/>
      <c r="AB55" s="132"/>
      <c r="AC55" s="132"/>
    </row>
    <row r="56" spans="1:29" ht="15.75" customHeight="1">
      <c r="A56" s="132"/>
      <c r="B56" s="132"/>
      <c r="C56" s="132"/>
      <c r="D56" s="132"/>
      <c r="E56" s="132"/>
      <c r="F56" s="132"/>
      <c r="G56" s="132"/>
      <c r="H56" s="132"/>
      <c r="I56" s="132"/>
      <c r="J56" s="132"/>
      <c r="K56" s="132"/>
      <c r="L56" s="132"/>
      <c r="M56" s="132"/>
      <c r="N56" s="132"/>
      <c r="O56" s="132"/>
      <c r="P56" s="132"/>
      <c r="Q56" s="132"/>
      <c r="R56" s="132"/>
      <c r="S56" s="132"/>
      <c r="T56" s="132"/>
      <c r="U56" s="132"/>
      <c r="V56" s="132"/>
      <c r="W56" s="132"/>
      <c r="X56" s="132"/>
      <c r="Y56" s="132"/>
      <c r="Z56" s="132"/>
      <c r="AA56" s="132"/>
      <c r="AB56" s="132"/>
      <c r="AC56" s="132"/>
    </row>
    <row r="57" spans="1:29" ht="15.75" customHeight="1">
      <c r="A57" s="132"/>
      <c r="B57" s="132"/>
      <c r="C57" s="132"/>
      <c r="D57" s="132"/>
      <c r="E57" s="132"/>
      <c r="F57" s="132"/>
      <c r="G57" s="132"/>
      <c r="H57" s="132"/>
      <c r="I57" s="132"/>
      <c r="J57" s="132"/>
      <c r="K57" s="132"/>
      <c r="L57" s="132"/>
      <c r="M57" s="132"/>
      <c r="N57" s="132"/>
      <c r="O57" s="132"/>
      <c r="P57" s="132"/>
      <c r="Q57" s="132"/>
      <c r="R57" s="132"/>
      <c r="S57" s="132"/>
      <c r="T57" s="132"/>
      <c r="U57" s="132"/>
      <c r="V57" s="132"/>
      <c r="W57" s="132"/>
      <c r="X57" s="132"/>
      <c r="Y57" s="132"/>
      <c r="Z57" s="132"/>
      <c r="AA57" s="132"/>
      <c r="AB57" s="132"/>
      <c r="AC57" s="132"/>
    </row>
  </sheetData>
  <mergeCells count="6">
    <mergeCell ref="T1:V1"/>
    <mergeCell ref="T2:U2"/>
    <mergeCell ref="E3:G3"/>
    <mergeCell ref="T3:U3"/>
    <mergeCell ref="A47:B48"/>
    <mergeCell ref="C47:D47"/>
  </mergeCell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7E82B-A59A-42FA-A9EE-AA1D0D9140D2}">
  <dimension ref="A1:AH33"/>
  <sheetViews>
    <sheetView zoomScale="90" zoomScaleNormal="90" workbookViewId="0">
      <selection activeCell="I27" sqref="I27"/>
    </sheetView>
  </sheetViews>
  <sheetFormatPr defaultColWidth="17.28515625" defaultRowHeight="15.75" customHeight="1"/>
  <cols>
    <col min="1" max="1" width="12.42578125" style="800" customWidth="1"/>
    <col min="2" max="2" width="27.28515625" style="800" customWidth="1"/>
    <col min="3" max="3" width="11.28515625" style="800" bestFit="1" customWidth="1"/>
    <col min="4" max="4" width="20" style="800" bestFit="1" customWidth="1"/>
    <col min="5" max="5" width="10.5703125" style="800" bestFit="1" customWidth="1"/>
    <col min="6" max="7" width="13.7109375" style="800" bestFit="1" customWidth="1"/>
    <col min="8" max="8" width="14.42578125" style="800" bestFit="1" customWidth="1"/>
    <col min="9" max="9" width="17.28515625" style="800" bestFit="1" customWidth="1"/>
    <col min="10" max="10" width="19.5703125" style="800" bestFit="1" customWidth="1"/>
    <col min="11" max="11" width="16.42578125" style="800" bestFit="1" customWidth="1"/>
    <col min="12" max="12" width="18" style="800" customWidth="1"/>
    <col min="13" max="13" width="22.140625" style="800" customWidth="1"/>
    <col min="14" max="14" width="11.5703125" style="800" bestFit="1" customWidth="1"/>
    <col min="15" max="15" width="11.28515625" style="800" bestFit="1" customWidth="1"/>
    <col min="16" max="17" width="7.85546875" style="800" bestFit="1" customWidth="1"/>
    <col min="18" max="18" width="14.7109375" style="800" bestFit="1" customWidth="1"/>
    <col min="19" max="19" width="20.7109375" style="800" bestFit="1" customWidth="1"/>
    <col min="20" max="20" width="21" style="800" bestFit="1" customWidth="1"/>
    <col min="21" max="21" width="8.7109375" style="800" bestFit="1" customWidth="1"/>
    <col min="22" max="16384" width="17.28515625" style="800"/>
  </cols>
  <sheetData>
    <row r="1" spans="1:23" ht="15" customHeight="1">
      <c r="A1" s="785"/>
      <c r="B1" s="786"/>
      <c r="C1" s="787"/>
      <c r="D1" s="788"/>
      <c r="E1" s="789"/>
      <c r="F1" s="790"/>
      <c r="G1" s="791"/>
      <c r="H1" s="792"/>
      <c r="I1" s="791"/>
      <c r="J1" s="793"/>
      <c r="K1" s="790"/>
      <c r="L1" s="794"/>
      <c r="M1" s="795"/>
      <c r="N1" s="791"/>
      <c r="O1" s="796"/>
      <c r="P1" s="797"/>
      <c r="Q1" s="797"/>
      <c r="R1" s="797"/>
      <c r="S1" s="798"/>
      <c r="T1" s="1115" t="s">
        <v>11</v>
      </c>
      <c r="U1" s="1115"/>
      <c r="V1" s="1116"/>
      <c r="W1" s="799"/>
    </row>
    <row r="2" spans="1:23" ht="15" customHeight="1">
      <c r="A2" s="801"/>
      <c r="B2" s="802"/>
      <c r="C2" s="803"/>
      <c r="D2" s="804"/>
      <c r="E2" s="805"/>
      <c r="F2" s="806"/>
      <c r="G2" s="807"/>
      <c r="H2" s="808"/>
      <c r="I2" s="807"/>
      <c r="J2" s="809"/>
      <c r="K2" s="810"/>
      <c r="L2" s="811"/>
      <c r="M2" s="812"/>
      <c r="N2" s="809"/>
      <c r="O2" s="813"/>
      <c r="S2" s="814"/>
      <c r="T2" s="1117" t="s">
        <v>12</v>
      </c>
      <c r="U2" s="1117"/>
      <c r="V2" s="815"/>
      <c r="W2" s="816"/>
    </row>
    <row r="3" spans="1:23" ht="15" customHeight="1">
      <c r="A3" s="801"/>
      <c r="B3" s="802"/>
      <c r="C3" s="803"/>
      <c r="D3" s="817"/>
      <c r="E3" s="1118" t="s">
        <v>13</v>
      </c>
      <c r="F3" s="1119"/>
      <c r="G3" s="1120"/>
      <c r="H3" s="818"/>
      <c r="I3" s="806"/>
      <c r="J3" s="809"/>
      <c r="K3" s="806"/>
      <c r="L3" s="819"/>
      <c r="M3" s="820"/>
      <c r="N3" s="809"/>
      <c r="O3" s="821"/>
      <c r="P3" s="809"/>
      <c r="Q3" s="809"/>
      <c r="R3" s="822"/>
      <c r="S3" s="823"/>
      <c r="T3" s="1121" t="s">
        <v>14</v>
      </c>
      <c r="U3" s="1121"/>
      <c r="V3" s="815"/>
      <c r="W3" s="824"/>
    </row>
    <row r="4" spans="1:23" s="838" customFormat="1" ht="38.25">
      <c r="A4" s="825" t="s">
        <v>15</v>
      </c>
      <c r="B4" s="826" t="s">
        <v>16</v>
      </c>
      <c r="C4" s="827" t="s">
        <v>17</v>
      </c>
      <c r="D4" s="828" t="s">
        <v>18</v>
      </c>
      <c r="E4" s="829" t="s">
        <v>19</v>
      </c>
      <c r="F4" s="826" t="s">
        <v>20</v>
      </c>
      <c r="G4" s="830" t="s">
        <v>21</v>
      </c>
      <c r="H4" s="831" t="s">
        <v>22</v>
      </c>
      <c r="I4" s="830" t="s">
        <v>23</v>
      </c>
      <c r="J4" s="830" t="s">
        <v>24</v>
      </c>
      <c r="K4" s="826" t="s">
        <v>25</v>
      </c>
      <c r="L4" s="832" t="s">
        <v>26</v>
      </c>
      <c r="M4" s="832" t="s">
        <v>27</v>
      </c>
      <c r="N4" s="830" t="s">
        <v>28</v>
      </c>
      <c r="O4" s="833" t="s">
        <v>29</v>
      </c>
      <c r="P4" s="830" t="s">
        <v>30</v>
      </c>
      <c r="Q4" s="830" t="s">
        <v>31</v>
      </c>
      <c r="R4" s="834" t="s">
        <v>3</v>
      </c>
      <c r="S4" s="835" t="s">
        <v>4</v>
      </c>
      <c r="T4" s="836" t="s">
        <v>32</v>
      </c>
      <c r="U4" s="836" t="s">
        <v>33</v>
      </c>
      <c r="V4" s="837" t="s">
        <v>0</v>
      </c>
      <c r="W4" s="827" t="s">
        <v>34</v>
      </c>
    </row>
    <row r="5" spans="1:23" ht="15.75" customHeight="1" thickBot="1">
      <c r="A5" s="839" t="s">
        <v>35</v>
      </c>
      <c r="B5" s="840"/>
      <c r="C5" s="841"/>
      <c r="D5" s="842"/>
      <c r="E5" s="843" t="s">
        <v>36</v>
      </c>
      <c r="F5" s="843" t="s">
        <v>36</v>
      </c>
      <c r="G5" s="843" t="s">
        <v>36</v>
      </c>
      <c r="H5" s="843" t="s">
        <v>36</v>
      </c>
      <c r="I5" s="843" t="s">
        <v>36</v>
      </c>
      <c r="J5" s="843" t="s">
        <v>36</v>
      </c>
      <c r="K5" s="844" t="s">
        <v>37</v>
      </c>
      <c r="L5" s="845" t="s">
        <v>36</v>
      </c>
      <c r="M5" s="846" t="s">
        <v>36</v>
      </c>
      <c r="N5" s="846" t="s">
        <v>37</v>
      </c>
      <c r="O5" s="847" t="s">
        <v>38</v>
      </c>
      <c r="P5" s="848" t="s">
        <v>38</v>
      </c>
      <c r="Q5" s="848" t="s">
        <v>38</v>
      </c>
      <c r="R5" s="849" t="s">
        <v>38</v>
      </c>
      <c r="S5" s="850" t="s">
        <v>38</v>
      </c>
      <c r="T5" s="851" t="s">
        <v>36</v>
      </c>
      <c r="U5" s="851" t="s">
        <v>36</v>
      </c>
      <c r="V5" s="852" t="s">
        <v>36</v>
      </c>
      <c r="W5" s="853"/>
    </row>
    <row r="6" spans="1:23" ht="15" customHeight="1">
      <c r="A6" s="854">
        <v>44670</v>
      </c>
      <c r="B6" s="855" t="s">
        <v>106</v>
      </c>
      <c r="C6" s="856" t="s">
        <v>175</v>
      </c>
      <c r="D6" s="857" t="s">
        <v>40</v>
      </c>
      <c r="E6" s="858">
        <v>9.7899999999999991</v>
      </c>
      <c r="F6" s="859">
        <v>0.75</v>
      </c>
      <c r="G6" s="859">
        <f>E6-F6</f>
        <v>9.0399999999999991</v>
      </c>
      <c r="H6" s="860"/>
      <c r="I6" s="859" t="s">
        <v>176</v>
      </c>
      <c r="J6" s="859"/>
      <c r="K6" s="859">
        <v>0.26</v>
      </c>
      <c r="L6" s="949">
        <v>4.9000000000000004</v>
      </c>
      <c r="M6" s="859"/>
      <c r="N6" s="859"/>
      <c r="O6" s="862"/>
      <c r="P6" s="859">
        <f>L6*K6</f>
        <v>1.2740000000000002</v>
      </c>
      <c r="Q6" s="859"/>
      <c r="R6" s="859"/>
      <c r="S6" s="863"/>
      <c r="T6" s="862"/>
      <c r="U6" s="859"/>
      <c r="V6" s="864"/>
      <c r="W6" s="865"/>
    </row>
    <row r="7" spans="1:23" ht="15" customHeight="1">
      <c r="A7" s="854">
        <v>44795</v>
      </c>
      <c r="B7" s="855" t="s">
        <v>172</v>
      </c>
      <c r="C7" s="856" t="s">
        <v>175</v>
      </c>
      <c r="D7" s="857" t="s">
        <v>63</v>
      </c>
      <c r="E7" s="858">
        <v>9.7899999999999991</v>
      </c>
      <c r="F7" s="859">
        <v>2.15</v>
      </c>
      <c r="G7" s="859">
        <f t="shared" ref="G7:G18" si="0">E7-F7</f>
        <v>7.6399999999999988</v>
      </c>
      <c r="H7" s="860"/>
      <c r="I7" s="859"/>
      <c r="J7" s="859">
        <v>1.1599999999999999</v>
      </c>
      <c r="K7" s="859">
        <v>0.65</v>
      </c>
      <c r="L7" s="861">
        <v>6.42</v>
      </c>
      <c r="M7" s="859"/>
      <c r="N7" s="859"/>
      <c r="O7" s="862"/>
      <c r="P7" s="859"/>
      <c r="Q7" s="859"/>
      <c r="R7" s="859"/>
      <c r="S7" s="964">
        <f>J7*K7</f>
        <v>0.754</v>
      </c>
      <c r="T7" s="862"/>
      <c r="U7" s="859"/>
      <c r="V7" s="864"/>
      <c r="W7" s="865"/>
    </row>
    <row r="8" spans="1:23" ht="15" customHeight="1">
      <c r="A8" s="866">
        <v>44795</v>
      </c>
      <c r="B8" s="867" t="s">
        <v>172</v>
      </c>
      <c r="C8" s="868" t="s">
        <v>175</v>
      </c>
      <c r="D8" s="869" t="s">
        <v>181</v>
      </c>
      <c r="E8" s="870">
        <v>10.9</v>
      </c>
      <c r="F8" s="871">
        <f>E8-G8</f>
        <v>4.4200000000000017</v>
      </c>
      <c r="G8" s="859">
        <f>G7-J7</f>
        <v>6.4799999999999986</v>
      </c>
      <c r="H8" s="860"/>
      <c r="I8" s="867"/>
      <c r="J8" s="872">
        <v>1.5</v>
      </c>
      <c r="K8" s="871">
        <v>0.79</v>
      </c>
      <c r="L8" s="870"/>
      <c r="M8" s="871"/>
      <c r="N8" s="867"/>
      <c r="O8" s="963">
        <f>Q8-P6</f>
        <v>-8.900000000000019E-2</v>
      </c>
      <c r="P8" s="859"/>
      <c r="Q8" s="871">
        <f>J8*K8</f>
        <v>1.1850000000000001</v>
      </c>
      <c r="R8" s="871"/>
      <c r="S8" s="867"/>
      <c r="T8" s="874"/>
      <c r="U8" s="875"/>
      <c r="V8" s="864"/>
      <c r="W8" s="876"/>
    </row>
    <row r="9" spans="1:23" ht="15" customHeight="1">
      <c r="A9" s="866">
        <v>45161</v>
      </c>
      <c r="B9" s="867" t="s">
        <v>214</v>
      </c>
      <c r="C9" s="868" t="s">
        <v>175</v>
      </c>
      <c r="D9" s="869" t="s">
        <v>77</v>
      </c>
      <c r="E9" s="870">
        <v>10.9</v>
      </c>
      <c r="F9" s="871">
        <f>E9-G9</f>
        <v>0.98000000000000043</v>
      </c>
      <c r="G9" s="859">
        <v>9.92</v>
      </c>
      <c r="H9" s="860">
        <f>G9-G8</f>
        <v>3.4400000000000013</v>
      </c>
      <c r="I9" s="872">
        <f>H9</f>
        <v>3.4400000000000013</v>
      </c>
      <c r="J9" s="872"/>
      <c r="K9" s="871">
        <v>0.56999999999999995</v>
      </c>
      <c r="L9" s="870"/>
      <c r="M9" s="871"/>
      <c r="N9" s="867"/>
      <c r="O9" s="963"/>
      <c r="P9" s="859"/>
      <c r="Q9" s="871">
        <f>K9*I9</f>
        <v>1.9608000000000005</v>
      </c>
      <c r="R9" s="871"/>
      <c r="S9" s="867"/>
      <c r="T9" s="874"/>
      <c r="U9" s="875"/>
      <c r="V9" s="864"/>
      <c r="W9" s="876"/>
    </row>
    <row r="10" spans="1:23" ht="15" customHeight="1">
      <c r="A10" s="866">
        <v>45161</v>
      </c>
      <c r="B10" s="867" t="s">
        <v>214</v>
      </c>
      <c r="C10" s="868" t="s">
        <v>175</v>
      </c>
      <c r="D10" s="869" t="s">
        <v>77</v>
      </c>
      <c r="E10" s="870">
        <v>14.65</v>
      </c>
      <c r="F10" s="871">
        <f>E10-G10</f>
        <v>4.7300000000000004</v>
      </c>
      <c r="G10" s="859">
        <f>G9</f>
        <v>9.92</v>
      </c>
      <c r="H10" s="860"/>
      <c r="I10" s="867"/>
      <c r="J10" s="872"/>
      <c r="K10" s="871"/>
      <c r="L10" s="870"/>
      <c r="M10" s="871"/>
      <c r="N10" s="867"/>
      <c r="O10" s="963"/>
      <c r="P10" s="859"/>
      <c r="Q10" s="871"/>
      <c r="R10" s="871"/>
      <c r="S10" s="867"/>
      <c r="T10" s="874"/>
      <c r="U10" s="875"/>
      <c r="V10" s="864"/>
      <c r="W10" s="876"/>
    </row>
    <row r="11" spans="1:23" ht="15.75" customHeight="1">
      <c r="A11" s="877"/>
      <c r="B11" s="863"/>
      <c r="C11" s="878"/>
      <c r="D11" s="879"/>
      <c r="E11" s="880"/>
      <c r="F11" s="863"/>
      <c r="G11" s="859">
        <f t="shared" si="0"/>
        <v>0</v>
      </c>
      <c r="H11" s="860"/>
      <c r="I11" s="867"/>
      <c r="J11" s="867"/>
      <c r="K11" s="867"/>
      <c r="L11" s="870"/>
      <c r="M11" s="871"/>
      <c r="N11" s="867"/>
      <c r="O11" s="873"/>
      <c r="P11" s="859"/>
      <c r="Q11" s="867"/>
      <c r="R11" s="871"/>
      <c r="S11" s="867"/>
      <c r="T11" s="874"/>
      <c r="U11" s="875"/>
      <c r="V11" s="864"/>
      <c r="W11" s="876"/>
    </row>
    <row r="12" spans="1:23" ht="15" customHeight="1">
      <c r="A12" s="881"/>
      <c r="B12" s="882"/>
      <c r="C12" s="883"/>
      <c r="D12" s="884"/>
      <c r="E12" s="885"/>
      <c r="F12" s="882"/>
      <c r="G12" s="882"/>
      <c r="H12" s="886"/>
      <c r="I12" s="887"/>
      <c r="J12" s="888"/>
      <c r="K12" s="888"/>
      <c r="L12" s="889"/>
      <c r="M12" s="888"/>
      <c r="N12" s="888"/>
      <c r="O12" s="890"/>
      <c r="P12" s="888"/>
      <c r="Q12" s="887"/>
      <c r="R12" s="888"/>
      <c r="S12" s="887"/>
      <c r="T12" s="891"/>
      <c r="U12" s="892"/>
      <c r="V12" s="893"/>
      <c r="W12" s="894"/>
    </row>
    <row r="13" spans="1:23" ht="15" customHeight="1">
      <c r="A13" s="895"/>
      <c r="B13" s="896"/>
      <c r="C13" s="897"/>
      <c r="D13" s="898"/>
      <c r="E13" s="899"/>
      <c r="F13" s="900"/>
      <c r="G13" s="900">
        <f t="shared" si="0"/>
        <v>0</v>
      </c>
      <c r="H13" s="901"/>
      <c r="I13" s="900"/>
      <c r="J13" s="900"/>
      <c r="K13" s="900"/>
      <c r="L13" s="902"/>
      <c r="M13" s="900"/>
      <c r="N13" s="900"/>
      <c r="O13" s="903">
        <f t="shared" ref="O13:O18" si="1">Q13-P13</f>
        <v>0</v>
      </c>
      <c r="P13" s="900">
        <f t="shared" ref="P13:P18" si="2">J13*K13</f>
        <v>0</v>
      </c>
      <c r="Q13" s="900"/>
      <c r="R13" s="900"/>
      <c r="S13" s="904"/>
      <c r="T13" s="903"/>
      <c r="U13" s="900"/>
      <c r="V13" s="905"/>
      <c r="W13" s="906"/>
    </row>
    <row r="14" spans="1:23" ht="15" customHeight="1">
      <c r="A14" s="895"/>
      <c r="B14" s="896"/>
      <c r="C14" s="897"/>
      <c r="D14" s="898"/>
      <c r="E14" s="899"/>
      <c r="F14" s="900"/>
      <c r="G14" s="900">
        <f t="shared" si="0"/>
        <v>0</v>
      </c>
      <c r="H14" s="901">
        <f t="shared" ref="H14:H16" si="3">G14-G13</f>
        <v>0</v>
      </c>
      <c r="I14" s="900"/>
      <c r="J14" s="900"/>
      <c r="K14" s="900"/>
      <c r="L14" s="902"/>
      <c r="M14" s="900"/>
      <c r="N14" s="900"/>
      <c r="O14" s="903">
        <f t="shared" si="1"/>
        <v>0</v>
      </c>
      <c r="P14" s="900">
        <f t="shared" si="2"/>
        <v>0</v>
      </c>
      <c r="Q14" s="900"/>
      <c r="R14" s="900"/>
      <c r="S14" s="904"/>
      <c r="T14" s="903"/>
      <c r="U14" s="900"/>
      <c r="V14" s="905"/>
      <c r="W14" s="906"/>
    </row>
    <row r="15" spans="1:23" ht="15" customHeight="1">
      <c r="A15" s="895"/>
      <c r="B15" s="896"/>
      <c r="C15" s="897"/>
      <c r="D15" s="898"/>
      <c r="E15" s="899"/>
      <c r="F15" s="900"/>
      <c r="G15" s="900">
        <f t="shared" si="0"/>
        <v>0</v>
      </c>
      <c r="H15" s="901">
        <f t="shared" si="3"/>
        <v>0</v>
      </c>
      <c r="I15" s="900"/>
      <c r="J15" s="900"/>
      <c r="K15" s="900"/>
      <c r="L15" s="902"/>
      <c r="M15" s="900"/>
      <c r="N15" s="900"/>
      <c r="O15" s="903">
        <f t="shared" si="1"/>
        <v>0</v>
      </c>
      <c r="P15" s="900">
        <f t="shared" si="2"/>
        <v>0</v>
      </c>
      <c r="Q15" s="900"/>
      <c r="R15" s="900"/>
      <c r="S15" s="904"/>
      <c r="T15" s="903"/>
      <c r="U15" s="900"/>
      <c r="V15" s="905"/>
      <c r="W15" s="906"/>
    </row>
    <row r="16" spans="1:23" ht="15" customHeight="1">
      <c r="A16" s="907"/>
      <c r="B16" s="908"/>
      <c r="C16" s="909"/>
      <c r="D16" s="910"/>
      <c r="E16" s="911"/>
      <c r="F16" s="912"/>
      <c r="G16" s="912">
        <f t="shared" si="0"/>
        <v>0</v>
      </c>
      <c r="H16" s="901">
        <f t="shared" si="3"/>
        <v>0</v>
      </c>
      <c r="I16" s="900"/>
      <c r="J16" s="900"/>
      <c r="K16" s="900"/>
      <c r="L16" s="902"/>
      <c r="M16" s="900"/>
      <c r="N16" s="900"/>
      <c r="O16" s="903">
        <f t="shared" si="1"/>
        <v>0</v>
      </c>
      <c r="P16" s="900">
        <f t="shared" si="2"/>
        <v>0</v>
      </c>
      <c r="Q16" s="900"/>
      <c r="R16" s="900"/>
      <c r="S16" s="904"/>
      <c r="T16" s="903"/>
      <c r="U16" s="900"/>
      <c r="V16" s="905"/>
      <c r="W16" s="906"/>
    </row>
    <row r="17" spans="1:34" ht="15" customHeight="1">
      <c r="A17" s="913"/>
      <c r="B17" s="914"/>
      <c r="C17" s="915"/>
      <c r="D17" s="916"/>
      <c r="E17" s="917"/>
      <c r="F17" s="918"/>
      <c r="G17" s="918"/>
      <c r="H17" s="919"/>
      <c r="I17" s="918"/>
      <c r="J17" s="918"/>
      <c r="K17" s="918"/>
      <c r="L17" s="920"/>
      <c r="M17" s="918"/>
      <c r="N17" s="918"/>
      <c r="O17" s="921"/>
      <c r="P17" s="918"/>
      <c r="Q17" s="918"/>
      <c r="R17" s="918"/>
      <c r="S17" s="922"/>
      <c r="T17" s="921"/>
      <c r="U17" s="918"/>
      <c r="V17" s="893"/>
      <c r="W17" s="923"/>
    </row>
    <row r="18" spans="1:34" ht="15" customHeight="1">
      <c r="A18" s="1056"/>
      <c r="B18" s="1057"/>
      <c r="C18" s="1058"/>
      <c r="D18" s="1059"/>
      <c r="E18" s="1060"/>
      <c r="F18" s="1061"/>
      <c r="G18" s="1061">
        <f t="shared" si="0"/>
        <v>0</v>
      </c>
      <c r="H18" s="1062"/>
      <c r="I18" s="1063"/>
      <c r="J18" s="1064"/>
      <c r="K18" s="1064"/>
      <c r="L18" s="1065"/>
      <c r="M18" s="1064"/>
      <c r="N18" s="1066"/>
      <c r="O18" s="1067">
        <f t="shared" si="1"/>
        <v>0</v>
      </c>
      <c r="P18" s="1064">
        <f t="shared" si="2"/>
        <v>0</v>
      </c>
      <c r="Q18" s="1066"/>
      <c r="R18" s="1066"/>
      <c r="S18" s="1066"/>
      <c r="T18" s="1068"/>
      <c r="U18" s="1069"/>
      <c r="V18" s="1070"/>
      <c r="W18" s="1071"/>
    </row>
    <row r="19" spans="1:34" ht="15" customHeight="1">
      <c r="A19" s="1072"/>
      <c r="B19" s="1072"/>
      <c r="C19" s="1072"/>
      <c r="D19" s="1072"/>
      <c r="E19" s="1072"/>
      <c r="F19" s="1072"/>
      <c r="G19" s="1072"/>
      <c r="H19" s="1072"/>
      <c r="I19" s="1072"/>
      <c r="J19" s="1072"/>
      <c r="K19" s="1072"/>
      <c r="L19" s="1072"/>
      <c r="M19" s="1072"/>
      <c r="N19" s="1072"/>
      <c r="O19" s="1072"/>
      <c r="P19" s="1072"/>
      <c r="Q19" s="1072"/>
      <c r="R19" s="1072"/>
      <c r="S19" s="1072"/>
      <c r="T19" s="1072"/>
      <c r="U19" s="1072"/>
      <c r="V19" s="1072"/>
      <c r="W19" s="1072"/>
      <c r="X19" s="1072"/>
      <c r="Y19" s="1072"/>
      <c r="Z19" s="1072"/>
      <c r="AA19" s="1072"/>
      <c r="AB19" s="1072"/>
      <c r="AC19" s="1072"/>
      <c r="AD19" s="1072"/>
      <c r="AE19" s="1072"/>
      <c r="AF19" s="1072"/>
      <c r="AG19" s="1072"/>
      <c r="AH19" s="1072"/>
    </row>
    <row r="20" spans="1:34" ht="15" customHeight="1">
      <c r="A20" s="1072"/>
      <c r="B20" s="1072"/>
      <c r="C20" s="1072"/>
      <c r="D20" s="1072"/>
      <c r="E20" s="1072"/>
      <c r="F20" s="1072"/>
      <c r="G20" s="1072"/>
      <c r="H20" s="1072"/>
      <c r="I20" s="1072"/>
      <c r="J20" s="1072"/>
      <c r="K20" s="1072"/>
      <c r="L20" s="1072"/>
      <c r="M20" s="1072"/>
      <c r="N20" s="1072"/>
      <c r="O20" s="1072"/>
      <c r="P20" s="1072"/>
      <c r="Q20" s="1072"/>
      <c r="R20" s="1072"/>
      <c r="S20" s="1072"/>
      <c r="T20" s="1072"/>
      <c r="U20" s="1072"/>
      <c r="V20" s="1072"/>
      <c r="W20" s="1072"/>
      <c r="X20" s="1072"/>
      <c r="Y20" s="1072"/>
      <c r="Z20" s="1072"/>
      <c r="AA20" s="1072"/>
      <c r="AB20" s="1072"/>
      <c r="AC20" s="1072"/>
      <c r="AD20" s="1072"/>
      <c r="AE20" s="1072"/>
      <c r="AF20" s="1072"/>
      <c r="AG20" s="1072"/>
      <c r="AH20" s="1072"/>
    </row>
    <row r="21" spans="1:34" ht="15" customHeight="1">
      <c r="A21" s="1072"/>
      <c r="B21" s="1072"/>
      <c r="C21" s="1072"/>
      <c r="D21" s="1072"/>
      <c r="E21" s="1072"/>
      <c r="F21" s="1072"/>
      <c r="G21" s="1072"/>
      <c r="H21" s="1072"/>
      <c r="I21" s="1072"/>
      <c r="J21" s="1072"/>
      <c r="K21" s="1072"/>
      <c r="L21" s="1072"/>
      <c r="M21" s="1072"/>
      <c r="N21" s="1072"/>
      <c r="O21" s="1072"/>
      <c r="P21" s="1072"/>
      <c r="Q21" s="1072"/>
      <c r="R21" s="1072"/>
      <c r="S21" s="1072"/>
      <c r="T21" s="1072"/>
      <c r="U21" s="1072"/>
      <c r="V21" s="1072"/>
      <c r="W21" s="1072"/>
      <c r="X21" s="1072"/>
      <c r="Y21" s="1072"/>
      <c r="Z21" s="1072"/>
      <c r="AA21" s="1072"/>
      <c r="AB21" s="1072"/>
      <c r="AC21" s="1072"/>
      <c r="AD21" s="1072"/>
      <c r="AE21" s="1072"/>
      <c r="AF21" s="1072"/>
      <c r="AG21" s="1072"/>
      <c r="AH21" s="1072"/>
    </row>
    <row r="22" spans="1:34" ht="15" customHeight="1">
      <c r="A22" s="1072"/>
      <c r="B22" s="1072"/>
      <c r="C22" s="1072"/>
      <c r="D22" s="1072"/>
      <c r="E22" s="1072"/>
      <c r="F22" s="1072"/>
      <c r="G22" s="1072"/>
      <c r="H22" s="1072"/>
      <c r="I22" s="1072"/>
      <c r="J22" s="1072"/>
      <c r="K22" s="1072"/>
      <c r="L22" s="1072"/>
      <c r="M22" s="1072"/>
      <c r="N22" s="1072"/>
      <c r="O22" s="1072"/>
      <c r="P22" s="1072"/>
      <c r="Q22" s="1072"/>
      <c r="R22" s="1072"/>
      <c r="S22" s="1072"/>
      <c r="T22" s="1072"/>
      <c r="U22" s="1072"/>
      <c r="V22" s="1072"/>
      <c r="W22" s="1072"/>
      <c r="X22" s="1072"/>
      <c r="Y22" s="1072"/>
      <c r="Z22" s="1072"/>
      <c r="AA22" s="1072"/>
      <c r="AB22" s="1072"/>
      <c r="AC22" s="1072"/>
      <c r="AD22" s="1072"/>
      <c r="AE22" s="1072"/>
      <c r="AF22" s="1072"/>
      <c r="AG22" s="1072"/>
      <c r="AH22" s="1072"/>
    </row>
    <row r="23" spans="1:34" ht="15" customHeight="1">
      <c r="A23" s="1072"/>
      <c r="B23" s="1072"/>
      <c r="C23" s="1072"/>
      <c r="D23" s="1072"/>
      <c r="E23" s="1072"/>
      <c r="F23" s="1072"/>
      <c r="G23" s="1072"/>
      <c r="H23" s="1072"/>
      <c r="I23" s="1072"/>
      <c r="J23" s="1072"/>
      <c r="K23" s="1072"/>
      <c r="L23" s="1072"/>
      <c r="M23" s="1072"/>
      <c r="N23" s="1072"/>
      <c r="O23" s="1072"/>
      <c r="P23" s="1072"/>
      <c r="Q23" s="1072"/>
      <c r="R23" s="1072"/>
      <c r="S23" s="1072"/>
      <c r="T23" s="1072"/>
      <c r="U23" s="1072"/>
      <c r="V23" s="1072"/>
      <c r="W23" s="1072"/>
      <c r="X23" s="1072"/>
      <c r="Y23" s="1072"/>
      <c r="Z23" s="1072"/>
      <c r="AA23" s="1072"/>
      <c r="AB23" s="1072"/>
      <c r="AC23" s="1072"/>
      <c r="AD23" s="1072"/>
      <c r="AE23" s="1072"/>
      <c r="AF23" s="1072"/>
      <c r="AG23" s="1072"/>
      <c r="AH23" s="1072"/>
    </row>
    <row r="24" spans="1:34" ht="15.75" customHeight="1" thickBot="1">
      <c r="A24" s="924"/>
      <c r="B24" s="924"/>
      <c r="C24" s="924"/>
      <c r="D24" s="924"/>
      <c r="E24" s="925"/>
      <c r="F24" s="925"/>
      <c r="G24" s="924"/>
      <c r="H24" s="924"/>
      <c r="I24" s="924"/>
      <c r="J24" s="924"/>
      <c r="K24" s="924"/>
      <c r="L24" s="924"/>
      <c r="M24" s="924"/>
      <c r="N24" s="924"/>
      <c r="O24" s="924"/>
      <c r="P24" s="924"/>
      <c r="Q24" s="924"/>
      <c r="R24" s="892"/>
      <c r="S24" s="892"/>
      <c r="T24" s="892"/>
      <c r="U24" s="892"/>
    </row>
    <row r="25" spans="1:34" ht="15.75" customHeight="1">
      <c r="A25" s="1122" t="s">
        <v>46</v>
      </c>
      <c r="B25" s="1123"/>
      <c r="C25" s="1126" t="s">
        <v>47</v>
      </c>
      <c r="D25" s="1126"/>
      <c r="E25" s="926" t="s">
        <v>48</v>
      </c>
      <c r="F25" s="927"/>
      <c r="G25" s="926" t="s">
        <v>49</v>
      </c>
      <c r="H25" s="927"/>
      <c r="I25" s="928" t="s">
        <v>50</v>
      </c>
      <c r="R25" s="892"/>
      <c r="S25" s="892"/>
      <c r="T25" s="892"/>
      <c r="U25" s="892"/>
    </row>
    <row r="26" spans="1:34" ht="15.75" customHeight="1">
      <c r="A26" s="1124"/>
      <c r="B26" s="1125"/>
      <c r="C26" s="929" t="s">
        <v>51</v>
      </c>
      <c r="D26" s="929" t="s">
        <v>52</v>
      </c>
      <c r="E26" s="930">
        <f>A8</f>
        <v>44795</v>
      </c>
      <c r="F26" s="931" t="s">
        <v>53</v>
      </c>
      <c r="G26" s="932" t="s">
        <v>177</v>
      </c>
      <c r="H26" s="931" t="s">
        <v>53</v>
      </c>
      <c r="I26" s="933">
        <f>A10</f>
        <v>45161</v>
      </c>
      <c r="R26" s="934"/>
      <c r="S26" s="934"/>
      <c r="T26" s="892"/>
      <c r="U26" s="892"/>
    </row>
    <row r="27" spans="1:34" ht="15.75" customHeight="1">
      <c r="A27" s="935"/>
      <c r="B27" s="936" t="s">
        <v>54</v>
      </c>
      <c r="C27" s="937" t="s">
        <v>177</v>
      </c>
      <c r="D27" s="937"/>
      <c r="E27" s="938"/>
      <c r="F27" s="938"/>
      <c r="G27" s="939"/>
      <c r="H27" s="937"/>
      <c r="I27" s="940"/>
      <c r="R27" s="934"/>
      <c r="S27" s="934"/>
      <c r="T27" s="892"/>
      <c r="U27" s="892"/>
    </row>
    <row r="28" spans="1:34" ht="15.75" customHeight="1">
      <c r="A28" s="935"/>
      <c r="B28" s="936" t="s">
        <v>55</v>
      </c>
      <c r="C28" s="937" t="s">
        <v>177</v>
      </c>
      <c r="D28" s="937"/>
      <c r="E28" s="938"/>
      <c r="F28" s="938"/>
      <c r="G28" s="939"/>
      <c r="H28" s="937"/>
      <c r="I28" s="940"/>
      <c r="R28" s="934"/>
      <c r="S28" s="934"/>
      <c r="T28" s="892"/>
      <c r="U28" s="892"/>
    </row>
    <row r="29" spans="1:34" ht="15.75" customHeight="1">
      <c r="A29" s="935"/>
      <c r="B29" s="936" t="s">
        <v>56</v>
      </c>
      <c r="C29" s="937">
        <f>Q9</f>
        <v>1.9608000000000005</v>
      </c>
      <c r="D29" s="937"/>
      <c r="E29" s="938"/>
      <c r="F29" s="938"/>
      <c r="G29" s="939"/>
      <c r="H29" s="937"/>
      <c r="I29" s="940"/>
      <c r="R29" s="934"/>
      <c r="S29" s="934"/>
      <c r="T29" s="892"/>
      <c r="U29" s="892"/>
    </row>
    <row r="30" spans="1:34" ht="15.75" customHeight="1">
      <c r="A30" s="935"/>
      <c r="B30" s="941" t="s">
        <v>57</v>
      </c>
      <c r="C30" s="937">
        <f>S7</f>
        <v>0.754</v>
      </c>
      <c r="D30" s="937"/>
      <c r="E30" s="938"/>
      <c r="F30" s="938"/>
      <c r="G30" s="937"/>
      <c r="H30" s="937"/>
      <c r="I30" s="940"/>
      <c r="R30" s="934"/>
      <c r="S30" s="934"/>
      <c r="T30" s="892"/>
      <c r="U30" s="892"/>
    </row>
    <row r="31" spans="1:34" ht="15.75" customHeight="1">
      <c r="A31" s="935"/>
      <c r="B31" s="942" t="s">
        <v>58</v>
      </c>
      <c r="C31" s="937">
        <v>0</v>
      </c>
      <c r="D31" s="937"/>
      <c r="E31" s="938"/>
      <c r="F31" s="938"/>
      <c r="G31" s="937"/>
      <c r="H31" s="937"/>
      <c r="I31" s="940"/>
      <c r="R31" s="934"/>
      <c r="S31" s="934"/>
      <c r="T31" s="892"/>
      <c r="U31" s="892"/>
    </row>
    <row r="32" spans="1:34" ht="15.75" customHeight="1" thickBot="1">
      <c r="A32" s="943"/>
      <c r="B32" s="944" t="s">
        <v>59</v>
      </c>
      <c r="C32" s="945">
        <v>0</v>
      </c>
      <c r="D32" s="945"/>
      <c r="E32" s="946"/>
      <c r="F32" s="946"/>
      <c r="G32" s="947"/>
      <c r="H32" s="947"/>
      <c r="I32" s="948"/>
      <c r="R32" s="934"/>
      <c r="S32" s="934"/>
      <c r="T32" s="892"/>
      <c r="U32" s="892"/>
    </row>
    <row r="33" spans="1:21" ht="15.75" customHeight="1">
      <c r="A33" s="892"/>
      <c r="B33" s="892"/>
      <c r="C33" s="892"/>
      <c r="D33" s="892"/>
      <c r="E33" s="892"/>
      <c r="F33" s="892"/>
      <c r="G33" s="892"/>
      <c r="H33" s="892"/>
      <c r="I33" s="892"/>
      <c r="J33" s="892"/>
      <c r="K33" s="892"/>
      <c r="L33" s="892"/>
      <c r="M33" s="892"/>
      <c r="N33" s="892"/>
      <c r="O33" s="892"/>
      <c r="P33" s="892"/>
      <c r="Q33" s="892"/>
      <c r="R33" s="892"/>
      <c r="S33" s="892"/>
      <c r="T33" s="892"/>
      <c r="U33" s="892"/>
    </row>
  </sheetData>
  <mergeCells count="6">
    <mergeCell ref="T1:V1"/>
    <mergeCell ref="T2:U2"/>
    <mergeCell ref="E3:G3"/>
    <mergeCell ref="T3:U3"/>
    <mergeCell ref="A25:B26"/>
    <mergeCell ref="C25:D25"/>
  </mergeCells>
  <pageMargins left="0.7" right="0.7" top="0.75" bottom="0.75" header="0.3" footer="0.3"/>
  <pageSetup orientation="portrait" verticalDpi="120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C876E-1CE8-469C-8586-7948D5DAE3DB}">
  <dimension ref="A1:Z169"/>
  <sheetViews>
    <sheetView topLeftCell="K13" workbookViewId="0">
      <selection activeCell="U33" sqref="U33"/>
    </sheetView>
  </sheetViews>
  <sheetFormatPr defaultColWidth="7.85546875" defaultRowHeight="11.25"/>
  <cols>
    <col min="1" max="1" width="15.7109375" style="593" bestFit="1" customWidth="1"/>
    <col min="2" max="2" width="9.5703125" style="593" bestFit="1" customWidth="1"/>
    <col min="3" max="3" width="5.140625" style="660" customWidth="1"/>
    <col min="4" max="6" width="7.7109375" style="660" customWidth="1"/>
    <col min="7" max="7" width="12" style="656" bestFit="1" customWidth="1"/>
    <col min="8" max="8" width="9.28515625" style="659" customWidth="1"/>
    <col min="9" max="10" width="8.42578125" style="656" bestFit="1" customWidth="1"/>
    <col min="11" max="11" width="8.42578125" style="650" bestFit="1" customWidth="1"/>
    <col min="12" max="12" width="13.7109375" style="657" bestFit="1" customWidth="1"/>
    <col min="13" max="13" width="6.28515625" style="593" bestFit="1" customWidth="1"/>
    <col min="14" max="14" width="5.7109375" style="593" bestFit="1" customWidth="1"/>
    <col min="15" max="15" width="5.85546875" style="605" bestFit="1" customWidth="1"/>
    <col min="16" max="16" width="5.85546875" style="487" bestFit="1" customWidth="1"/>
    <col min="17" max="17" width="14" style="653" bestFit="1" customWidth="1"/>
    <col min="18" max="18" width="6" style="653" bestFit="1" customWidth="1"/>
    <col min="19" max="19" width="8.7109375" style="653" bestFit="1" customWidth="1"/>
    <col min="20" max="21" width="17.28515625" style="593" bestFit="1" customWidth="1"/>
    <col min="22" max="22" width="9.28515625" style="593" bestFit="1" customWidth="1"/>
    <col min="23" max="27" width="5.28515625" style="593" customWidth="1"/>
    <col min="28" max="28" width="17" style="593" customWidth="1"/>
    <col min="29" max="16384" width="7.85546875" style="593"/>
  </cols>
  <sheetData>
    <row r="1" spans="1:24" s="432" customFormat="1" ht="12.75">
      <c r="A1" s="424" t="s">
        <v>108</v>
      </c>
      <c r="B1" s="425" t="s">
        <v>164</v>
      </c>
      <c r="C1" s="426"/>
      <c r="D1" s="425"/>
      <c r="E1" s="427"/>
      <c r="F1" s="427"/>
      <c r="G1" s="428"/>
      <c r="H1" s="429" t="s">
        <v>109</v>
      </c>
      <c r="I1" s="430">
        <f>C39</f>
        <v>504</v>
      </c>
      <c r="J1" s="431"/>
      <c r="K1" s="425"/>
      <c r="L1" s="425"/>
      <c r="N1" s="433"/>
      <c r="P1" s="434"/>
      <c r="Q1" s="434"/>
      <c r="R1" s="434"/>
      <c r="S1" s="434"/>
    </row>
    <row r="2" spans="1:24" s="432" customFormat="1" ht="12.75">
      <c r="A2" s="435" t="s">
        <v>110</v>
      </c>
      <c r="B2" s="425" t="s">
        <v>178</v>
      </c>
      <c r="C2" s="436"/>
      <c r="D2" s="425"/>
      <c r="E2" s="437"/>
      <c r="F2" s="437"/>
      <c r="G2" s="438"/>
      <c r="H2" s="439" t="s">
        <v>111</v>
      </c>
      <c r="I2" s="440">
        <v>458</v>
      </c>
      <c r="J2" s="441"/>
      <c r="K2" s="425"/>
      <c r="L2" s="425"/>
      <c r="N2" s="442"/>
      <c r="P2" s="434"/>
      <c r="Q2" s="434"/>
      <c r="R2" s="434"/>
      <c r="S2" s="434"/>
    </row>
    <row r="3" spans="1:24" s="446" customFormat="1" ht="11.25" customHeight="1">
      <c r="A3" s="443" t="s">
        <v>112</v>
      </c>
      <c r="B3" s="731">
        <v>45031</v>
      </c>
      <c r="C3" s="436"/>
      <c r="D3" s="437"/>
      <c r="E3" s="437"/>
      <c r="F3" s="437"/>
      <c r="G3" s="438"/>
      <c r="H3" s="443" t="s">
        <v>113</v>
      </c>
      <c r="I3" s="445">
        <f>V53/100</f>
        <v>4.58</v>
      </c>
      <c r="J3" s="441"/>
      <c r="K3" s="425"/>
      <c r="L3" s="425"/>
      <c r="N3" s="447"/>
      <c r="P3" s="448"/>
      <c r="Q3" s="448"/>
      <c r="R3" s="448"/>
      <c r="S3" s="448"/>
    </row>
    <row r="4" spans="1:24" s="432" customFormat="1" ht="12.75">
      <c r="A4" s="443" t="s">
        <v>114</v>
      </c>
      <c r="B4" s="444" t="s">
        <v>182</v>
      </c>
      <c r="C4" s="436"/>
      <c r="D4" s="437"/>
      <c r="E4" s="437"/>
      <c r="F4" s="437"/>
      <c r="G4" s="438"/>
      <c r="H4" s="443" t="s">
        <v>115</v>
      </c>
      <c r="I4" s="449">
        <f>S39</f>
        <v>0.42474516342022134</v>
      </c>
      <c r="J4" s="441"/>
      <c r="K4" s="425"/>
      <c r="L4" s="425"/>
      <c r="M4" s="433"/>
      <c r="N4" s="433"/>
      <c r="P4" s="434"/>
      <c r="Q4" s="434"/>
      <c r="R4" s="434"/>
      <c r="S4" s="434"/>
    </row>
    <row r="5" spans="1:24" s="452" customFormat="1" ht="12.75">
      <c r="A5" s="435" t="s">
        <v>116</v>
      </c>
      <c r="B5" s="450" t="s">
        <v>117</v>
      </c>
      <c r="C5" s="436"/>
      <c r="D5" s="437"/>
      <c r="E5" s="437"/>
      <c r="F5" s="437"/>
      <c r="G5" s="438"/>
      <c r="H5" s="443"/>
      <c r="I5" s="967"/>
      <c r="J5" s="441"/>
      <c r="K5" s="425"/>
      <c r="L5" s="425"/>
      <c r="M5" s="451"/>
      <c r="N5" s="451"/>
      <c r="P5" s="453"/>
      <c r="Q5" s="453"/>
      <c r="R5" s="453"/>
      <c r="S5" s="453"/>
    </row>
    <row r="6" spans="1:24" s="451" customFormat="1" ht="13.5" thickBot="1">
      <c r="A6" s="454"/>
      <c r="B6" s="455"/>
      <c r="C6" s="456"/>
      <c r="D6" s="457"/>
      <c r="E6" s="457"/>
      <c r="F6" s="457"/>
      <c r="G6" s="458"/>
      <c r="H6" s="459"/>
      <c r="I6" s="460"/>
      <c r="J6" s="458"/>
      <c r="K6" s="455"/>
      <c r="L6" s="455"/>
      <c r="M6" s="461"/>
      <c r="P6" s="462"/>
      <c r="Q6" s="462"/>
      <c r="R6" s="462"/>
      <c r="S6" s="462"/>
    </row>
    <row r="7" spans="1:24" s="452" customFormat="1" ht="13.15" customHeight="1">
      <c r="A7" s="1127" t="s">
        <v>118</v>
      </c>
      <c r="B7" s="1128"/>
      <c r="C7" s="1128"/>
      <c r="D7" s="1128"/>
      <c r="E7" s="1128"/>
      <c r="F7" s="1128"/>
      <c r="G7" s="1128"/>
      <c r="H7" s="1128"/>
      <c r="I7" s="1128"/>
      <c r="J7" s="1128"/>
      <c r="K7" s="1128"/>
      <c r="L7" s="1128"/>
      <c r="M7" s="1131" t="s">
        <v>119</v>
      </c>
      <c r="N7" s="1132"/>
      <c r="O7" s="1133"/>
      <c r="P7" s="463" t="s">
        <v>120</v>
      </c>
      <c r="Q7" s="464"/>
      <c r="R7" s="463" t="s">
        <v>121</v>
      </c>
      <c r="S7" s="463"/>
      <c r="T7" s="465"/>
      <c r="U7" s="1129" t="s">
        <v>122</v>
      </c>
      <c r="V7" s="1130"/>
      <c r="W7" s="451"/>
      <c r="X7" s="451"/>
    </row>
    <row r="8" spans="1:24" s="482" customFormat="1">
      <c r="A8" s="466"/>
      <c r="B8" s="461"/>
      <c r="C8" s="467"/>
      <c r="D8" s="468"/>
      <c r="E8" s="469"/>
      <c r="F8" s="470"/>
      <c r="G8" s="471"/>
      <c r="H8" s="472"/>
      <c r="I8" s="472"/>
      <c r="J8" s="472"/>
      <c r="K8" s="472"/>
      <c r="L8" s="473"/>
      <c r="M8" s="474"/>
      <c r="N8" s="475"/>
      <c r="O8" s="476"/>
      <c r="P8" s="477"/>
      <c r="Q8" s="478"/>
      <c r="R8" s="477"/>
      <c r="S8" s="477"/>
      <c r="T8" s="479"/>
      <c r="U8" s="480"/>
      <c r="V8" s="480"/>
      <c r="W8" s="481"/>
    </row>
    <row r="9" spans="1:24" s="492" customFormat="1" ht="13.15" customHeight="1">
      <c r="A9" s="483"/>
      <c r="B9" s="451"/>
      <c r="C9" s="484"/>
      <c r="D9" s="1137" t="s">
        <v>123</v>
      </c>
      <c r="E9" s="1138"/>
      <c r="F9" s="1139"/>
      <c r="G9" s="485"/>
      <c r="H9" s="1134" t="s">
        <v>124</v>
      </c>
      <c r="I9" s="1135"/>
      <c r="J9" s="1135"/>
      <c r="K9" s="1136"/>
      <c r="L9" s="965"/>
      <c r="M9" s="486"/>
      <c r="N9" s="475" t="s">
        <v>125</v>
      </c>
      <c r="O9" s="476"/>
      <c r="P9" s="477"/>
      <c r="Q9" s="478"/>
      <c r="R9" s="487"/>
      <c r="S9" s="487"/>
      <c r="T9" s="479"/>
      <c r="U9" s="488"/>
      <c r="V9" s="489"/>
      <c r="W9" s="490"/>
      <c r="X9" s="491"/>
    </row>
    <row r="10" spans="1:24" s="492" customFormat="1">
      <c r="A10" s="493" t="s">
        <v>126</v>
      </c>
      <c r="B10" s="494" t="s">
        <v>127</v>
      </c>
      <c r="C10" s="495" t="s">
        <v>128</v>
      </c>
      <c r="D10" s="496" t="s">
        <v>129</v>
      </c>
      <c r="E10" s="497" t="s">
        <v>130</v>
      </c>
      <c r="F10" s="498" t="s">
        <v>131</v>
      </c>
      <c r="G10" s="485" t="s">
        <v>132</v>
      </c>
      <c r="H10" s="966" t="s">
        <v>133</v>
      </c>
      <c r="I10" s="966" t="s">
        <v>134</v>
      </c>
      <c r="J10" s="966" t="s">
        <v>135</v>
      </c>
      <c r="K10" s="966" t="s">
        <v>136</v>
      </c>
      <c r="L10" s="965" t="s">
        <v>137</v>
      </c>
      <c r="M10" s="499" t="s">
        <v>138</v>
      </c>
      <c r="N10" s="500" t="s">
        <v>139</v>
      </c>
      <c r="O10" s="501" t="s">
        <v>140</v>
      </c>
      <c r="P10" s="502" t="s">
        <v>141</v>
      </c>
      <c r="Q10" s="478" t="s">
        <v>142</v>
      </c>
      <c r="R10" s="502" t="s">
        <v>142</v>
      </c>
      <c r="S10" s="502" t="s">
        <v>141</v>
      </c>
      <c r="T10" s="503" t="s">
        <v>143</v>
      </c>
      <c r="U10" s="488" t="s">
        <v>144</v>
      </c>
      <c r="V10" s="488" t="s">
        <v>145</v>
      </c>
      <c r="W10" s="504"/>
    </row>
    <row r="11" spans="1:24" s="492" customFormat="1" ht="12" thickBot="1">
      <c r="A11" s="505" t="s">
        <v>146</v>
      </c>
      <c r="B11" s="506" t="s">
        <v>146</v>
      </c>
      <c r="C11" s="507" t="s">
        <v>147</v>
      </c>
      <c r="D11" s="508" t="s">
        <v>148</v>
      </c>
      <c r="E11" s="509" t="s">
        <v>148</v>
      </c>
      <c r="F11" s="510" t="s">
        <v>148</v>
      </c>
      <c r="G11" s="511" t="s">
        <v>148</v>
      </c>
      <c r="H11" s="512" t="s">
        <v>148</v>
      </c>
      <c r="I11" s="512" t="s">
        <v>148</v>
      </c>
      <c r="J11" s="512" t="s">
        <v>148</v>
      </c>
      <c r="K11" s="512" t="s">
        <v>148</v>
      </c>
      <c r="L11" s="513" t="s">
        <v>148</v>
      </c>
      <c r="M11" s="514" t="s">
        <v>149</v>
      </c>
      <c r="N11" s="515" t="s">
        <v>147</v>
      </c>
      <c r="O11" s="516" t="s">
        <v>147</v>
      </c>
      <c r="P11" s="517" t="s">
        <v>150</v>
      </c>
      <c r="Q11" s="518" t="s">
        <v>151</v>
      </c>
      <c r="R11" s="519" t="s">
        <v>38</v>
      </c>
      <c r="S11" s="519" t="s">
        <v>152</v>
      </c>
      <c r="T11" s="520"/>
      <c r="U11" s="521"/>
      <c r="V11" s="522" t="s">
        <v>148</v>
      </c>
      <c r="W11" s="504"/>
    </row>
    <row r="12" spans="1:24" s="492" customFormat="1">
      <c r="A12" s="523" t="s">
        <v>153</v>
      </c>
      <c r="B12" s="524"/>
      <c r="C12" s="525">
        <v>0</v>
      </c>
      <c r="D12" s="526" t="s">
        <v>154</v>
      </c>
      <c r="E12" s="527" t="s">
        <v>154</v>
      </c>
      <c r="F12" s="528" t="s">
        <v>154</v>
      </c>
      <c r="G12" s="529" t="s">
        <v>154</v>
      </c>
      <c r="H12" s="527" t="s">
        <v>154</v>
      </c>
      <c r="I12" s="527" t="s">
        <v>154</v>
      </c>
      <c r="J12" s="527" t="s">
        <v>154</v>
      </c>
      <c r="K12" s="527" t="s">
        <v>154</v>
      </c>
      <c r="L12" s="530" t="s">
        <v>154</v>
      </c>
      <c r="M12" s="531"/>
      <c r="N12" s="532"/>
      <c r="O12" s="533"/>
      <c r="P12" s="534"/>
      <c r="Q12" s="535"/>
      <c r="R12" s="536"/>
      <c r="S12" s="537"/>
      <c r="T12" s="538"/>
      <c r="U12" s="539" t="s">
        <v>155</v>
      </c>
      <c r="V12" s="540">
        <v>458</v>
      </c>
      <c r="W12" s="541"/>
    </row>
    <row r="13" spans="1:24" s="492" customFormat="1" ht="67.5">
      <c r="A13" s="542">
        <v>85</v>
      </c>
      <c r="B13" s="543">
        <v>15</v>
      </c>
      <c r="C13" s="531">
        <v>10</v>
      </c>
      <c r="D13" s="544" t="s">
        <v>154</v>
      </c>
      <c r="E13" s="545" t="s">
        <v>154</v>
      </c>
      <c r="F13" s="546" t="s">
        <v>154</v>
      </c>
      <c r="G13" s="547" t="s">
        <v>154</v>
      </c>
      <c r="H13" s="545" t="s">
        <v>154</v>
      </c>
      <c r="I13" s="545" t="s">
        <v>154</v>
      </c>
      <c r="J13" s="545" t="s">
        <v>154</v>
      </c>
      <c r="K13" s="545" t="s">
        <v>154</v>
      </c>
      <c r="L13" s="548" t="s">
        <v>154</v>
      </c>
      <c r="M13" s="531">
        <v>966</v>
      </c>
      <c r="N13" s="549">
        <f>C12</f>
        <v>0</v>
      </c>
      <c r="O13" s="550">
        <f t="shared" ref="O13:O19" si="0">(C13+C14-10)/2</f>
        <v>10</v>
      </c>
      <c r="P13" s="551">
        <f t="shared" ref="P13:P20" si="1">(A13-B13)/M13</f>
        <v>7.2463768115942032E-2</v>
      </c>
      <c r="Q13" s="552">
        <f t="shared" ref="Q13:Q16" si="2">(P13*(O13-N13))/100</f>
        <v>7.246376811594203E-3</v>
      </c>
      <c r="R13" s="553">
        <f>SUM(Q$13:Q13)</f>
        <v>7.246376811594203E-3</v>
      </c>
      <c r="S13" s="554">
        <f t="shared" ref="S13:S20" si="3">R13/O13*100</f>
        <v>7.2463768115942032E-2</v>
      </c>
      <c r="T13" s="555"/>
      <c r="U13" s="556" t="s">
        <v>197</v>
      </c>
      <c r="V13" s="557"/>
      <c r="W13" s="504"/>
    </row>
    <row r="14" spans="1:24" s="492" customFormat="1">
      <c r="A14" s="542">
        <v>130</v>
      </c>
      <c r="B14" s="543">
        <v>15</v>
      </c>
      <c r="C14" s="531">
        <v>20</v>
      </c>
      <c r="D14" s="544" t="s">
        <v>154</v>
      </c>
      <c r="E14" s="545" t="s">
        <v>154</v>
      </c>
      <c r="F14" s="546" t="s">
        <v>154</v>
      </c>
      <c r="G14" s="547" t="s">
        <v>154</v>
      </c>
      <c r="H14" s="545" t="s">
        <v>154</v>
      </c>
      <c r="I14" s="545" t="s">
        <v>154</v>
      </c>
      <c r="J14" s="545" t="s">
        <v>154</v>
      </c>
      <c r="K14" s="545" t="s">
        <v>154</v>
      </c>
      <c r="L14" s="548" t="s">
        <v>154</v>
      </c>
      <c r="M14" s="531">
        <v>966</v>
      </c>
      <c r="N14" s="549">
        <f t="shared" ref="N14:N20" si="4">(C13+C14-10)/2</f>
        <v>10</v>
      </c>
      <c r="O14" s="550">
        <f t="shared" si="0"/>
        <v>20</v>
      </c>
      <c r="P14" s="551">
        <f t="shared" si="1"/>
        <v>0.11904761904761904</v>
      </c>
      <c r="Q14" s="552">
        <f t="shared" si="2"/>
        <v>1.1904761904761904E-2</v>
      </c>
      <c r="R14" s="553">
        <f>SUM(Q$13:Q14)</f>
        <v>1.9151138716356108E-2</v>
      </c>
      <c r="S14" s="554">
        <f t="shared" si="3"/>
        <v>9.5755693581780543E-2</v>
      </c>
      <c r="T14" s="555"/>
      <c r="U14" s="556"/>
      <c r="V14" s="557"/>
      <c r="W14" s="504"/>
    </row>
    <row r="15" spans="1:24" s="492" customFormat="1">
      <c r="A15" s="542">
        <v>180</v>
      </c>
      <c r="B15" s="543">
        <v>15</v>
      </c>
      <c r="C15" s="531">
        <v>30</v>
      </c>
      <c r="D15" s="544" t="s">
        <v>154</v>
      </c>
      <c r="E15" s="545" t="s">
        <v>154</v>
      </c>
      <c r="F15" s="546" t="s">
        <v>154</v>
      </c>
      <c r="G15" s="547" t="s">
        <v>154</v>
      </c>
      <c r="H15" s="545" t="s">
        <v>154</v>
      </c>
      <c r="I15" s="545" t="s">
        <v>154</v>
      </c>
      <c r="J15" s="545" t="s">
        <v>154</v>
      </c>
      <c r="K15" s="545" t="s">
        <v>154</v>
      </c>
      <c r="L15" s="548" t="s">
        <v>154</v>
      </c>
      <c r="M15" s="531">
        <v>966</v>
      </c>
      <c r="N15" s="549">
        <f t="shared" si="4"/>
        <v>20</v>
      </c>
      <c r="O15" s="550">
        <f t="shared" si="0"/>
        <v>30</v>
      </c>
      <c r="P15" s="551">
        <f t="shared" si="1"/>
        <v>0.17080745341614906</v>
      </c>
      <c r="Q15" s="552">
        <f t="shared" si="2"/>
        <v>1.7080745341614904E-2</v>
      </c>
      <c r="R15" s="553">
        <f>SUM(Q$13:Q15)</f>
        <v>3.6231884057971009E-2</v>
      </c>
      <c r="S15" s="554">
        <f t="shared" si="3"/>
        <v>0.12077294685990335</v>
      </c>
      <c r="T15" s="555"/>
      <c r="U15" s="556"/>
      <c r="V15" s="558"/>
      <c r="W15" s="504"/>
    </row>
    <row r="16" spans="1:24" s="492" customFormat="1">
      <c r="A16" s="559">
        <v>240</v>
      </c>
      <c r="B16" s="543">
        <v>15</v>
      </c>
      <c r="C16" s="531">
        <v>40</v>
      </c>
      <c r="D16" s="544" t="s">
        <v>154</v>
      </c>
      <c r="E16" s="545" t="s">
        <v>154</v>
      </c>
      <c r="F16" s="546" t="s">
        <v>154</v>
      </c>
      <c r="G16" s="547" t="s">
        <v>154</v>
      </c>
      <c r="H16" s="545" t="s">
        <v>154</v>
      </c>
      <c r="I16" s="545" t="s">
        <v>154</v>
      </c>
      <c r="J16" s="545" t="s">
        <v>154</v>
      </c>
      <c r="K16" s="545" t="s">
        <v>154</v>
      </c>
      <c r="L16" s="548" t="s">
        <v>154</v>
      </c>
      <c r="M16" s="531">
        <v>966</v>
      </c>
      <c r="N16" s="549">
        <f t="shared" si="4"/>
        <v>30</v>
      </c>
      <c r="O16" s="550">
        <f t="shared" si="0"/>
        <v>40</v>
      </c>
      <c r="P16" s="551">
        <f t="shared" si="1"/>
        <v>0.23291925465838509</v>
      </c>
      <c r="Q16" s="552">
        <f t="shared" si="2"/>
        <v>2.3291925465838512E-2</v>
      </c>
      <c r="R16" s="553">
        <f>SUM(Q$13:Q16)</f>
        <v>5.9523809523809521E-2</v>
      </c>
      <c r="S16" s="554">
        <f t="shared" si="3"/>
        <v>0.14880952380952381</v>
      </c>
      <c r="T16" s="555"/>
      <c r="U16" s="556"/>
      <c r="V16" s="557"/>
      <c r="W16" s="504"/>
    </row>
    <row r="17" spans="1:25" s="492" customFormat="1">
      <c r="A17" s="559">
        <v>225</v>
      </c>
      <c r="B17" s="543">
        <v>15</v>
      </c>
      <c r="C17" s="531">
        <v>50</v>
      </c>
      <c r="D17" s="544" t="s">
        <v>154</v>
      </c>
      <c r="E17" s="545" t="s">
        <v>154</v>
      </c>
      <c r="F17" s="546" t="s">
        <v>154</v>
      </c>
      <c r="G17" s="547" t="s">
        <v>154</v>
      </c>
      <c r="H17" s="545" t="s">
        <v>154</v>
      </c>
      <c r="I17" s="545" t="s">
        <v>154</v>
      </c>
      <c r="J17" s="545" t="s">
        <v>154</v>
      </c>
      <c r="K17" s="545" t="s">
        <v>154</v>
      </c>
      <c r="L17" s="548" t="s">
        <v>154</v>
      </c>
      <c r="M17" s="531">
        <v>966</v>
      </c>
      <c r="N17" s="549">
        <f t="shared" si="4"/>
        <v>40</v>
      </c>
      <c r="O17" s="550">
        <f t="shared" si="0"/>
        <v>50</v>
      </c>
      <c r="P17" s="551">
        <f t="shared" si="1"/>
        <v>0.21739130434782608</v>
      </c>
      <c r="Q17" s="552">
        <f>(P17*(O17-N17))/100</f>
        <v>2.1739130434782608E-2</v>
      </c>
      <c r="R17" s="553">
        <f>SUM(Q$13:Q17)</f>
        <v>8.1262939958592129E-2</v>
      </c>
      <c r="S17" s="554">
        <f t="shared" si="3"/>
        <v>0.16252587991718426</v>
      </c>
      <c r="T17" s="555" t="s">
        <v>156</v>
      </c>
      <c r="U17" s="556"/>
      <c r="V17" s="557"/>
      <c r="W17" s="490"/>
    </row>
    <row r="18" spans="1:25" s="492" customFormat="1">
      <c r="A18" s="559">
        <v>340</v>
      </c>
      <c r="B18" s="543">
        <v>15</v>
      </c>
      <c r="C18" s="531">
        <v>60</v>
      </c>
      <c r="D18" s="544" t="s">
        <v>154</v>
      </c>
      <c r="E18" s="545" t="s">
        <v>154</v>
      </c>
      <c r="F18" s="546" t="s">
        <v>154</v>
      </c>
      <c r="G18" s="547" t="s">
        <v>154</v>
      </c>
      <c r="H18" s="545" t="s">
        <v>154</v>
      </c>
      <c r="I18" s="545" t="s">
        <v>154</v>
      </c>
      <c r="J18" s="545" t="s">
        <v>154</v>
      </c>
      <c r="K18" s="545" t="s">
        <v>154</v>
      </c>
      <c r="L18" s="548" t="s">
        <v>154</v>
      </c>
      <c r="M18" s="531">
        <v>966</v>
      </c>
      <c r="N18" s="549">
        <f t="shared" si="4"/>
        <v>50</v>
      </c>
      <c r="O18" s="550">
        <f t="shared" si="0"/>
        <v>60</v>
      </c>
      <c r="P18" s="551">
        <f t="shared" si="1"/>
        <v>0.33643892339544512</v>
      </c>
      <c r="Q18" s="552">
        <f>(P18*(O18-N18))/100</f>
        <v>3.3643892339544512E-2</v>
      </c>
      <c r="R18" s="553">
        <f>SUM(Q$13:Q18)</f>
        <v>0.11490683229813664</v>
      </c>
      <c r="S18" s="554">
        <f t="shared" si="3"/>
        <v>0.19151138716356106</v>
      </c>
      <c r="T18" s="560"/>
      <c r="U18" s="556"/>
      <c r="V18" s="557"/>
      <c r="W18" s="490"/>
    </row>
    <row r="19" spans="1:25" s="492" customFormat="1" ht="10.15" customHeight="1">
      <c r="A19" s="559">
        <v>310</v>
      </c>
      <c r="B19" s="543">
        <v>15</v>
      </c>
      <c r="C19" s="531">
        <v>70</v>
      </c>
      <c r="D19" s="544" t="s">
        <v>154</v>
      </c>
      <c r="E19" s="545" t="s">
        <v>154</v>
      </c>
      <c r="F19" s="546" t="s">
        <v>154</v>
      </c>
      <c r="G19" s="547" t="s">
        <v>154</v>
      </c>
      <c r="H19" s="545" t="s">
        <v>154</v>
      </c>
      <c r="I19" s="545" t="s">
        <v>154</v>
      </c>
      <c r="J19" s="545" t="s">
        <v>154</v>
      </c>
      <c r="K19" s="545" t="s">
        <v>154</v>
      </c>
      <c r="L19" s="548" t="s">
        <v>154</v>
      </c>
      <c r="M19" s="531">
        <v>966</v>
      </c>
      <c r="N19" s="549">
        <f t="shared" si="4"/>
        <v>60</v>
      </c>
      <c r="O19" s="550">
        <f t="shared" si="0"/>
        <v>70</v>
      </c>
      <c r="P19" s="551">
        <f t="shared" si="1"/>
        <v>0.30538302277432711</v>
      </c>
      <c r="Q19" s="552">
        <f>(P19*(O19-N19))/100</f>
        <v>3.0538302277432709E-2</v>
      </c>
      <c r="R19" s="553">
        <f>SUM(Q$13:Q19)</f>
        <v>0.14544513457556935</v>
      </c>
      <c r="S19" s="554">
        <f t="shared" si="3"/>
        <v>0.2077787636793848</v>
      </c>
      <c r="T19" s="560"/>
      <c r="U19" s="556"/>
      <c r="V19" s="557"/>
      <c r="W19" s="561"/>
    </row>
    <row r="20" spans="1:25" s="492" customFormat="1">
      <c r="A20" s="559">
        <v>375</v>
      </c>
      <c r="B20" s="543">
        <v>15</v>
      </c>
      <c r="C20" s="531">
        <v>80</v>
      </c>
      <c r="D20" s="544" t="s">
        <v>154</v>
      </c>
      <c r="E20" s="545" t="s">
        <v>154</v>
      </c>
      <c r="F20" s="546" t="s">
        <v>154</v>
      </c>
      <c r="G20" s="547" t="s">
        <v>154</v>
      </c>
      <c r="H20" s="545" t="s">
        <v>154</v>
      </c>
      <c r="I20" s="545" t="s">
        <v>154</v>
      </c>
      <c r="J20" s="545" t="s">
        <v>154</v>
      </c>
      <c r="K20" s="545" t="s">
        <v>154</v>
      </c>
      <c r="L20" s="548" t="s">
        <v>154</v>
      </c>
      <c r="M20" s="531">
        <v>966</v>
      </c>
      <c r="N20" s="549">
        <f t="shared" si="4"/>
        <v>70</v>
      </c>
      <c r="O20" s="550">
        <f>C20</f>
        <v>80</v>
      </c>
      <c r="P20" s="551">
        <f t="shared" si="1"/>
        <v>0.37267080745341613</v>
      </c>
      <c r="Q20" s="552">
        <f>(P20*(O20-N20))/100</f>
        <v>3.7267080745341616E-2</v>
      </c>
      <c r="R20" s="553">
        <f>SUM(Q$13:Q20)</f>
        <v>0.18271221532091098</v>
      </c>
      <c r="S20" s="554">
        <f t="shared" si="3"/>
        <v>0.22839026915113872</v>
      </c>
      <c r="T20" s="555"/>
      <c r="U20" s="556"/>
      <c r="V20" s="557"/>
      <c r="W20" s="562"/>
    </row>
    <row r="21" spans="1:25" s="564" customFormat="1">
      <c r="A21" s="559"/>
      <c r="B21" s="543"/>
      <c r="C21" s="531"/>
      <c r="D21" s="544"/>
      <c r="E21" s="545"/>
      <c r="F21" s="546"/>
      <c r="G21" s="547"/>
      <c r="H21" s="545"/>
      <c r="I21" s="545"/>
      <c r="J21" s="545"/>
      <c r="K21" s="545"/>
      <c r="L21" s="548"/>
      <c r="M21" s="531"/>
      <c r="N21" s="549"/>
      <c r="O21" s="550"/>
      <c r="P21" s="551"/>
      <c r="Q21" s="552"/>
      <c r="R21" s="553"/>
      <c r="S21" s="554"/>
      <c r="T21" s="563"/>
      <c r="U21" s="556"/>
      <c r="V21" s="557"/>
      <c r="W21" s="562"/>
    </row>
    <row r="22" spans="1:25" s="564" customFormat="1">
      <c r="A22" s="559"/>
      <c r="B22" s="543"/>
      <c r="C22" s="531"/>
      <c r="D22" s="544"/>
      <c r="E22" s="545"/>
      <c r="F22" s="546"/>
      <c r="G22" s="547"/>
      <c r="H22" s="545"/>
      <c r="I22" s="545"/>
      <c r="J22" s="545"/>
      <c r="K22" s="545"/>
      <c r="L22" s="548"/>
      <c r="M22" s="531"/>
      <c r="N22" s="549"/>
      <c r="O22" s="550"/>
      <c r="P22" s="551"/>
      <c r="Q22" s="552"/>
      <c r="R22" s="553"/>
      <c r="S22" s="554"/>
      <c r="T22" s="565"/>
      <c r="U22" s="556"/>
      <c r="V22" s="566"/>
      <c r="W22" s="562"/>
    </row>
    <row r="23" spans="1:25" s="564" customFormat="1" ht="12" thickBot="1">
      <c r="A23" s="567"/>
      <c r="B23" s="568"/>
      <c r="C23" s="569"/>
      <c r="D23" s="570"/>
      <c r="E23" s="569"/>
      <c r="F23" s="571"/>
      <c r="G23" s="572"/>
      <c r="H23" s="569"/>
      <c r="I23" s="569"/>
      <c r="J23" s="569"/>
      <c r="K23" s="569"/>
      <c r="L23" s="573"/>
      <c r="M23" s="569"/>
      <c r="N23" s="574"/>
      <c r="O23" s="575"/>
      <c r="P23" s="576"/>
      <c r="Q23" s="577"/>
      <c r="R23" s="578"/>
      <c r="S23" s="579"/>
      <c r="T23" s="580"/>
      <c r="U23" s="556"/>
      <c r="V23" s="581"/>
      <c r="W23" s="582"/>
    </row>
    <row r="24" spans="1:25" s="564" customFormat="1">
      <c r="A24" s="583" t="s">
        <v>157</v>
      </c>
      <c r="B24" s="543"/>
      <c r="C24" s="531"/>
      <c r="D24" s="584"/>
      <c r="E24" s="531"/>
      <c r="F24" s="585"/>
      <c r="G24" s="586"/>
      <c r="H24" s="531"/>
      <c r="I24" s="531"/>
      <c r="J24" s="531"/>
      <c r="K24" s="531"/>
      <c r="L24" s="587"/>
      <c r="M24" s="531"/>
      <c r="N24" s="549"/>
      <c r="O24" s="550"/>
      <c r="P24" s="551"/>
      <c r="Q24" s="552"/>
      <c r="R24" s="553"/>
      <c r="S24" s="554"/>
      <c r="T24" s="565"/>
      <c r="U24" s="556"/>
      <c r="V24" s="581"/>
      <c r="W24" s="582"/>
    </row>
    <row r="25" spans="1:25" s="564" customFormat="1" ht="135">
      <c r="A25" s="559"/>
      <c r="B25" s="543"/>
      <c r="C25" s="531"/>
      <c r="D25" s="588"/>
      <c r="E25" s="589"/>
      <c r="F25" s="590"/>
      <c r="G25" s="591"/>
      <c r="H25" s="589"/>
      <c r="I25" s="589"/>
      <c r="J25" s="589"/>
      <c r="K25" s="589"/>
      <c r="L25" s="592"/>
      <c r="M25" s="531"/>
      <c r="N25" s="549"/>
      <c r="O25" s="550"/>
      <c r="P25" s="551"/>
      <c r="Q25" s="552"/>
      <c r="R25" s="553"/>
      <c r="S25" s="554"/>
      <c r="T25" s="1029" t="s">
        <v>198</v>
      </c>
      <c r="U25" s="556"/>
      <c r="V25" s="581"/>
      <c r="W25" s="582"/>
    </row>
    <row r="26" spans="1:25" s="564" customFormat="1">
      <c r="A26" s="559">
        <v>320</v>
      </c>
      <c r="B26" s="543">
        <v>15</v>
      </c>
      <c r="C26" s="531">
        <f>C27-D26</f>
        <v>106</v>
      </c>
      <c r="D26" s="588">
        <v>28</v>
      </c>
      <c r="E26" s="589"/>
      <c r="F26" s="590"/>
      <c r="G26" s="591">
        <f t="shared" ref="G26:G39" si="5">AVERAGE(D26:F26)</f>
        <v>28</v>
      </c>
      <c r="H26" s="589">
        <v>5.7</v>
      </c>
      <c r="I26" s="589"/>
      <c r="J26" s="589"/>
      <c r="K26" s="589"/>
      <c r="L26" s="592">
        <f t="shared" ref="L26:L39" si="6">AVERAGE(H26:K26)</f>
        <v>5.7</v>
      </c>
      <c r="M26" s="531">
        <f t="shared" ref="M26:M39" si="7">G26*    PI()* (L26/2)^2</f>
        <v>714.4924172059267</v>
      </c>
      <c r="N26" s="549">
        <f>O20</f>
        <v>80</v>
      </c>
      <c r="O26" s="550">
        <f t="shared" ref="O26:O38" si="8">(C26+C27-G27)/2</f>
        <v>106.5</v>
      </c>
      <c r="P26" s="551">
        <f t="shared" ref="P26:P39" si="9">(A26-B26)/M26</f>
        <v>0.42687646874227742</v>
      </c>
      <c r="Q26" s="552">
        <f t="shared" ref="Q26:Q39" si="10">(P26*(O26-N26))/100</f>
        <v>0.11312226421670352</v>
      </c>
      <c r="R26" s="553">
        <f>SUM(Q$13:Q26)</f>
        <v>0.29583447953761449</v>
      </c>
      <c r="S26" s="554">
        <f t="shared" ref="S26:S39" si="11">R26/O26*100</f>
        <v>0.27777885402592911</v>
      </c>
      <c r="T26" s="565"/>
      <c r="U26" s="556"/>
      <c r="V26" s="557"/>
      <c r="W26" s="582"/>
    </row>
    <row r="27" spans="1:25" s="564" customFormat="1">
      <c r="A27" s="559">
        <v>275</v>
      </c>
      <c r="B27" s="543">
        <v>15</v>
      </c>
      <c r="C27" s="531">
        <f>54+80</f>
        <v>134</v>
      </c>
      <c r="D27" s="588">
        <v>27</v>
      </c>
      <c r="E27" s="589"/>
      <c r="F27" s="590"/>
      <c r="G27" s="591">
        <f t="shared" si="5"/>
        <v>27</v>
      </c>
      <c r="H27" s="589">
        <v>5.7</v>
      </c>
      <c r="I27" s="589"/>
      <c r="J27" s="589"/>
      <c r="K27" s="589"/>
      <c r="L27" s="592">
        <f t="shared" si="6"/>
        <v>5.7</v>
      </c>
      <c r="M27" s="531">
        <f t="shared" si="7"/>
        <v>688.97483087714352</v>
      </c>
      <c r="N27" s="549">
        <f t="shared" ref="N27:N39" si="12">(C26+C27-G27)/2</f>
        <v>106.5</v>
      </c>
      <c r="O27" s="550">
        <f t="shared" si="8"/>
        <v>138</v>
      </c>
      <c r="P27" s="551">
        <f t="shared" si="9"/>
        <v>0.37737227594945721</v>
      </c>
      <c r="Q27" s="552">
        <f t="shared" si="10"/>
        <v>0.11887226692407901</v>
      </c>
      <c r="R27" s="553">
        <f>SUM(Q$13:Q27)</f>
        <v>0.41470674646169348</v>
      </c>
      <c r="S27" s="554">
        <f t="shared" si="11"/>
        <v>0.30051213511716918</v>
      </c>
      <c r="T27" s="565" t="s">
        <v>183</v>
      </c>
      <c r="U27" s="556"/>
      <c r="V27" s="557"/>
      <c r="W27" s="582"/>
    </row>
    <row r="28" spans="1:25" s="564" customFormat="1">
      <c r="A28" s="559">
        <v>340</v>
      </c>
      <c r="B28" s="543">
        <v>15</v>
      </c>
      <c r="C28" s="531">
        <f>C29-D28</f>
        <v>174</v>
      </c>
      <c r="D28" s="588">
        <v>32</v>
      </c>
      <c r="E28" s="589"/>
      <c r="F28" s="590"/>
      <c r="G28" s="591">
        <f t="shared" si="5"/>
        <v>32</v>
      </c>
      <c r="H28" s="589">
        <v>5.7</v>
      </c>
      <c r="I28" s="589"/>
      <c r="J28" s="589"/>
      <c r="K28" s="589"/>
      <c r="L28" s="592">
        <f t="shared" si="6"/>
        <v>5.7</v>
      </c>
      <c r="M28" s="531">
        <f t="shared" si="7"/>
        <v>816.56276252105908</v>
      </c>
      <c r="N28" s="549">
        <f t="shared" si="12"/>
        <v>138</v>
      </c>
      <c r="O28" s="550">
        <f t="shared" si="8"/>
        <v>167.5</v>
      </c>
      <c r="P28" s="551">
        <f t="shared" si="9"/>
        <v>0.39800982229044307</v>
      </c>
      <c r="Q28" s="552">
        <f t="shared" si="10"/>
        <v>0.1174128975756807</v>
      </c>
      <c r="R28" s="553">
        <f>SUM(Q$13:Q28)</f>
        <v>0.53211964403737422</v>
      </c>
      <c r="S28" s="554">
        <f t="shared" si="11"/>
        <v>0.31768336957455179</v>
      </c>
      <c r="T28" s="565"/>
      <c r="U28" s="556"/>
      <c r="V28" s="557"/>
      <c r="W28" s="582"/>
    </row>
    <row r="29" spans="1:25">
      <c r="A29" s="559">
        <v>485</v>
      </c>
      <c r="B29" s="543">
        <v>15</v>
      </c>
      <c r="C29" s="531">
        <f>126+80</f>
        <v>206</v>
      </c>
      <c r="D29" s="588">
        <v>45</v>
      </c>
      <c r="E29" s="589"/>
      <c r="F29" s="590"/>
      <c r="G29" s="591">
        <f t="shared" si="5"/>
        <v>45</v>
      </c>
      <c r="H29" s="589">
        <v>5.7</v>
      </c>
      <c r="I29" s="589"/>
      <c r="J29" s="589"/>
      <c r="K29" s="589"/>
      <c r="L29" s="592">
        <f t="shared" si="6"/>
        <v>5.7</v>
      </c>
      <c r="M29" s="531">
        <f t="shared" si="7"/>
        <v>1148.2913847952393</v>
      </c>
      <c r="N29" s="549">
        <f>(C28+C29-G29)/2</f>
        <v>167.5</v>
      </c>
      <c r="O29" s="550">
        <f t="shared" si="8"/>
        <v>211.5</v>
      </c>
      <c r="P29" s="551">
        <f t="shared" si="9"/>
        <v>0.40930377622210351</v>
      </c>
      <c r="Q29" s="552">
        <f>(P29*(O29-N29))/100</f>
        <v>0.18009366153772555</v>
      </c>
      <c r="R29" s="553">
        <f>SUM(Q$13:Q29)</f>
        <v>0.71221330557509976</v>
      </c>
      <c r="S29" s="554">
        <f t="shared" si="11"/>
        <v>0.3367438797045389</v>
      </c>
      <c r="T29" s="565" t="s">
        <v>184</v>
      </c>
      <c r="U29" s="556"/>
      <c r="V29" s="557"/>
      <c r="W29" s="582"/>
      <c r="X29" s="564"/>
      <c r="Y29" s="564"/>
    </row>
    <row r="30" spans="1:25">
      <c r="A30" s="559">
        <v>310</v>
      </c>
      <c r="B30" s="543">
        <v>15</v>
      </c>
      <c r="C30" s="531">
        <f>C31-D30</f>
        <v>242</v>
      </c>
      <c r="D30" s="588">
        <v>25</v>
      </c>
      <c r="E30" s="589"/>
      <c r="F30" s="590"/>
      <c r="G30" s="591">
        <f t="shared" si="5"/>
        <v>25</v>
      </c>
      <c r="H30" s="589">
        <v>5.7</v>
      </c>
      <c r="I30" s="589"/>
      <c r="J30" s="589"/>
      <c r="K30" s="589"/>
      <c r="L30" s="592">
        <f t="shared" si="6"/>
        <v>5.7</v>
      </c>
      <c r="M30" s="531">
        <f t="shared" si="7"/>
        <v>637.93965821957738</v>
      </c>
      <c r="N30" s="549">
        <f t="shared" si="12"/>
        <v>211.5</v>
      </c>
      <c r="O30" s="550">
        <f t="shared" si="8"/>
        <v>238</v>
      </c>
      <c r="P30" s="551">
        <f t="shared" si="9"/>
        <v>0.46242618122114248</v>
      </c>
      <c r="Q30" s="552">
        <f t="shared" si="10"/>
        <v>0.12254293802360276</v>
      </c>
      <c r="R30" s="553">
        <f>SUM(Q$13:Q30)</f>
        <v>0.83475624359870249</v>
      </c>
      <c r="S30" s="554">
        <f t="shared" si="11"/>
        <v>0.35073791747844646</v>
      </c>
      <c r="T30" s="565"/>
      <c r="U30" s="556"/>
      <c r="V30" s="557"/>
      <c r="W30" s="582"/>
      <c r="X30" s="564"/>
      <c r="Y30" s="564"/>
    </row>
    <row r="31" spans="1:25">
      <c r="A31" s="559">
        <v>395</v>
      </c>
      <c r="B31" s="543">
        <v>15</v>
      </c>
      <c r="C31" s="531">
        <f>187+80</f>
        <v>267</v>
      </c>
      <c r="D31" s="588">
        <v>33</v>
      </c>
      <c r="E31" s="589"/>
      <c r="F31" s="590"/>
      <c r="G31" s="591">
        <f t="shared" si="5"/>
        <v>33</v>
      </c>
      <c r="H31" s="589">
        <v>5.7</v>
      </c>
      <c r="I31" s="589"/>
      <c r="J31" s="589"/>
      <c r="K31" s="589"/>
      <c r="L31" s="592">
        <f t="shared" si="6"/>
        <v>5.7</v>
      </c>
      <c r="M31" s="531">
        <f t="shared" si="7"/>
        <v>842.08034884984215</v>
      </c>
      <c r="N31" s="549">
        <f t="shared" si="12"/>
        <v>238</v>
      </c>
      <c r="O31" s="550">
        <f t="shared" si="8"/>
        <v>264.5</v>
      </c>
      <c r="P31" s="551">
        <f t="shared" si="9"/>
        <v>0.45126335096053966</v>
      </c>
      <c r="Q31" s="552">
        <f t="shared" si="10"/>
        <v>0.11958478800454302</v>
      </c>
      <c r="R31" s="553">
        <f>SUM(Q$13:Q31)</f>
        <v>0.95434103160324546</v>
      </c>
      <c r="S31" s="554">
        <f t="shared" si="11"/>
        <v>0.36080946374413819</v>
      </c>
      <c r="T31" s="565"/>
      <c r="U31" s="556"/>
      <c r="V31" s="557"/>
      <c r="W31" s="582"/>
      <c r="X31" s="564"/>
      <c r="Y31" s="564"/>
    </row>
    <row r="32" spans="1:25">
      <c r="A32" s="559">
        <v>415</v>
      </c>
      <c r="B32" s="543">
        <v>15</v>
      </c>
      <c r="C32" s="531">
        <f>C33-D32</f>
        <v>295</v>
      </c>
      <c r="D32" s="588">
        <v>33</v>
      </c>
      <c r="E32" s="589"/>
      <c r="F32" s="590"/>
      <c r="G32" s="591">
        <f t="shared" si="5"/>
        <v>33</v>
      </c>
      <c r="H32" s="589">
        <v>5.7</v>
      </c>
      <c r="I32" s="589"/>
      <c r="J32" s="589"/>
      <c r="K32" s="589"/>
      <c r="L32" s="592">
        <f t="shared" si="6"/>
        <v>5.7</v>
      </c>
      <c r="M32" s="531">
        <f t="shared" si="7"/>
        <v>842.08034884984215</v>
      </c>
      <c r="N32" s="549">
        <f t="shared" si="12"/>
        <v>264.5</v>
      </c>
      <c r="O32" s="550">
        <f t="shared" si="8"/>
        <v>298.5</v>
      </c>
      <c r="P32" s="551">
        <f t="shared" si="9"/>
        <v>0.47501405364267335</v>
      </c>
      <c r="Q32" s="552">
        <f t="shared" si="10"/>
        <v>0.16150477823850895</v>
      </c>
      <c r="R32" s="553">
        <f>SUM(Q$13:Q32)</f>
        <v>1.1158458098417543</v>
      </c>
      <c r="S32" s="554">
        <f t="shared" si="11"/>
        <v>0.37381769173928114</v>
      </c>
      <c r="T32" s="565"/>
      <c r="U32" s="556"/>
      <c r="V32" s="557"/>
      <c r="W32" s="582"/>
      <c r="X32" s="564"/>
      <c r="Y32" s="564"/>
    </row>
    <row r="33" spans="1:26">
      <c r="A33" s="559">
        <v>325</v>
      </c>
      <c r="B33" s="543">
        <v>15</v>
      </c>
      <c r="C33" s="531">
        <f>248+80</f>
        <v>328</v>
      </c>
      <c r="D33" s="588">
        <v>26</v>
      </c>
      <c r="E33" s="589"/>
      <c r="F33" s="590"/>
      <c r="G33" s="591">
        <f t="shared" si="5"/>
        <v>26</v>
      </c>
      <c r="H33" s="589">
        <v>5.7</v>
      </c>
      <c r="I33" s="589"/>
      <c r="J33" s="589"/>
      <c r="K33" s="589"/>
      <c r="L33" s="592">
        <f t="shared" si="6"/>
        <v>5.7</v>
      </c>
      <c r="M33" s="531">
        <f t="shared" si="7"/>
        <v>663.45724454836056</v>
      </c>
      <c r="N33" s="549">
        <f t="shared" si="12"/>
        <v>298.5</v>
      </c>
      <c r="O33" s="550">
        <f t="shared" si="8"/>
        <v>328.5</v>
      </c>
      <c r="P33" s="551">
        <f t="shared" si="9"/>
        <v>0.46724940084274497</v>
      </c>
      <c r="Q33" s="552">
        <f t="shared" si="10"/>
        <v>0.14017482025282349</v>
      </c>
      <c r="R33" s="553">
        <f>SUM(Q$13:Q33)</f>
        <v>1.2560206300945778</v>
      </c>
      <c r="S33" s="554">
        <f t="shared" si="11"/>
        <v>0.3823502679131135</v>
      </c>
      <c r="T33" s="565"/>
      <c r="U33" s="556"/>
      <c r="V33" s="557"/>
      <c r="W33" s="582"/>
      <c r="X33" s="564"/>
      <c r="Y33" s="564"/>
    </row>
    <row r="34" spans="1:26">
      <c r="A34" s="559">
        <v>430</v>
      </c>
      <c r="B34" s="543">
        <v>15</v>
      </c>
      <c r="C34" s="531">
        <f>285+80</f>
        <v>365</v>
      </c>
      <c r="D34" s="588">
        <v>36</v>
      </c>
      <c r="E34" s="589"/>
      <c r="F34" s="590"/>
      <c r="G34" s="591">
        <f t="shared" si="5"/>
        <v>36</v>
      </c>
      <c r="H34" s="589">
        <v>5.7</v>
      </c>
      <c r="I34" s="589"/>
      <c r="J34" s="589"/>
      <c r="K34" s="589"/>
      <c r="L34" s="592">
        <f t="shared" si="6"/>
        <v>5.7</v>
      </c>
      <c r="M34" s="531">
        <f t="shared" si="7"/>
        <v>918.63310783619147</v>
      </c>
      <c r="N34" s="549">
        <f t="shared" si="12"/>
        <v>328.5</v>
      </c>
      <c r="O34" s="550">
        <f t="shared" si="8"/>
        <v>362.5</v>
      </c>
      <c r="P34" s="551">
        <f t="shared" si="9"/>
        <v>0.45175815726641744</v>
      </c>
      <c r="Q34" s="552">
        <f t="shared" si="10"/>
        <v>0.15359777347058193</v>
      </c>
      <c r="R34" s="553">
        <f>SUM(Q$13:Q34)</f>
        <v>1.4096184035651598</v>
      </c>
      <c r="S34" s="554">
        <f t="shared" si="11"/>
        <v>0.38886024925935442</v>
      </c>
      <c r="T34" s="565"/>
      <c r="U34" s="556"/>
      <c r="V34" s="557"/>
      <c r="W34" s="594"/>
    </row>
    <row r="35" spans="1:26">
      <c r="A35" s="559">
        <v>475</v>
      </c>
      <c r="B35" s="543">
        <v>15</v>
      </c>
      <c r="C35" s="531">
        <f>319+80</f>
        <v>399</v>
      </c>
      <c r="D35" s="588">
        <v>39</v>
      </c>
      <c r="E35" s="589"/>
      <c r="F35" s="590"/>
      <c r="G35" s="591">
        <f t="shared" si="5"/>
        <v>39</v>
      </c>
      <c r="H35" s="589">
        <v>5.7</v>
      </c>
      <c r="I35" s="589"/>
      <c r="J35" s="589"/>
      <c r="K35" s="589"/>
      <c r="L35" s="592">
        <f t="shared" si="6"/>
        <v>5.7</v>
      </c>
      <c r="M35" s="531">
        <f t="shared" si="7"/>
        <v>995.18586682254067</v>
      </c>
      <c r="N35" s="549">
        <f t="shared" si="12"/>
        <v>362.5</v>
      </c>
      <c r="O35" s="550">
        <f t="shared" si="8"/>
        <v>395.5</v>
      </c>
      <c r="P35" s="551">
        <f t="shared" si="9"/>
        <v>0.46222521373690906</v>
      </c>
      <c r="Q35" s="552">
        <f t="shared" si="10"/>
        <v>0.15253432053318</v>
      </c>
      <c r="R35" s="553">
        <f>SUM(Q$13:Q35)</f>
        <v>1.5621527240983397</v>
      </c>
      <c r="S35" s="554">
        <f t="shared" si="11"/>
        <v>0.39498172543573695</v>
      </c>
      <c r="T35" s="565"/>
      <c r="U35" s="556"/>
      <c r="V35" s="557"/>
      <c r="W35" s="595"/>
      <c r="X35" s="596"/>
      <c r="Y35" s="597"/>
      <c r="Z35" s="596"/>
    </row>
    <row r="36" spans="1:26">
      <c r="A36" s="559">
        <v>400</v>
      </c>
      <c r="B36" s="543">
        <v>15</v>
      </c>
      <c r="C36" s="531">
        <f>C37-D36</f>
        <v>421</v>
      </c>
      <c r="D36" s="588">
        <v>29</v>
      </c>
      <c r="E36" s="589"/>
      <c r="F36" s="590"/>
      <c r="G36" s="591">
        <f t="shared" si="5"/>
        <v>29</v>
      </c>
      <c r="H36" s="589">
        <v>5.7</v>
      </c>
      <c r="I36" s="589"/>
      <c r="J36" s="589"/>
      <c r="K36" s="589"/>
      <c r="L36" s="592">
        <f t="shared" si="6"/>
        <v>5.7</v>
      </c>
      <c r="M36" s="531">
        <f t="shared" si="7"/>
        <v>740.01000353470977</v>
      </c>
      <c r="N36" s="549">
        <f t="shared" si="12"/>
        <v>395.5</v>
      </c>
      <c r="O36" s="550">
        <f t="shared" si="8"/>
        <v>423</v>
      </c>
      <c r="P36" s="551">
        <f t="shared" si="9"/>
        <v>0.52026323720087631</v>
      </c>
      <c r="Q36" s="552">
        <f t="shared" si="10"/>
        <v>0.14307239023024099</v>
      </c>
      <c r="R36" s="553">
        <f>SUM(Q$13:Q36)</f>
        <v>1.7052251143285808</v>
      </c>
      <c r="S36" s="554">
        <f t="shared" si="11"/>
        <v>0.40312650456940441</v>
      </c>
      <c r="T36" s="565"/>
      <c r="U36" s="556"/>
      <c r="V36" s="557"/>
      <c r="W36" s="595"/>
      <c r="X36" s="596"/>
      <c r="Y36" s="598"/>
      <c r="Z36" s="596"/>
    </row>
    <row r="37" spans="1:26">
      <c r="A37" s="559">
        <v>345</v>
      </c>
      <c r="B37" s="543">
        <v>15</v>
      </c>
      <c r="C37" s="531">
        <f>C38-D37</f>
        <v>450</v>
      </c>
      <c r="D37" s="588">
        <v>25</v>
      </c>
      <c r="E37" s="589"/>
      <c r="F37" s="590"/>
      <c r="G37" s="591">
        <f t="shared" si="5"/>
        <v>25</v>
      </c>
      <c r="H37" s="589">
        <v>5.7</v>
      </c>
      <c r="I37" s="589"/>
      <c r="J37" s="589"/>
      <c r="K37" s="589"/>
      <c r="L37" s="592">
        <f t="shared" si="6"/>
        <v>5.7</v>
      </c>
      <c r="M37" s="531">
        <f t="shared" si="7"/>
        <v>637.93965821957738</v>
      </c>
      <c r="N37" s="549">
        <f t="shared" si="12"/>
        <v>423</v>
      </c>
      <c r="O37" s="550">
        <f t="shared" si="8"/>
        <v>453.5</v>
      </c>
      <c r="P37" s="551">
        <f t="shared" si="9"/>
        <v>0.51729030441687129</v>
      </c>
      <c r="Q37" s="552">
        <f t="shared" si="10"/>
        <v>0.15777354284714573</v>
      </c>
      <c r="R37" s="553">
        <f>SUM(Q$13:Q37)</f>
        <v>1.8629986571757264</v>
      </c>
      <c r="S37" s="554">
        <f t="shared" si="11"/>
        <v>0.41080455505528701</v>
      </c>
      <c r="T37" s="565"/>
      <c r="U37" s="556"/>
      <c r="V37" s="557"/>
      <c r="W37" s="599"/>
      <c r="X37" s="596"/>
      <c r="Y37" s="596"/>
      <c r="Z37" s="596"/>
    </row>
    <row r="38" spans="1:26">
      <c r="A38" s="559">
        <v>260</v>
      </c>
      <c r="B38" s="543">
        <v>15</v>
      </c>
      <c r="C38" s="531">
        <f>395+80</f>
        <v>475</v>
      </c>
      <c r="D38" s="588">
        <v>18</v>
      </c>
      <c r="E38" s="589"/>
      <c r="F38" s="590"/>
      <c r="G38" s="591">
        <f t="shared" si="5"/>
        <v>18</v>
      </c>
      <c r="H38" s="589">
        <v>5.7</v>
      </c>
      <c r="I38" s="589"/>
      <c r="J38" s="589"/>
      <c r="K38" s="589"/>
      <c r="L38" s="592">
        <f t="shared" si="6"/>
        <v>5.7</v>
      </c>
      <c r="M38" s="531">
        <f t="shared" si="7"/>
        <v>459.31655391809574</v>
      </c>
      <c r="N38" s="549">
        <f t="shared" si="12"/>
        <v>453.5</v>
      </c>
      <c r="O38" s="550">
        <f t="shared" si="8"/>
        <v>474.5</v>
      </c>
      <c r="P38" s="551">
        <f t="shared" si="9"/>
        <v>0.53340119773625194</v>
      </c>
      <c r="Q38" s="552">
        <f t="shared" si="10"/>
        <v>0.1120142515246129</v>
      </c>
      <c r="R38" s="553">
        <f>SUM(Q$13:Q38)</f>
        <v>1.9750129087003394</v>
      </c>
      <c r="S38" s="554">
        <f t="shared" si="11"/>
        <v>0.41623032849322217</v>
      </c>
      <c r="T38" s="565" t="s">
        <v>196</v>
      </c>
      <c r="U38" s="556"/>
      <c r="V38" s="557"/>
      <c r="W38" s="600"/>
      <c r="X38" s="601"/>
    </row>
    <row r="39" spans="1:26">
      <c r="A39" s="559">
        <v>445</v>
      </c>
      <c r="B39" s="543">
        <v>15</v>
      </c>
      <c r="C39" s="531">
        <f>424+80</f>
        <v>504</v>
      </c>
      <c r="D39" s="588">
        <v>30</v>
      </c>
      <c r="E39" s="589"/>
      <c r="F39" s="590"/>
      <c r="G39" s="591">
        <f t="shared" si="5"/>
        <v>30</v>
      </c>
      <c r="H39" s="589">
        <v>5.7</v>
      </c>
      <c r="I39" s="589"/>
      <c r="J39" s="589"/>
      <c r="K39" s="589"/>
      <c r="L39" s="592">
        <f t="shared" si="6"/>
        <v>5.7</v>
      </c>
      <c r="M39" s="531">
        <f t="shared" si="7"/>
        <v>765.52758986349284</v>
      </c>
      <c r="N39" s="549">
        <f t="shared" si="12"/>
        <v>474.5</v>
      </c>
      <c r="O39" s="550">
        <f>C39</f>
        <v>504</v>
      </c>
      <c r="P39" s="551">
        <f t="shared" si="9"/>
        <v>0.56170411843246126</v>
      </c>
      <c r="Q39" s="552">
        <f t="shared" si="10"/>
        <v>0.1657027149375761</v>
      </c>
      <c r="R39" s="553">
        <f>SUM(Q$13:Q39)</f>
        <v>2.1407156236379157</v>
      </c>
      <c r="S39" s="554">
        <f t="shared" si="11"/>
        <v>0.42474516342022134</v>
      </c>
      <c r="T39" s="565" t="s">
        <v>70</v>
      </c>
      <c r="U39" s="556"/>
      <c r="V39" s="557"/>
      <c r="W39" s="601"/>
      <c r="X39" s="601"/>
    </row>
    <row r="40" spans="1:26">
      <c r="A40" s="559"/>
      <c r="B40" s="543"/>
      <c r="C40" s="531"/>
      <c r="D40" s="588"/>
      <c r="E40" s="589"/>
      <c r="F40" s="590"/>
      <c r="G40" s="591"/>
      <c r="H40" s="589"/>
      <c r="I40" s="589"/>
      <c r="J40" s="589"/>
      <c r="K40" s="589"/>
      <c r="L40" s="592"/>
      <c r="M40" s="531"/>
      <c r="N40" s="549"/>
      <c r="O40" s="550"/>
      <c r="P40" s="551"/>
      <c r="Q40" s="552"/>
      <c r="R40" s="553"/>
      <c r="S40" s="554"/>
      <c r="T40" s="565"/>
      <c r="U40" s="556"/>
      <c r="V40" s="557"/>
    </row>
    <row r="41" spans="1:26">
      <c r="A41" s="559"/>
      <c r="B41" s="543"/>
      <c r="C41" s="531"/>
      <c r="D41" s="588"/>
      <c r="E41" s="589"/>
      <c r="F41" s="590"/>
      <c r="G41" s="591"/>
      <c r="H41" s="589"/>
      <c r="I41" s="589"/>
      <c r="J41" s="589"/>
      <c r="K41" s="589"/>
      <c r="L41" s="592"/>
      <c r="M41" s="531"/>
      <c r="N41" s="549"/>
      <c r="O41" s="550"/>
      <c r="P41" s="551"/>
      <c r="Q41" s="552"/>
      <c r="R41" s="553"/>
      <c r="S41" s="554"/>
      <c r="T41" s="565"/>
      <c r="U41" s="556"/>
      <c r="V41" s="557"/>
    </row>
    <row r="42" spans="1:26">
      <c r="A42" s="559"/>
      <c r="B42" s="543"/>
      <c r="C42" s="531"/>
      <c r="D42" s="588"/>
      <c r="E42" s="589"/>
      <c r="F42" s="590"/>
      <c r="G42" s="591"/>
      <c r="H42" s="589"/>
      <c r="I42" s="589"/>
      <c r="J42" s="589"/>
      <c r="K42" s="589"/>
      <c r="L42" s="592"/>
      <c r="M42" s="531"/>
      <c r="N42" s="549"/>
      <c r="O42" s="550"/>
      <c r="P42" s="551"/>
      <c r="Q42" s="552"/>
      <c r="R42" s="553"/>
      <c r="S42" s="554"/>
      <c r="T42" s="565"/>
      <c r="U42" s="556"/>
      <c r="V42" s="557"/>
    </row>
    <row r="43" spans="1:26">
      <c r="A43" s="559"/>
      <c r="B43" s="543"/>
      <c r="C43" s="531"/>
      <c r="D43" s="588"/>
      <c r="E43" s="589"/>
      <c r="F43" s="590"/>
      <c r="G43" s="591"/>
      <c r="H43" s="589"/>
      <c r="I43" s="589"/>
      <c r="J43" s="589"/>
      <c r="K43" s="589"/>
      <c r="L43" s="592"/>
      <c r="M43" s="531"/>
      <c r="N43" s="549"/>
      <c r="O43" s="550"/>
      <c r="P43" s="551"/>
      <c r="Q43" s="552"/>
      <c r="R43" s="553"/>
      <c r="S43" s="554"/>
      <c r="T43" s="565"/>
      <c r="U43" s="556"/>
      <c r="V43" s="557"/>
    </row>
    <row r="44" spans="1:26">
      <c r="A44" s="559"/>
      <c r="B44" s="543"/>
      <c r="C44" s="531"/>
      <c r="D44" s="588"/>
      <c r="E44" s="589"/>
      <c r="F44" s="590"/>
      <c r="G44" s="591"/>
      <c r="H44" s="589"/>
      <c r="I44" s="589"/>
      <c r="J44" s="589"/>
      <c r="K44" s="589"/>
      <c r="L44" s="592"/>
      <c r="M44" s="531"/>
      <c r="N44" s="549"/>
      <c r="O44" s="550"/>
      <c r="P44" s="551"/>
      <c r="Q44" s="552"/>
      <c r="R44" s="553"/>
      <c r="S44" s="554"/>
      <c r="T44" s="565"/>
      <c r="U44" s="556"/>
      <c r="V44" s="557"/>
    </row>
    <row r="45" spans="1:26">
      <c r="A45" s="559"/>
      <c r="B45" s="543"/>
      <c r="C45" s="531"/>
      <c r="D45" s="588"/>
      <c r="E45" s="589"/>
      <c r="F45" s="590"/>
      <c r="G45" s="591"/>
      <c r="H45" s="589"/>
      <c r="I45" s="589"/>
      <c r="J45" s="589"/>
      <c r="K45" s="589"/>
      <c r="L45" s="592"/>
      <c r="M45" s="531"/>
      <c r="N45" s="549"/>
      <c r="O45" s="550"/>
      <c r="P45" s="551"/>
      <c r="Q45" s="552"/>
      <c r="R45" s="553"/>
      <c r="S45" s="554"/>
      <c r="T45" s="565"/>
      <c r="U45" s="556"/>
      <c r="V45" s="557"/>
    </row>
    <row r="46" spans="1:26">
      <c r="A46" s="559"/>
      <c r="B46" s="543"/>
      <c r="C46" s="531"/>
      <c r="D46" s="588"/>
      <c r="E46" s="589"/>
      <c r="F46" s="590"/>
      <c r="G46" s="591"/>
      <c r="H46" s="589"/>
      <c r="I46" s="589"/>
      <c r="J46" s="589"/>
      <c r="K46" s="589"/>
      <c r="L46" s="592"/>
      <c r="M46" s="531"/>
      <c r="N46" s="549"/>
      <c r="O46" s="550"/>
      <c r="P46" s="551"/>
      <c r="Q46" s="552"/>
      <c r="R46" s="553"/>
      <c r="S46" s="554"/>
      <c r="T46" s="565"/>
      <c r="U46" s="556"/>
      <c r="V46" s="557"/>
    </row>
    <row r="47" spans="1:26">
      <c r="A47" s="559"/>
      <c r="B47" s="543"/>
      <c r="C47" s="531"/>
      <c r="D47" s="588"/>
      <c r="E47" s="589"/>
      <c r="F47" s="590"/>
      <c r="G47" s="591"/>
      <c r="H47" s="589"/>
      <c r="I47" s="589"/>
      <c r="J47" s="589"/>
      <c r="K47" s="589"/>
      <c r="L47" s="592"/>
      <c r="M47" s="531"/>
      <c r="N47" s="549"/>
      <c r="O47" s="550"/>
      <c r="P47" s="551"/>
      <c r="Q47" s="552"/>
      <c r="R47" s="553"/>
      <c r="S47" s="554"/>
      <c r="T47" s="565"/>
      <c r="U47" s="556"/>
      <c r="V47" s="557"/>
    </row>
    <row r="48" spans="1:26">
      <c r="A48" s="559"/>
      <c r="B48" s="543"/>
      <c r="C48" s="531"/>
      <c r="D48" s="588"/>
      <c r="E48" s="589"/>
      <c r="F48" s="590"/>
      <c r="G48" s="591"/>
      <c r="H48" s="589"/>
      <c r="I48" s="589"/>
      <c r="J48" s="589"/>
      <c r="K48" s="589"/>
      <c r="L48" s="592"/>
      <c r="M48" s="531"/>
      <c r="N48" s="549"/>
      <c r="O48" s="550"/>
      <c r="P48" s="551"/>
      <c r="Q48" s="552"/>
      <c r="R48" s="553"/>
      <c r="S48" s="554"/>
      <c r="T48" s="565"/>
      <c r="U48" s="556"/>
      <c r="V48" s="557"/>
    </row>
    <row r="49" spans="1:26">
      <c r="A49" s="559"/>
      <c r="B49" s="543"/>
      <c r="C49" s="531"/>
      <c r="D49" s="588"/>
      <c r="E49" s="589"/>
      <c r="F49" s="590"/>
      <c r="G49" s="591"/>
      <c r="H49" s="589"/>
      <c r="I49" s="589"/>
      <c r="J49" s="589"/>
      <c r="K49" s="589"/>
      <c r="L49" s="592"/>
      <c r="M49" s="531"/>
      <c r="N49" s="549"/>
      <c r="O49" s="550"/>
      <c r="P49" s="551"/>
      <c r="Q49" s="552"/>
      <c r="R49" s="553"/>
      <c r="S49" s="554"/>
      <c r="T49" s="565"/>
      <c r="U49" s="556"/>
      <c r="V49" s="557"/>
    </row>
    <row r="50" spans="1:26">
      <c r="A50" s="559"/>
      <c r="B50" s="543"/>
      <c r="C50" s="531"/>
      <c r="D50" s="588"/>
      <c r="E50" s="589"/>
      <c r="F50" s="590"/>
      <c r="G50" s="591"/>
      <c r="H50" s="589"/>
      <c r="I50" s="589"/>
      <c r="J50" s="589"/>
      <c r="K50" s="589"/>
      <c r="L50" s="592"/>
      <c r="M50" s="531"/>
      <c r="N50" s="549"/>
      <c r="O50" s="550"/>
      <c r="P50" s="551"/>
      <c r="Q50" s="552"/>
      <c r="R50" s="553"/>
      <c r="S50" s="554"/>
      <c r="T50" s="565"/>
      <c r="U50" s="556"/>
      <c r="V50" s="557"/>
    </row>
    <row r="51" spans="1:26">
      <c r="A51" s="559"/>
      <c r="B51" s="543"/>
      <c r="C51" s="531"/>
      <c r="D51" s="588"/>
      <c r="E51" s="589"/>
      <c r="F51" s="590"/>
      <c r="G51" s="591"/>
      <c r="H51" s="589"/>
      <c r="I51" s="589"/>
      <c r="J51" s="589"/>
      <c r="K51" s="589"/>
      <c r="L51" s="592"/>
      <c r="M51" s="531"/>
      <c r="N51" s="549"/>
      <c r="O51" s="550"/>
      <c r="P51" s="551"/>
      <c r="Q51" s="552"/>
      <c r="R51" s="553"/>
      <c r="S51" s="554"/>
      <c r="T51" s="565"/>
      <c r="U51" s="556"/>
      <c r="V51" s="557"/>
    </row>
    <row r="52" spans="1:26" ht="12" thickBot="1">
      <c r="A52" s="559"/>
      <c r="B52" s="543"/>
      <c r="C52" s="531"/>
      <c r="D52" s="588"/>
      <c r="E52" s="589"/>
      <c r="F52" s="590"/>
      <c r="G52" s="591"/>
      <c r="H52" s="589"/>
      <c r="I52" s="589"/>
      <c r="J52" s="589"/>
      <c r="K52" s="589"/>
      <c r="L52" s="592"/>
      <c r="M52" s="531"/>
      <c r="N52" s="549"/>
      <c r="O52" s="550"/>
      <c r="P52" s="551"/>
      <c r="Q52" s="552"/>
      <c r="R52" s="553"/>
      <c r="S52" s="554"/>
      <c r="T52" s="565"/>
      <c r="U52" s="556"/>
      <c r="V52" s="602"/>
    </row>
    <row r="53" spans="1:26">
      <c r="A53" s="559"/>
      <c r="B53" s="543"/>
      <c r="C53" s="531"/>
      <c r="D53" s="588"/>
      <c r="E53" s="589"/>
      <c r="F53" s="590"/>
      <c r="G53" s="591"/>
      <c r="H53" s="589"/>
      <c r="I53" s="589"/>
      <c r="J53" s="589"/>
      <c r="K53" s="589"/>
      <c r="L53" s="592"/>
      <c r="M53" s="531"/>
      <c r="N53" s="549"/>
      <c r="O53" s="550"/>
      <c r="P53" s="551"/>
      <c r="Q53" s="552"/>
      <c r="R53" s="553"/>
      <c r="S53" s="554"/>
      <c r="T53" s="565"/>
      <c r="U53" s="603" t="s">
        <v>158</v>
      </c>
      <c r="V53" s="604">
        <f>AVERAGE(V12:V52)</f>
        <v>458</v>
      </c>
    </row>
    <row r="54" spans="1:26">
      <c r="A54" s="559"/>
      <c r="B54" s="543"/>
      <c r="C54" s="531"/>
      <c r="D54" s="588"/>
      <c r="E54" s="589"/>
      <c r="F54" s="590"/>
      <c r="G54" s="591"/>
      <c r="H54" s="589"/>
      <c r="I54" s="589"/>
      <c r="J54" s="589"/>
      <c r="K54" s="589"/>
      <c r="L54" s="592"/>
      <c r="M54" s="531"/>
      <c r="N54" s="549"/>
      <c r="O54" s="550"/>
      <c r="P54" s="551"/>
      <c r="Q54" s="552"/>
      <c r="R54" s="553"/>
      <c r="S54" s="554"/>
      <c r="T54" s="565"/>
      <c r="U54" s="433" t="s">
        <v>159</v>
      </c>
      <c r="V54" s="602" t="e">
        <f>STDEV(V12:V52)</f>
        <v>#DIV/0!</v>
      </c>
      <c r="W54" s="605"/>
      <c r="X54" s="605"/>
    </row>
    <row r="55" spans="1:26">
      <c r="A55" s="606" t="s">
        <v>160</v>
      </c>
      <c r="B55" s="607"/>
      <c r="C55" s="608"/>
      <c r="D55" s="608"/>
      <c r="E55" s="608"/>
      <c r="F55" s="608"/>
      <c r="G55" s="609"/>
      <c r="H55" s="608"/>
      <c r="I55" s="608"/>
      <c r="J55" s="608"/>
      <c r="K55" s="608"/>
      <c r="L55" s="610"/>
      <c r="M55" s="608"/>
      <c r="N55" s="611"/>
      <c r="O55" s="612"/>
      <c r="P55" s="613"/>
      <c r="Q55" s="614"/>
      <c r="R55" s="615"/>
      <c r="S55" s="616"/>
      <c r="T55" s="617"/>
      <c r="U55" s="433" t="s">
        <v>161</v>
      </c>
      <c r="V55" s="602" t="e">
        <f>V54/SQRT(COUNT(V12:V51))</f>
        <v>#DIV/0!</v>
      </c>
      <c r="W55" s="600"/>
      <c r="X55" s="605"/>
      <c r="Y55" s="605"/>
      <c r="Z55" s="605"/>
    </row>
    <row r="56" spans="1:26">
      <c r="A56" s="618"/>
      <c r="B56" s="619"/>
      <c r="C56" s="620"/>
      <c r="D56" s="620"/>
      <c r="E56" s="620"/>
      <c r="F56" s="620"/>
      <c r="G56" s="621"/>
      <c r="H56" s="620"/>
      <c r="I56" s="620"/>
      <c r="J56" s="620"/>
      <c r="K56" s="620"/>
      <c r="L56" s="622"/>
      <c r="M56" s="620"/>
      <c r="N56" s="623"/>
      <c r="O56" s="624"/>
      <c r="P56" s="625"/>
      <c r="Q56" s="626"/>
      <c r="R56" s="627"/>
      <c r="S56" s="628"/>
      <c r="T56" s="629"/>
      <c r="U56" s="433" t="s">
        <v>162</v>
      </c>
      <c r="V56" s="602">
        <f>MAX(V12:V52)</f>
        <v>458</v>
      </c>
      <c r="W56" s="600"/>
    </row>
    <row r="57" spans="1:26" ht="12" thickBot="1">
      <c r="A57" s="630"/>
      <c r="B57" s="631"/>
      <c r="C57" s="632"/>
      <c r="D57" s="632"/>
      <c r="E57" s="632"/>
      <c r="F57" s="632"/>
      <c r="G57" s="633"/>
      <c r="H57" s="632"/>
      <c r="I57" s="632"/>
      <c r="J57" s="632"/>
      <c r="K57" s="632"/>
      <c r="L57" s="634"/>
      <c r="M57" s="632"/>
      <c r="N57" s="635"/>
      <c r="O57" s="636"/>
      <c r="P57" s="637"/>
      <c r="Q57" s="638"/>
      <c r="R57" s="639"/>
      <c r="S57" s="640"/>
      <c r="T57" s="641"/>
      <c r="U57" s="642" t="s">
        <v>163</v>
      </c>
      <c r="V57" s="643">
        <f>MIN(V12:V52)</f>
        <v>458</v>
      </c>
      <c r="W57" s="605"/>
    </row>
    <row r="58" spans="1:26">
      <c r="A58" s="644"/>
      <c r="B58" s="644"/>
      <c r="C58" s="645"/>
      <c r="D58" s="646"/>
      <c r="E58" s="646"/>
      <c r="F58" s="646"/>
      <c r="G58" s="647"/>
      <c r="H58" s="648"/>
      <c r="I58" s="649"/>
      <c r="J58" s="650"/>
      <c r="K58" s="651"/>
      <c r="L58" s="652"/>
      <c r="M58" s="605"/>
      <c r="O58" s="593"/>
      <c r="P58" s="653"/>
    </row>
    <row r="59" spans="1:26">
      <c r="A59" s="605"/>
      <c r="B59" s="605"/>
      <c r="C59" s="654"/>
      <c r="D59" s="654"/>
      <c r="E59" s="654"/>
      <c r="F59" s="654"/>
      <c r="G59" s="649"/>
      <c r="H59" s="648"/>
      <c r="I59" s="649"/>
      <c r="J59" s="650"/>
      <c r="K59" s="655"/>
      <c r="L59" s="652"/>
      <c r="M59" s="605"/>
      <c r="O59" s="593"/>
      <c r="P59" s="653"/>
    </row>
    <row r="60" spans="1:26">
      <c r="A60" s="656"/>
      <c r="B60" s="656"/>
      <c r="C60" s="656"/>
      <c r="D60" s="656"/>
      <c r="E60" s="650"/>
      <c r="F60" s="657"/>
      <c r="G60" s="605"/>
      <c r="H60" s="593"/>
      <c r="I60" s="605"/>
      <c r="J60" s="593"/>
      <c r="K60" s="593"/>
      <c r="L60" s="605"/>
      <c r="M60" s="605"/>
      <c r="O60" s="593"/>
      <c r="P60" s="653"/>
    </row>
    <row r="61" spans="1:26">
      <c r="A61" s="658"/>
      <c r="B61" s="658"/>
      <c r="C61" s="656"/>
      <c r="D61" s="656"/>
      <c r="E61" s="650"/>
      <c r="F61" s="657"/>
      <c r="G61" s="593"/>
      <c r="H61" s="593"/>
      <c r="I61" s="605"/>
      <c r="J61" s="593"/>
      <c r="K61" s="593"/>
      <c r="L61" s="605"/>
      <c r="M61" s="605"/>
      <c r="O61" s="593"/>
      <c r="P61" s="653"/>
    </row>
    <row r="62" spans="1:26">
      <c r="A62" s="502"/>
      <c r="B62" s="502"/>
      <c r="C62" s="656"/>
      <c r="D62" s="656"/>
      <c r="E62" s="650"/>
      <c r="F62" s="657"/>
      <c r="G62" s="593"/>
      <c r="H62" s="593"/>
      <c r="I62" s="605"/>
      <c r="J62" s="593"/>
      <c r="K62" s="593"/>
      <c r="L62" s="605"/>
      <c r="M62" s="605"/>
      <c r="O62" s="593"/>
      <c r="P62" s="653"/>
    </row>
    <row r="63" spans="1:26">
      <c r="A63" s="656"/>
      <c r="B63" s="656"/>
      <c r="C63" s="656"/>
      <c r="D63" s="656"/>
      <c r="E63" s="650"/>
      <c r="F63" s="657"/>
      <c r="G63" s="593"/>
      <c r="H63" s="593"/>
      <c r="I63" s="605"/>
      <c r="J63" s="593"/>
      <c r="K63" s="593"/>
      <c r="L63" s="605"/>
      <c r="M63" s="605"/>
      <c r="O63" s="593"/>
      <c r="P63" s="653"/>
    </row>
    <row r="64" spans="1:26">
      <c r="A64" s="656"/>
      <c r="B64" s="656"/>
      <c r="C64" s="656"/>
      <c r="D64" s="656"/>
      <c r="E64" s="650"/>
      <c r="F64" s="657"/>
      <c r="G64" s="593"/>
      <c r="H64" s="593"/>
      <c r="I64" s="605"/>
      <c r="J64" s="649"/>
      <c r="K64" s="593"/>
      <c r="L64" s="605"/>
      <c r="M64" s="605"/>
      <c r="O64" s="593"/>
      <c r="P64" s="653"/>
    </row>
    <row r="65" spans="1:16">
      <c r="A65" s="656"/>
      <c r="B65" s="656"/>
      <c r="C65" s="656"/>
      <c r="D65" s="656"/>
      <c r="E65" s="650"/>
      <c r="F65" s="657"/>
      <c r="G65" s="593"/>
      <c r="H65" s="593"/>
      <c r="I65" s="605"/>
      <c r="J65" s="649"/>
      <c r="K65" s="593"/>
      <c r="L65" s="605"/>
      <c r="M65" s="605"/>
      <c r="O65" s="593"/>
      <c r="P65" s="653"/>
    </row>
    <row r="66" spans="1:16">
      <c r="A66" s="656"/>
      <c r="B66" s="656"/>
      <c r="C66" s="656"/>
      <c r="D66" s="656"/>
      <c r="E66" s="650"/>
      <c r="F66" s="657"/>
      <c r="G66" s="593"/>
      <c r="H66" s="593"/>
      <c r="I66" s="605"/>
      <c r="J66" s="593"/>
      <c r="K66" s="593"/>
      <c r="L66" s="605"/>
      <c r="M66" s="605"/>
      <c r="O66" s="593"/>
      <c r="P66" s="653"/>
    </row>
    <row r="67" spans="1:16">
      <c r="A67" s="656"/>
      <c r="B67" s="656"/>
      <c r="C67" s="656"/>
      <c r="D67" s="656"/>
      <c r="E67" s="650"/>
      <c r="F67" s="657"/>
      <c r="G67" s="593"/>
      <c r="H67" s="593"/>
      <c r="I67" s="605"/>
      <c r="J67" s="593"/>
      <c r="K67" s="593"/>
      <c r="L67" s="605"/>
      <c r="M67" s="605"/>
      <c r="O67" s="593"/>
      <c r="P67" s="653"/>
    </row>
    <row r="68" spans="1:16">
      <c r="A68" s="656"/>
      <c r="B68" s="656"/>
      <c r="C68" s="656"/>
      <c r="D68" s="656"/>
      <c r="E68" s="650"/>
      <c r="F68" s="657"/>
      <c r="G68" s="593"/>
      <c r="H68" s="593"/>
      <c r="I68" s="605"/>
      <c r="J68" s="593"/>
      <c r="K68" s="593"/>
      <c r="L68" s="605"/>
      <c r="M68" s="605"/>
      <c r="O68" s="593"/>
      <c r="P68" s="653"/>
    </row>
    <row r="69" spans="1:16">
      <c r="A69" s="656"/>
      <c r="B69" s="656"/>
      <c r="C69" s="656"/>
      <c r="D69" s="656"/>
      <c r="E69" s="650"/>
      <c r="F69" s="657"/>
      <c r="G69" s="593"/>
      <c r="H69" s="593"/>
      <c r="I69" s="605"/>
      <c r="J69" s="593"/>
      <c r="K69" s="593"/>
      <c r="L69" s="605"/>
      <c r="M69" s="605"/>
      <c r="O69" s="593"/>
      <c r="P69" s="653"/>
    </row>
    <row r="70" spans="1:16">
      <c r="A70" s="656"/>
      <c r="B70" s="656"/>
      <c r="C70" s="656"/>
      <c r="D70" s="656"/>
      <c r="E70" s="650"/>
      <c r="F70" s="657"/>
      <c r="G70" s="593"/>
      <c r="H70" s="593"/>
      <c r="I70" s="605"/>
      <c r="J70" s="593"/>
      <c r="K70" s="593"/>
      <c r="L70" s="605"/>
      <c r="M70" s="605"/>
      <c r="O70" s="593"/>
      <c r="P70" s="653"/>
    </row>
    <row r="71" spans="1:16">
      <c r="A71" s="656"/>
      <c r="B71" s="656"/>
      <c r="C71" s="656"/>
      <c r="D71" s="656"/>
      <c r="E71" s="650"/>
      <c r="F71" s="657"/>
      <c r="G71" s="593"/>
      <c r="H71" s="593"/>
      <c r="I71" s="605"/>
      <c r="J71" s="593"/>
      <c r="K71" s="593"/>
      <c r="L71" s="605"/>
      <c r="O71" s="593"/>
      <c r="P71" s="653"/>
    </row>
    <row r="72" spans="1:16">
      <c r="A72" s="656"/>
      <c r="B72" s="656"/>
      <c r="C72" s="656"/>
      <c r="D72" s="656"/>
      <c r="E72" s="650"/>
      <c r="F72" s="657"/>
      <c r="G72" s="593"/>
      <c r="H72" s="593"/>
      <c r="I72" s="605"/>
      <c r="J72" s="593"/>
      <c r="K72" s="593"/>
      <c r="L72" s="605"/>
      <c r="O72" s="593"/>
      <c r="P72" s="653"/>
    </row>
    <row r="73" spans="1:16">
      <c r="A73" s="656"/>
      <c r="B73" s="656"/>
      <c r="C73" s="656"/>
      <c r="D73" s="656"/>
      <c r="E73" s="650"/>
      <c r="F73" s="657"/>
      <c r="G73" s="593"/>
      <c r="H73" s="593"/>
      <c r="I73" s="605"/>
      <c r="J73" s="593"/>
      <c r="K73" s="593"/>
      <c r="L73" s="593"/>
      <c r="O73" s="593"/>
      <c r="P73" s="653"/>
    </row>
    <row r="74" spans="1:16">
      <c r="A74" s="656"/>
      <c r="B74" s="656"/>
      <c r="C74" s="656"/>
      <c r="D74" s="656"/>
      <c r="E74" s="650"/>
      <c r="F74" s="657"/>
      <c r="G74" s="593"/>
      <c r="H74" s="593"/>
      <c r="I74" s="605"/>
      <c r="J74" s="593"/>
      <c r="K74" s="593"/>
      <c r="L74" s="593"/>
      <c r="O74" s="593"/>
      <c r="P74" s="653"/>
    </row>
    <row r="75" spans="1:16">
      <c r="A75" s="656"/>
      <c r="B75" s="656"/>
      <c r="C75" s="656"/>
      <c r="D75" s="656"/>
      <c r="E75" s="650"/>
      <c r="F75" s="657"/>
      <c r="G75" s="593"/>
      <c r="H75" s="593"/>
      <c r="I75" s="605"/>
      <c r="J75" s="593"/>
      <c r="K75" s="593"/>
      <c r="L75" s="593"/>
      <c r="O75" s="593"/>
      <c r="P75" s="653"/>
    </row>
    <row r="76" spans="1:16">
      <c r="A76" s="656"/>
      <c r="B76" s="656"/>
      <c r="C76" s="656"/>
      <c r="D76" s="656"/>
      <c r="E76" s="650"/>
      <c r="F76" s="657"/>
      <c r="G76" s="593"/>
      <c r="H76" s="593"/>
      <c r="I76" s="605"/>
      <c r="J76" s="593"/>
      <c r="K76" s="593"/>
      <c r="L76" s="593"/>
      <c r="O76" s="593"/>
      <c r="P76" s="653"/>
    </row>
    <row r="77" spans="1:16">
      <c r="A77" s="656"/>
      <c r="B77" s="656"/>
      <c r="C77" s="656"/>
      <c r="D77" s="656"/>
      <c r="E77" s="650"/>
      <c r="F77" s="657"/>
      <c r="G77" s="593"/>
      <c r="H77" s="593"/>
      <c r="I77" s="605"/>
      <c r="J77" s="593"/>
      <c r="K77" s="593"/>
      <c r="L77" s="593"/>
      <c r="O77" s="593"/>
      <c r="P77" s="653"/>
    </row>
    <row r="78" spans="1:16">
      <c r="A78" s="656"/>
      <c r="B78" s="656"/>
      <c r="C78" s="656"/>
      <c r="D78" s="656"/>
      <c r="E78" s="650"/>
      <c r="F78" s="657"/>
      <c r="G78" s="593"/>
      <c r="H78" s="593"/>
      <c r="I78" s="605"/>
      <c r="J78" s="593"/>
      <c r="K78" s="593"/>
      <c r="L78" s="593"/>
      <c r="O78" s="593"/>
      <c r="P78" s="653"/>
    </row>
    <row r="79" spans="1:16">
      <c r="A79" s="656"/>
      <c r="B79" s="656"/>
      <c r="C79" s="656"/>
      <c r="D79" s="656"/>
      <c r="E79" s="650"/>
      <c r="F79" s="657"/>
      <c r="G79" s="593"/>
      <c r="H79" s="593"/>
      <c r="I79" s="605"/>
      <c r="J79" s="593"/>
      <c r="K79" s="593"/>
      <c r="L79" s="593"/>
      <c r="O79" s="593"/>
      <c r="P79" s="653"/>
    </row>
    <row r="80" spans="1:16">
      <c r="A80" s="656"/>
      <c r="B80" s="656"/>
      <c r="C80" s="656"/>
      <c r="D80" s="656"/>
      <c r="E80" s="650"/>
      <c r="F80" s="657"/>
      <c r="G80" s="593"/>
      <c r="H80" s="593"/>
      <c r="I80" s="605"/>
      <c r="J80" s="593"/>
      <c r="K80" s="593"/>
      <c r="L80" s="593"/>
      <c r="O80" s="593"/>
      <c r="P80" s="653"/>
    </row>
    <row r="81" spans="1:19">
      <c r="A81" s="656"/>
      <c r="B81" s="656"/>
      <c r="C81" s="656"/>
      <c r="D81" s="656"/>
      <c r="E81" s="650"/>
      <c r="F81" s="657"/>
      <c r="G81" s="593"/>
      <c r="H81" s="593"/>
      <c r="I81" s="605"/>
      <c r="J81" s="593"/>
      <c r="K81" s="593"/>
      <c r="L81" s="593"/>
      <c r="O81" s="593"/>
      <c r="P81" s="653"/>
    </row>
    <row r="82" spans="1:19">
      <c r="A82" s="656"/>
      <c r="B82" s="656"/>
      <c r="C82" s="656"/>
      <c r="D82" s="656"/>
      <c r="E82" s="650"/>
      <c r="F82" s="657"/>
      <c r="G82" s="593"/>
      <c r="H82" s="593"/>
      <c r="I82" s="605"/>
      <c r="J82" s="593"/>
      <c r="K82" s="593"/>
      <c r="L82" s="593"/>
      <c r="O82" s="593"/>
      <c r="P82" s="653"/>
    </row>
    <row r="83" spans="1:19">
      <c r="A83" s="656"/>
      <c r="B83" s="656"/>
      <c r="C83" s="656"/>
      <c r="D83" s="656"/>
      <c r="E83" s="650"/>
      <c r="F83" s="657"/>
      <c r="G83" s="593"/>
      <c r="H83" s="593"/>
      <c r="I83" s="605"/>
      <c r="J83" s="593"/>
      <c r="K83" s="593"/>
      <c r="L83" s="593"/>
      <c r="O83" s="593"/>
      <c r="P83" s="653"/>
    </row>
    <row r="84" spans="1:19">
      <c r="A84" s="656"/>
      <c r="B84" s="656"/>
      <c r="C84" s="656"/>
      <c r="D84" s="656"/>
      <c r="E84" s="650"/>
      <c r="F84" s="657"/>
      <c r="G84" s="653"/>
      <c r="H84" s="593"/>
      <c r="I84" s="605"/>
      <c r="J84" s="593"/>
      <c r="K84" s="593"/>
      <c r="L84" s="593"/>
      <c r="O84" s="593"/>
      <c r="P84" s="653"/>
    </row>
    <row r="85" spans="1:19">
      <c r="A85" s="656"/>
      <c r="B85" s="656"/>
      <c r="C85" s="656"/>
      <c r="D85" s="656"/>
      <c r="E85" s="650"/>
      <c r="F85" s="657"/>
      <c r="G85" s="653"/>
      <c r="H85" s="593"/>
      <c r="I85" s="605"/>
      <c r="J85" s="593"/>
      <c r="K85" s="593"/>
      <c r="L85" s="593"/>
      <c r="O85" s="593"/>
      <c r="P85" s="653"/>
    </row>
    <row r="86" spans="1:19">
      <c r="A86" s="656"/>
      <c r="B86" s="656"/>
      <c r="C86" s="656"/>
      <c r="D86" s="656"/>
      <c r="E86" s="650"/>
      <c r="F86" s="657"/>
      <c r="G86" s="653"/>
      <c r="H86" s="593"/>
      <c r="I86" s="605"/>
      <c r="J86" s="593"/>
      <c r="K86" s="593"/>
      <c r="L86" s="593"/>
      <c r="O86" s="593"/>
      <c r="P86" s="653"/>
    </row>
    <row r="87" spans="1:19">
      <c r="A87" s="656"/>
      <c r="B87" s="656"/>
      <c r="C87" s="656"/>
      <c r="D87" s="656"/>
      <c r="E87" s="650"/>
      <c r="F87" s="657"/>
      <c r="G87" s="653"/>
      <c r="H87" s="593"/>
      <c r="I87" s="605"/>
      <c r="J87" s="593"/>
      <c r="K87" s="593"/>
      <c r="L87" s="593"/>
      <c r="O87" s="593"/>
      <c r="P87" s="653"/>
    </row>
    <row r="88" spans="1:19">
      <c r="A88" s="656"/>
      <c r="B88" s="656"/>
      <c r="C88" s="656"/>
      <c r="D88" s="656"/>
      <c r="E88" s="650"/>
      <c r="F88" s="657"/>
      <c r="G88" s="593"/>
      <c r="H88" s="593"/>
      <c r="I88" s="605"/>
      <c r="J88" s="593"/>
      <c r="K88" s="593"/>
      <c r="L88" s="593"/>
      <c r="O88" s="593"/>
      <c r="P88" s="653"/>
    </row>
    <row r="89" spans="1:19">
      <c r="A89" s="656"/>
      <c r="B89" s="656"/>
      <c r="C89" s="656"/>
      <c r="D89" s="656"/>
      <c r="E89" s="650"/>
      <c r="F89" s="657"/>
      <c r="G89" s="593"/>
      <c r="H89" s="593"/>
      <c r="I89" s="605"/>
      <c r="J89" s="593"/>
      <c r="K89" s="593"/>
      <c r="L89" s="593"/>
      <c r="O89" s="593"/>
      <c r="P89" s="653"/>
    </row>
    <row r="90" spans="1:19" s="656" customFormat="1">
      <c r="E90" s="650"/>
      <c r="F90" s="657"/>
      <c r="G90" s="593"/>
      <c r="H90" s="593"/>
      <c r="I90" s="605"/>
      <c r="J90" s="593"/>
      <c r="K90" s="593"/>
      <c r="L90" s="593"/>
      <c r="M90" s="593"/>
      <c r="N90" s="593"/>
      <c r="O90" s="593"/>
      <c r="P90" s="653"/>
      <c r="Q90" s="653"/>
      <c r="R90" s="659"/>
      <c r="S90" s="659"/>
    </row>
    <row r="91" spans="1:19" s="656" customFormat="1">
      <c r="E91" s="650"/>
      <c r="F91" s="657"/>
      <c r="G91" s="593"/>
      <c r="H91" s="593"/>
      <c r="I91" s="605"/>
      <c r="J91" s="593"/>
      <c r="K91" s="593"/>
      <c r="L91" s="593"/>
      <c r="M91" s="593"/>
      <c r="N91" s="593"/>
      <c r="O91" s="593"/>
      <c r="P91" s="653"/>
      <c r="Q91" s="653"/>
      <c r="R91" s="659"/>
      <c r="S91" s="659"/>
    </row>
    <row r="92" spans="1:19" s="656" customFormat="1">
      <c r="E92" s="650"/>
      <c r="F92" s="657"/>
      <c r="G92" s="593"/>
      <c r="H92" s="593"/>
      <c r="I92" s="605"/>
      <c r="J92" s="593"/>
      <c r="K92" s="593"/>
      <c r="L92" s="593"/>
      <c r="M92" s="593"/>
      <c r="N92" s="593"/>
      <c r="O92" s="593"/>
      <c r="P92" s="653"/>
      <c r="Q92" s="653"/>
      <c r="R92" s="659"/>
      <c r="S92" s="659"/>
    </row>
    <row r="93" spans="1:19" s="656" customFormat="1">
      <c r="E93" s="650"/>
      <c r="F93" s="657"/>
      <c r="G93" s="593"/>
      <c r="H93" s="593"/>
      <c r="I93" s="605"/>
      <c r="J93" s="593"/>
      <c r="K93" s="593"/>
      <c r="L93" s="593"/>
      <c r="M93" s="593"/>
      <c r="N93" s="593"/>
      <c r="O93" s="593"/>
      <c r="P93" s="653"/>
      <c r="Q93" s="653"/>
      <c r="R93" s="659"/>
      <c r="S93" s="659"/>
    </row>
    <row r="94" spans="1:19" s="656" customFormat="1">
      <c r="E94" s="650"/>
      <c r="F94" s="657"/>
      <c r="G94" s="593"/>
      <c r="H94" s="593"/>
      <c r="I94" s="605"/>
      <c r="J94" s="593"/>
      <c r="K94" s="593"/>
      <c r="L94" s="593"/>
      <c r="M94" s="593"/>
      <c r="N94" s="593"/>
      <c r="O94" s="593"/>
      <c r="P94" s="653"/>
      <c r="Q94" s="653"/>
      <c r="R94" s="659"/>
      <c r="S94" s="659"/>
    </row>
    <row r="95" spans="1:19" s="656" customFormat="1">
      <c r="E95" s="650"/>
      <c r="F95" s="657"/>
      <c r="G95" s="593"/>
      <c r="H95" s="593"/>
      <c r="I95" s="605"/>
      <c r="J95" s="593"/>
      <c r="K95" s="593"/>
      <c r="L95" s="593"/>
      <c r="M95" s="593"/>
      <c r="P95" s="659"/>
      <c r="Q95" s="659"/>
      <c r="R95" s="659"/>
      <c r="S95" s="659"/>
    </row>
    <row r="96" spans="1:19" s="656" customFormat="1">
      <c r="E96" s="650"/>
      <c r="F96" s="657"/>
      <c r="G96" s="593"/>
      <c r="H96" s="593"/>
      <c r="I96" s="605"/>
      <c r="J96" s="593"/>
      <c r="K96" s="593"/>
      <c r="L96" s="593"/>
      <c r="M96" s="593"/>
      <c r="P96" s="659"/>
      <c r="Q96" s="659"/>
      <c r="R96" s="659"/>
      <c r="S96" s="659"/>
    </row>
    <row r="97" spans="5:19" s="656" customFormat="1">
      <c r="E97" s="650"/>
      <c r="F97" s="657"/>
      <c r="G97" s="593"/>
      <c r="H97" s="593"/>
      <c r="I97" s="605"/>
      <c r="J97" s="593"/>
      <c r="K97" s="593"/>
      <c r="L97" s="593"/>
      <c r="M97" s="593"/>
      <c r="P97" s="659"/>
      <c r="Q97" s="659"/>
      <c r="R97" s="659"/>
      <c r="S97" s="659"/>
    </row>
    <row r="98" spans="5:19" s="656" customFormat="1">
      <c r="E98" s="650"/>
      <c r="F98" s="657"/>
      <c r="G98" s="593"/>
      <c r="H98" s="593"/>
      <c r="I98" s="605"/>
      <c r="J98" s="593"/>
      <c r="K98" s="593"/>
      <c r="L98" s="593"/>
      <c r="M98" s="593"/>
      <c r="P98" s="659"/>
      <c r="Q98" s="659"/>
      <c r="R98" s="659"/>
      <c r="S98" s="659"/>
    </row>
    <row r="99" spans="5:19" s="656" customFormat="1">
      <c r="E99" s="650"/>
      <c r="F99" s="657"/>
      <c r="G99" s="593"/>
      <c r="H99" s="593"/>
      <c r="I99" s="605"/>
      <c r="J99" s="593"/>
      <c r="K99" s="593"/>
      <c r="L99" s="593"/>
      <c r="M99" s="593"/>
      <c r="P99" s="659"/>
      <c r="Q99" s="659"/>
      <c r="R99" s="659"/>
      <c r="S99" s="659"/>
    </row>
    <row r="100" spans="5:19" s="656" customFormat="1">
      <c r="E100" s="650"/>
      <c r="F100" s="657"/>
      <c r="G100" s="593"/>
      <c r="H100" s="593"/>
      <c r="I100" s="605"/>
      <c r="J100" s="593"/>
      <c r="K100" s="593"/>
      <c r="L100" s="593"/>
      <c r="M100" s="593"/>
      <c r="P100" s="659"/>
      <c r="Q100" s="659"/>
      <c r="R100" s="659"/>
      <c r="S100" s="659"/>
    </row>
    <row r="101" spans="5:19" s="656" customFormat="1">
      <c r="E101" s="650"/>
      <c r="F101" s="657"/>
      <c r="G101" s="593"/>
      <c r="H101" s="593"/>
      <c r="I101" s="605"/>
      <c r="J101" s="593"/>
      <c r="K101" s="593"/>
      <c r="L101" s="593"/>
      <c r="M101" s="593"/>
      <c r="P101" s="659"/>
      <c r="Q101" s="659"/>
      <c r="R101" s="659"/>
      <c r="S101" s="659"/>
    </row>
    <row r="102" spans="5:19" s="656" customFormat="1">
      <c r="E102" s="650"/>
      <c r="F102" s="657"/>
      <c r="G102" s="593"/>
      <c r="H102" s="593"/>
      <c r="I102" s="605"/>
      <c r="J102" s="593"/>
      <c r="K102" s="593"/>
      <c r="L102" s="593"/>
      <c r="M102" s="593"/>
      <c r="P102" s="659"/>
      <c r="Q102" s="659"/>
      <c r="R102" s="659"/>
      <c r="S102" s="659"/>
    </row>
    <row r="103" spans="5:19" s="656" customFormat="1">
      <c r="E103" s="650"/>
      <c r="F103" s="657"/>
      <c r="G103" s="593"/>
      <c r="H103" s="593"/>
      <c r="I103" s="605"/>
      <c r="J103" s="593"/>
      <c r="K103" s="593"/>
      <c r="L103" s="593"/>
      <c r="M103" s="593"/>
      <c r="P103" s="659"/>
      <c r="Q103" s="659"/>
      <c r="R103" s="659"/>
      <c r="S103" s="659"/>
    </row>
    <row r="104" spans="5:19" s="656" customFormat="1">
      <c r="E104" s="650"/>
      <c r="F104" s="657"/>
      <c r="G104" s="593"/>
      <c r="H104" s="593"/>
      <c r="I104" s="605"/>
      <c r="J104" s="593"/>
      <c r="K104" s="593"/>
      <c r="L104" s="593"/>
      <c r="M104" s="593"/>
      <c r="P104" s="659"/>
      <c r="Q104" s="659"/>
      <c r="R104" s="659"/>
      <c r="S104" s="659"/>
    </row>
    <row r="105" spans="5:19" s="656" customFormat="1">
      <c r="E105" s="650"/>
      <c r="F105" s="657"/>
      <c r="G105" s="593"/>
      <c r="H105" s="593"/>
      <c r="I105" s="605"/>
      <c r="J105" s="593"/>
      <c r="K105" s="593"/>
      <c r="L105" s="593"/>
      <c r="M105" s="593"/>
      <c r="P105" s="659"/>
      <c r="Q105" s="659"/>
      <c r="R105" s="659"/>
      <c r="S105" s="659"/>
    </row>
    <row r="106" spans="5:19" s="656" customFormat="1">
      <c r="E106" s="650"/>
      <c r="F106" s="657"/>
      <c r="G106" s="593"/>
      <c r="H106" s="593"/>
      <c r="I106" s="605"/>
      <c r="J106" s="593"/>
      <c r="K106" s="593"/>
      <c r="L106" s="593"/>
      <c r="M106" s="593"/>
      <c r="P106" s="659"/>
      <c r="Q106" s="659"/>
      <c r="R106" s="659"/>
      <c r="S106" s="659"/>
    </row>
    <row r="107" spans="5:19" s="656" customFormat="1">
      <c r="E107" s="650"/>
      <c r="F107" s="657"/>
      <c r="G107" s="593"/>
      <c r="H107" s="593"/>
      <c r="I107" s="605"/>
      <c r="J107" s="593"/>
      <c r="K107" s="593"/>
      <c r="L107" s="593"/>
      <c r="M107" s="593"/>
      <c r="P107" s="659"/>
      <c r="Q107" s="659"/>
      <c r="R107" s="659"/>
      <c r="S107" s="659"/>
    </row>
    <row r="108" spans="5:19" s="656" customFormat="1">
      <c r="E108" s="650"/>
      <c r="F108" s="657"/>
      <c r="G108" s="593"/>
      <c r="H108" s="593"/>
      <c r="I108" s="605"/>
      <c r="J108" s="593"/>
      <c r="K108" s="593"/>
      <c r="L108" s="593"/>
      <c r="M108" s="593"/>
      <c r="P108" s="659"/>
      <c r="Q108" s="659"/>
      <c r="R108" s="659"/>
      <c r="S108" s="659"/>
    </row>
    <row r="109" spans="5:19" s="656" customFormat="1">
      <c r="E109" s="650"/>
      <c r="F109" s="657"/>
      <c r="G109" s="593"/>
      <c r="H109" s="593"/>
      <c r="I109" s="605"/>
      <c r="J109" s="593"/>
      <c r="K109" s="593"/>
      <c r="L109" s="593"/>
      <c r="M109" s="593"/>
      <c r="P109" s="659"/>
      <c r="Q109" s="659"/>
      <c r="R109" s="659"/>
      <c r="S109" s="659"/>
    </row>
    <row r="110" spans="5:19" s="656" customFormat="1">
      <c r="E110" s="650"/>
      <c r="F110" s="657"/>
      <c r="G110" s="593"/>
      <c r="H110" s="593"/>
      <c r="I110" s="605"/>
      <c r="J110" s="593"/>
      <c r="K110" s="593"/>
      <c r="L110" s="593"/>
      <c r="P110" s="659"/>
      <c r="Q110" s="659"/>
      <c r="R110" s="659"/>
      <c r="S110" s="659"/>
    </row>
    <row r="111" spans="5:19" s="656" customFormat="1">
      <c r="E111" s="650"/>
      <c r="F111" s="657"/>
      <c r="G111" s="593"/>
      <c r="H111" s="593"/>
      <c r="I111" s="605"/>
      <c r="J111" s="593"/>
      <c r="K111" s="593"/>
      <c r="L111" s="593"/>
      <c r="P111" s="659"/>
      <c r="Q111" s="659"/>
      <c r="R111" s="659"/>
      <c r="S111" s="659"/>
    </row>
    <row r="112" spans="5:19" s="656" customFormat="1">
      <c r="E112" s="650"/>
      <c r="F112" s="657"/>
      <c r="G112" s="593"/>
      <c r="H112" s="593"/>
      <c r="I112" s="605"/>
      <c r="J112" s="593"/>
      <c r="K112" s="593"/>
      <c r="L112" s="593"/>
      <c r="P112" s="659"/>
      <c r="Q112" s="659"/>
      <c r="R112" s="659"/>
      <c r="S112" s="659"/>
    </row>
    <row r="113" spans="5:19" s="656" customFormat="1">
      <c r="E113" s="650"/>
      <c r="F113" s="657"/>
      <c r="G113" s="593"/>
      <c r="H113" s="593"/>
      <c r="I113" s="605"/>
      <c r="J113" s="593"/>
      <c r="K113" s="593"/>
      <c r="L113" s="593"/>
      <c r="P113" s="659"/>
      <c r="Q113" s="659"/>
      <c r="R113" s="659"/>
      <c r="S113" s="659"/>
    </row>
    <row r="114" spans="5:19" s="656" customFormat="1">
      <c r="E114" s="650"/>
      <c r="F114" s="657"/>
      <c r="G114" s="593"/>
      <c r="H114" s="593"/>
      <c r="I114" s="605"/>
      <c r="J114" s="593"/>
      <c r="K114" s="593"/>
      <c r="L114" s="593"/>
      <c r="P114" s="659"/>
      <c r="Q114" s="659"/>
      <c r="R114" s="659"/>
      <c r="S114" s="659"/>
    </row>
    <row r="115" spans="5:19" s="656" customFormat="1">
      <c r="E115" s="650"/>
      <c r="F115" s="657"/>
      <c r="G115" s="593"/>
      <c r="H115" s="593"/>
      <c r="I115" s="605"/>
      <c r="J115" s="593"/>
      <c r="K115" s="593"/>
      <c r="L115" s="593"/>
      <c r="P115" s="659"/>
      <c r="Q115" s="659"/>
      <c r="R115" s="659"/>
      <c r="S115" s="659"/>
    </row>
    <row r="116" spans="5:19" s="656" customFormat="1">
      <c r="E116" s="650"/>
      <c r="F116" s="657"/>
      <c r="G116" s="593"/>
      <c r="H116" s="593"/>
      <c r="I116" s="605"/>
      <c r="J116" s="593"/>
      <c r="K116" s="593"/>
      <c r="L116" s="593"/>
      <c r="P116" s="659"/>
      <c r="Q116" s="659"/>
      <c r="R116" s="659"/>
      <c r="S116" s="659"/>
    </row>
    <row r="117" spans="5:19" s="656" customFormat="1">
      <c r="E117" s="650"/>
      <c r="F117" s="657"/>
      <c r="G117" s="593"/>
      <c r="H117" s="593"/>
      <c r="I117" s="605"/>
      <c r="J117" s="593"/>
      <c r="K117" s="593"/>
      <c r="L117" s="593"/>
      <c r="P117" s="659"/>
      <c r="Q117" s="659"/>
      <c r="R117" s="659"/>
      <c r="S117" s="659"/>
    </row>
    <row r="118" spans="5:19" s="656" customFormat="1">
      <c r="E118" s="650"/>
      <c r="F118" s="657"/>
      <c r="G118" s="593"/>
      <c r="H118" s="593"/>
      <c r="I118" s="605"/>
      <c r="J118" s="593"/>
      <c r="K118" s="593"/>
      <c r="L118" s="593"/>
      <c r="P118" s="659"/>
      <c r="Q118" s="659"/>
      <c r="R118" s="659"/>
      <c r="S118" s="659"/>
    </row>
    <row r="119" spans="5:19" s="656" customFormat="1">
      <c r="E119" s="650"/>
      <c r="F119" s="657"/>
      <c r="G119" s="593"/>
      <c r="H119" s="593"/>
      <c r="I119" s="605"/>
      <c r="J119" s="593"/>
      <c r="K119" s="593"/>
      <c r="L119" s="593"/>
      <c r="P119" s="659"/>
      <c r="Q119" s="659"/>
      <c r="R119" s="659"/>
      <c r="S119" s="659"/>
    </row>
    <row r="120" spans="5:19" s="656" customFormat="1">
      <c r="E120" s="650"/>
      <c r="F120" s="657"/>
      <c r="G120" s="593"/>
      <c r="H120" s="593"/>
      <c r="I120" s="605"/>
      <c r="J120" s="593"/>
      <c r="K120" s="593"/>
      <c r="L120" s="593"/>
      <c r="P120" s="659"/>
      <c r="Q120" s="659"/>
      <c r="R120" s="659"/>
      <c r="S120" s="659"/>
    </row>
    <row r="121" spans="5:19" s="656" customFormat="1">
      <c r="E121" s="650"/>
      <c r="F121" s="657"/>
      <c r="G121" s="593"/>
      <c r="H121" s="593"/>
      <c r="I121" s="605"/>
      <c r="J121" s="593"/>
      <c r="K121" s="593"/>
      <c r="L121" s="593"/>
      <c r="P121" s="659"/>
      <c r="Q121" s="659"/>
      <c r="R121" s="659"/>
      <c r="S121" s="659"/>
    </row>
    <row r="122" spans="5:19" s="656" customFormat="1">
      <c r="E122" s="650"/>
      <c r="F122" s="657"/>
      <c r="G122" s="593"/>
      <c r="H122" s="593"/>
      <c r="I122" s="605"/>
      <c r="J122" s="593"/>
      <c r="K122" s="593"/>
      <c r="L122" s="593"/>
      <c r="P122" s="659"/>
      <c r="Q122" s="659"/>
      <c r="R122" s="659"/>
      <c r="S122" s="659"/>
    </row>
    <row r="123" spans="5:19" s="656" customFormat="1">
      <c r="E123" s="650"/>
      <c r="F123" s="657"/>
      <c r="G123" s="593"/>
      <c r="H123" s="593"/>
      <c r="I123" s="605"/>
      <c r="J123" s="593"/>
      <c r="K123" s="593"/>
      <c r="L123" s="593"/>
      <c r="P123" s="659"/>
      <c r="Q123" s="659"/>
      <c r="R123" s="659"/>
      <c r="S123" s="659"/>
    </row>
    <row r="124" spans="5:19" s="656" customFormat="1">
      <c r="E124" s="650"/>
      <c r="F124" s="657"/>
      <c r="G124" s="593"/>
      <c r="H124" s="593"/>
      <c r="I124" s="605"/>
      <c r="J124" s="593"/>
      <c r="K124" s="593"/>
      <c r="L124" s="593"/>
      <c r="P124" s="659"/>
      <c r="Q124" s="659"/>
      <c r="R124" s="659"/>
      <c r="S124" s="659"/>
    </row>
    <row r="125" spans="5:19" s="656" customFormat="1">
      <c r="E125" s="650"/>
      <c r="F125" s="657"/>
      <c r="G125" s="593"/>
      <c r="H125" s="593"/>
      <c r="I125" s="605"/>
      <c r="J125" s="593"/>
      <c r="K125" s="593"/>
      <c r="L125" s="593"/>
      <c r="P125" s="659"/>
      <c r="Q125" s="659"/>
      <c r="R125" s="659"/>
      <c r="S125" s="659"/>
    </row>
    <row r="126" spans="5:19" s="656" customFormat="1">
      <c r="E126" s="650"/>
      <c r="F126" s="657"/>
      <c r="G126" s="593"/>
      <c r="H126" s="593"/>
      <c r="I126" s="605"/>
      <c r="J126" s="593"/>
      <c r="K126" s="593"/>
      <c r="L126" s="593"/>
      <c r="P126" s="659"/>
      <c r="Q126" s="659"/>
      <c r="R126" s="659"/>
      <c r="S126" s="659"/>
    </row>
    <row r="127" spans="5:19" s="656" customFormat="1">
      <c r="E127" s="650"/>
      <c r="F127" s="657"/>
      <c r="G127" s="593"/>
      <c r="H127" s="593"/>
      <c r="I127" s="605"/>
      <c r="J127" s="593"/>
      <c r="K127" s="593"/>
      <c r="L127" s="593"/>
      <c r="P127" s="659"/>
      <c r="Q127" s="659"/>
      <c r="R127" s="659"/>
      <c r="S127" s="659"/>
    </row>
    <row r="128" spans="5:19" s="656" customFormat="1">
      <c r="E128" s="650"/>
      <c r="F128" s="657"/>
      <c r="G128" s="593"/>
      <c r="H128" s="593"/>
      <c r="I128" s="605"/>
      <c r="J128" s="593"/>
      <c r="K128" s="593"/>
      <c r="L128" s="593"/>
      <c r="P128" s="659"/>
      <c r="Q128" s="659"/>
      <c r="R128" s="659"/>
      <c r="S128" s="659"/>
    </row>
    <row r="129" spans="5:19" s="656" customFormat="1">
      <c r="E129" s="650"/>
      <c r="F129" s="657"/>
      <c r="G129" s="593"/>
      <c r="H129" s="593"/>
      <c r="I129" s="605"/>
      <c r="J129" s="593"/>
      <c r="K129" s="593"/>
      <c r="L129" s="593"/>
      <c r="P129" s="659"/>
      <c r="Q129" s="659"/>
      <c r="R129" s="659"/>
      <c r="S129" s="659"/>
    </row>
    <row r="130" spans="5:19" s="656" customFormat="1">
      <c r="E130" s="650"/>
      <c r="F130" s="657"/>
      <c r="G130" s="593"/>
      <c r="H130" s="593"/>
      <c r="I130" s="605"/>
      <c r="J130" s="593"/>
      <c r="K130" s="593"/>
      <c r="L130" s="593"/>
      <c r="P130" s="659"/>
      <c r="Q130" s="659"/>
      <c r="R130" s="659"/>
      <c r="S130" s="659"/>
    </row>
    <row r="131" spans="5:19" s="656" customFormat="1">
      <c r="E131" s="650"/>
      <c r="F131" s="657"/>
      <c r="G131" s="593"/>
      <c r="H131" s="593"/>
      <c r="I131" s="605"/>
      <c r="J131" s="593"/>
      <c r="K131" s="593"/>
      <c r="L131" s="593"/>
      <c r="P131" s="659"/>
      <c r="Q131" s="659"/>
      <c r="R131" s="659"/>
      <c r="S131" s="659"/>
    </row>
    <row r="132" spans="5:19" s="656" customFormat="1">
      <c r="E132" s="650"/>
      <c r="F132" s="657"/>
      <c r="G132" s="593"/>
      <c r="H132" s="593"/>
      <c r="I132" s="605"/>
      <c r="J132" s="593"/>
      <c r="K132" s="593"/>
      <c r="L132" s="593"/>
      <c r="P132" s="659"/>
      <c r="Q132" s="659"/>
      <c r="R132" s="659"/>
      <c r="S132" s="659"/>
    </row>
    <row r="133" spans="5:19" s="656" customFormat="1">
      <c r="E133" s="650"/>
      <c r="F133" s="657"/>
      <c r="G133" s="593"/>
      <c r="H133" s="593"/>
      <c r="I133" s="605"/>
      <c r="J133" s="593"/>
      <c r="K133" s="593"/>
      <c r="L133" s="593"/>
      <c r="P133" s="659"/>
      <c r="Q133" s="659"/>
      <c r="R133" s="659"/>
      <c r="S133" s="659"/>
    </row>
    <row r="134" spans="5:19" s="656" customFormat="1">
      <c r="E134" s="650"/>
      <c r="F134" s="657"/>
      <c r="G134" s="593"/>
      <c r="H134" s="593"/>
      <c r="I134" s="605"/>
      <c r="J134" s="593"/>
      <c r="K134" s="593"/>
      <c r="L134" s="593"/>
      <c r="P134" s="659"/>
      <c r="Q134" s="659"/>
      <c r="R134" s="659"/>
      <c r="S134" s="659"/>
    </row>
    <row r="135" spans="5:19" s="656" customFormat="1">
      <c r="E135" s="650"/>
      <c r="F135" s="657"/>
      <c r="G135" s="593"/>
      <c r="H135" s="593"/>
      <c r="I135" s="605"/>
      <c r="J135" s="593"/>
      <c r="K135" s="593"/>
      <c r="L135" s="593"/>
      <c r="P135" s="659"/>
      <c r="Q135" s="659"/>
      <c r="R135" s="659"/>
      <c r="S135" s="659"/>
    </row>
    <row r="136" spans="5:19" s="656" customFormat="1">
      <c r="E136" s="650"/>
      <c r="F136" s="657"/>
      <c r="G136" s="593"/>
      <c r="H136" s="593"/>
      <c r="I136" s="605"/>
      <c r="J136" s="593"/>
      <c r="K136" s="593"/>
      <c r="L136" s="593"/>
      <c r="P136" s="659"/>
      <c r="Q136" s="659"/>
      <c r="R136" s="659"/>
      <c r="S136" s="659"/>
    </row>
    <row r="137" spans="5:19" s="656" customFormat="1">
      <c r="E137" s="650"/>
      <c r="F137" s="657"/>
      <c r="G137" s="593"/>
      <c r="H137" s="593"/>
      <c r="I137" s="605"/>
      <c r="J137" s="593"/>
      <c r="K137" s="593"/>
      <c r="L137" s="593"/>
      <c r="P137" s="659"/>
      <c r="Q137" s="659"/>
      <c r="R137" s="659"/>
      <c r="S137" s="659"/>
    </row>
    <row r="138" spans="5:19" s="656" customFormat="1">
      <c r="E138" s="650"/>
      <c r="F138" s="657"/>
      <c r="G138" s="593"/>
      <c r="H138" s="593"/>
      <c r="I138" s="605"/>
      <c r="J138" s="593"/>
      <c r="K138" s="593"/>
      <c r="L138" s="593"/>
      <c r="P138" s="659"/>
      <c r="Q138" s="659"/>
      <c r="R138" s="659"/>
      <c r="S138" s="659"/>
    </row>
    <row r="139" spans="5:19" s="656" customFormat="1">
      <c r="E139" s="650"/>
      <c r="F139" s="657"/>
      <c r="G139" s="593"/>
      <c r="H139" s="593"/>
      <c r="I139" s="605"/>
      <c r="J139" s="593"/>
      <c r="K139" s="593"/>
      <c r="L139" s="593"/>
      <c r="P139" s="659"/>
      <c r="Q139" s="659"/>
      <c r="R139" s="659"/>
      <c r="S139" s="659"/>
    </row>
    <row r="140" spans="5:19" s="656" customFormat="1">
      <c r="E140" s="650"/>
      <c r="F140" s="657"/>
      <c r="G140" s="593"/>
      <c r="H140" s="593"/>
      <c r="I140" s="605"/>
      <c r="J140" s="593"/>
      <c r="K140" s="593"/>
      <c r="L140" s="593"/>
      <c r="P140" s="659"/>
      <c r="Q140" s="659"/>
      <c r="R140" s="659"/>
      <c r="S140" s="659"/>
    </row>
    <row r="141" spans="5:19" s="656" customFormat="1">
      <c r="E141" s="650"/>
      <c r="F141" s="657"/>
      <c r="G141" s="593"/>
      <c r="H141" s="593"/>
      <c r="I141" s="605"/>
      <c r="J141" s="593"/>
      <c r="K141" s="593"/>
      <c r="L141" s="593"/>
      <c r="P141" s="659"/>
      <c r="Q141" s="659"/>
      <c r="R141" s="659"/>
      <c r="S141" s="659"/>
    </row>
    <row r="142" spans="5:19" s="656" customFormat="1">
      <c r="E142" s="650"/>
      <c r="F142" s="657"/>
      <c r="G142" s="593"/>
      <c r="H142" s="593"/>
      <c r="I142" s="605"/>
      <c r="J142" s="593"/>
      <c r="K142" s="593"/>
      <c r="L142" s="593"/>
      <c r="P142" s="659"/>
      <c r="Q142" s="659"/>
      <c r="R142" s="659"/>
      <c r="S142" s="659"/>
    </row>
    <row r="143" spans="5:19" s="656" customFormat="1">
      <c r="E143" s="650"/>
      <c r="F143" s="657"/>
      <c r="G143" s="593"/>
      <c r="H143" s="593"/>
      <c r="I143" s="605"/>
      <c r="J143" s="593"/>
      <c r="K143" s="593"/>
      <c r="L143" s="593"/>
      <c r="P143" s="659"/>
      <c r="Q143" s="659"/>
      <c r="R143" s="659"/>
      <c r="S143" s="659"/>
    </row>
    <row r="144" spans="5:19" s="656" customFormat="1">
      <c r="E144" s="650"/>
      <c r="F144" s="657"/>
      <c r="G144" s="593"/>
      <c r="H144" s="593"/>
      <c r="I144" s="605"/>
      <c r="J144" s="593"/>
      <c r="K144" s="593"/>
      <c r="L144" s="593"/>
      <c r="P144" s="659"/>
      <c r="Q144" s="659"/>
      <c r="R144" s="659"/>
      <c r="S144" s="659"/>
    </row>
    <row r="145" spans="1:19" s="656" customFormat="1">
      <c r="E145" s="650"/>
      <c r="F145" s="657"/>
      <c r="G145" s="593"/>
      <c r="H145" s="593"/>
      <c r="I145" s="605"/>
      <c r="J145" s="593"/>
      <c r="K145" s="593"/>
      <c r="L145" s="593"/>
      <c r="P145" s="659"/>
      <c r="Q145" s="659"/>
      <c r="R145" s="659"/>
      <c r="S145" s="659"/>
    </row>
    <row r="146" spans="1:19" s="656" customFormat="1">
      <c r="E146" s="650"/>
      <c r="F146" s="657"/>
      <c r="G146" s="593"/>
      <c r="H146" s="593"/>
      <c r="I146" s="605"/>
      <c r="J146" s="593"/>
      <c r="K146" s="593"/>
      <c r="L146" s="593"/>
      <c r="P146" s="659"/>
      <c r="Q146" s="659"/>
      <c r="R146" s="659"/>
      <c r="S146" s="659"/>
    </row>
    <row r="147" spans="1:19">
      <c r="A147" s="656"/>
      <c r="B147" s="656"/>
      <c r="C147" s="656"/>
      <c r="D147" s="656"/>
      <c r="E147" s="650"/>
      <c r="F147" s="657"/>
      <c r="G147" s="593"/>
      <c r="H147" s="593"/>
      <c r="I147" s="605"/>
      <c r="J147" s="593"/>
      <c r="K147" s="593"/>
      <c r="L147" s="593"/>
      <c r="M147" s="656"/>
      <c r="N147" s="656"/>
      <c r="O147" s="656"/>
      <c r="P147" s="659"/>
      <c r="Q147" s="659"/>
    </row>
    <row r="148" spans="1:19">
      <c r="A148" s="656"/>
      <c r="B148" s="656"/>
      <c r="C148" s="656"/>
      <c r="D148" s="656"/>
      <c r="E148" s="650"/>
      <c r="F148" s="657"/>
      <c r="G148" s="593"/>
      <c r="H148" s="593"/>
      <c r="I148" s="605"/>
      <c r="J148" s="593"/>
      <c r="K148" s="593"/>
      <c r="L148" s="593"/>
      <c r="M148" s="656"/>
      <c r="N148" s="656"/>
      <c r="O148" s="656"/>
      <c r="P148" s="659"/>
      <c r="Q148" s="659"/>
    </row>
    <row r="149" spans="1:19">
      <c r="A149" s="656"/>
      <c r="B149" s="656"/>
      <c r="C149" s="656"/>
      <c r="D149" s="656"/>
      <c r="E149" s="650"/>
      <c r="F149" s="657"/>
      <c r="G149" s="593"/>
      <c r="H149" s="593"/>
      <c r="I149" s="605"/>
      <c r="J149" s="593"/>
      <c r="K149" s="593"/>
      <c r="L149" s="593"/>
      <c r="M149" s="656"/>
      <c r="N149" s="656"/>
      <c r="O149" s="656"/>
      <c r="P149" s="659"/>
      <c r="Q149" s="659"/>
    </row>
    <row r="150" spans="1:19">
      <c r="A150" s="656"/>
      <c r="B150" s="656"/>
      <c r="C150" s="656"/>
      <c r="D150" s="656"/>
      <c r="E150" s="650"/>
      <c r="F150" s="657"/>
      <c r="G150" s="593"/>
      <c r="H150" s="593"/>
      <c r="I150" s="605"/>
      <c r="J150" s="593"/>
      <c r="K150" s="593"/>
      <c r="L150" s="593"/>
      <c r="M150" s="656"/>
      <c r="N150" s="656"/>
      <c r="O150" s="656"/>
      <c r="P150" s="659"/>
      <c r="Q150" s="659"/>
    </row>
    <row r="151" spans="1:19">
      <c r="A151" s="656"/>
      <c r="B151" s="656"/>
      <c r="C151" s="656"/>
      <c r="D151" s="656"/>
      <c r="E151" s="650"/>
      <c r="F151" s="657"/>
      <c r="G151" s="593"/>
      <c r="H151" s="593"/>
      <c r="I151" s="605"/>
      <c r="J151" s="593"/>
      <c r="K151" s="593"/>
      <c r="L151" s="593"/>
      <c r="M151" s="656"/>
      <c r="N151" s="656"/>
      <c r="O151" s="656"/>
      <c r="P151" s="659"/>
      <c r="Q151" s="659"/>
    </row>
    <row r="152" spans="1:19">
      <c r="A152" s="656"/>
      <c r="B152" s="656"/>
      <c r="C152" s="656"/>
      <c r="D152" s="656"/>
      <c r="E152" s="650"/>
      <c r="F152" s="657"/>
      <c r="G152" s="593"/>
      <c r="H152" s="593"/>
      <c r="I152" s="605"/>
      <c r="J152" s="593"/>
      <c r="K152" s="593"/>
      <c r="L152" s="593"/>
      <c r="M152" s="656"/>
    </row>
    <row r="153" spans="1:19">
      <c r="A153" s="656"/>
      <c r="B153" s="656"/>
      <c r="C153" s="656"/>
      <c r="D153" s="656"/>
      <c r="E153" s="650"/>
      <c r="F153" s="657"/>
      <c r="G153" s="593"/>
      <c r="H153" s="593"/>
      <c r="I153" s="605"/>
      <c r="J153" s="593"/>
      <c r="K153" s="593"/>
      <c r="L153" s="593"/>
      <c r="M153" s="656"/>
    </row>
    <row r="154" spans="1:19">
      <c r="A154" s="656"/>
      <c r="B154" s="656"/>
      <c r="C154" s="656"/>
      <c r="D154" s="656"/>
      <c r="E154" s="650"/>
      <c r="F154" s="657"/>
      <c r="G154" s="593"/>
      <c r="H154" s="593"/>
      <c r="I154" s="605"/>
      <c r="J154" s="593"/>
      <c r="K154" s="593"/>
      <c r="L154" s="593"/>
      <c r="M154" s="656"/>
    </row>
    <row r="155" spans="1:19">
      <c r="A155" s="656"/>
      <c r="B155" s="656"/>
      <c r="C155" s="656"/>
      <c r="D155" s="656"/>
      <c r="E155" s="650"/>
      <c r="F155" s="657"/>
      <c r="G155" s="593"/>
      <c r="H155" s="593"/>
      <c r="I155" s="605"/>
      <c r="J155" s="593"/>
      <c r="K155" s="593"/>
      <c r="L155" s="593"/>
      <c r="M155" s="656"/>
    </row>
    <row r="156" spans="1:19">
      <c r="J156" s="593"/>
      <c r="K156" s="593"/>
      <c r="L156" s="593"/>
      <c r="M156" s="656"/>
    </row>
    <row r="157" spans="1:19">
      <c r="J157" s="593"/>
      <c r="K157" s="593"/>
      <c r="L157" s="593"/>
      <c r="M157" s="656"/>
    </row>
    <row r="158" spans="1:19">
      <c r="J158" s="593"/>
      <c r="K158" s="593"/>
      <c r="L158" s="593"/>
      <c r="M158" s="656"/>
    </row>
    <row r="159" spans="1:19">
      <c r="J159" s="593"/>
      <c r="K159" s="593"/>
      <c r="L159" s="593"/>
      <c r="M159" s="656"/>
    </row>
    <row r="160" spans="1:19">
      <c r="J160" s="593"/>
      <c r="K160" s="593"/>
      <c r="L160" s="593"/>
      <c r="M160" s="656"/>
    </row>
    <row r="161" spans="10:13">
      <c r="J161" s="593"/>
      <c r="K161" s="593"/>
      <c r="L161" s="593"/>
      <c r="M161" s="656"/>
    </row>
    <row r="162" spans="10:13">
      <c r="K162" s="593"/>
      <c r="L162" s="593"/>
      <c r="M162" s="656"/>
    </row>
    <row r="163" spans="10:13">
      <c r="K163" s="593"/>
      <c r="L163" s="593"/>
      <c r="M163" s="656"/>
    </row>
    <row r="164" spans="10:13">
      <c r="K164" s="593"/>
      <c r="L164" s="593"/>
      <c r="M164" s="656"/>
    </row>
    <row r="165" spans="10:13">
      <c r="L165" s="593"/>
      <c r="M165" s="656"/>
    </row>
    <row r="166" spans="10:13">
      <c r="L166" s="593"/>
      <c r="M166" s="656"/>
    </row>
    <row r="167" spans="10:13">
      <c r="L167" s="593"/>
    </row>
    <row r="168" spans="10:13">
      <c r="L168" s="593"/>
    </row>
    <row r="169" spans="10:13">
      <c r="L169" s="593"/>
    </row>
  </sheetData>
  <mergeCells count="5">
    <mergeCell ref="A7:L7"/>
    <mergeCell ref="U7:V7"/>
    <mergeCell ref="M7:O7"/>
    <mergeCell ref="H9:K9"/>
    <mergeCell ref="D9:F9"/>
  </mergeCells>
  <conditionalFormatting sqref="Z9:Z57 P58:P74">
    <cfRule type="aboveAverage" dxfId="1" priority="1" aboveAverage="0" stdDev="1"/>
    <cfRule type="aboveAverage" dxfId="0" priority="2" stdDev="1"/>
  </conditionalFormatting>
  <dataValidations disablePrompts="1" count="1">
    <dataValidation type="list" allowBlank="1" showInputMessage="1" showErrorMessage="1" sqref="B5" xr:uid="{00000000-0002-0000-0300-000000000000}">
      <formula1>$AB$5:$AB$8</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GUI Input</vt:lpstr>
      <vt:lpstr>AU</vt:lpstr>
      <vt:lpstr>AB</vt:lpstr>
      <vt:lpstr>B</vt:lpstr>
      <vt:lpstr>D</vt:lpstr>
      <vt:lpstr>T</vt:lpstr>
      <vt:lpstr>V</vt:lpstr>
      <vt:lpstr>Z</vt:lpstr>
      <vt:lpstr>20230415_Pitcore_D</vt:lpstr>
      <vt:lpstr>20230416_Pit_B</vt:lpstr>
      <vt:lpstr>20230416_Pit_AB</vt:lpstr>
      <vt:lpstr>20230417_Probes_AU</vt:lpstr>
      <vt:lpstr>20230822_Pit_D</vt:lpstr>
      <vt:lpstr>20230823_Pit_T</vt:lpstr>
      <vt:lpstr>20230823_Probes_Z</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Christopher</dc:creator>
  <cp:keywords/>
  <dc:description/>
  <cp:lastModifiedBy>Sass, Louis</cp:lastModifiedBy>
  <cp:revision/>
  <dcterms:created xsi:type="dcterms:W3CDTF">2014-09-30T04:14:01Z</dcterms:created>
  <dcterms:modified xsi:type="dcterms:W3CDTF">2024-11-22T19:21:45Z</dcterms:modified>
  <cp:category/>
  <cp:contentStatus/>
</cp:coreProperties>
</file>